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1B23D9E0-9BFF-4988-8A90-3E17EC910448}"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ACTIVIDADES!$A$1:$V$66</definedName>
    <definedName name="_xlnm.Print_Area" localSheetId="0">GESTIÓN!$A$1:$FC$16</definedName>
    <definedName name="_xlnm.Print_Area" localSheetId="1">INVERSIÓN!$A$1:$FA$62</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16" i="5" l="1"/>
  <c r="ER11" i="6" l="1"/>
  <c r="ER12" i="6"/>
  <c r="ER13" i="6"/>
  <c r="ER14" i="6"/>
  <c r="ER17" i="6"/>
  <c r="ER19" i="6"/>
  <c r="ER20" i="6"/>
  <c r="ER21" i="6"/>
  <c r="ER24" i="6"/>
  <c r="ER25" i="6"/>
  <c r="ER26" i="6"/>
  <c r="ER27" i="6"/>
  <c r="ER28" i="6"/>
  <c r="ER31" i="6"/>
  <c r="ER32" i="6"/>
  <c r="ER33" i="6"/>
  <c r="ER34" i="6"/>
  <c r="ER35" i="6"/>
  <c r="ER38" i="6"/>
  <c r="ER39" i="6"/>
  <c r="ER40" i="6"/>
  <c r="ER41" i="6"/>
  <c r="ER42" i="6"/>
  <c r="ER45" i="6"/>
  <c r="ER47" i="6"/>
  <c r="ER48" i="6"/>
  <c r="ER49" i="6"/>
  <c r="ER52" i="6"/>
  <c r="ER53" i="6"/>
  <c r="ER54" i="6"/>
  <c r="ER55" i="6"/>
  <c r="ER56" i="6"/>
  <c r="CI24" i="6" l="1"/>
  <c r="CJ15" i="6"/>
  <c r="V136" i="17" l="1"/>
  <c r="V130" i="17"/>
  <c r="V124" i="17"/>
  <c r="V118" i="17"/>
  <c r="V100" i="17"/>
  <c r="V94" i="17"/>
  <c r="V88" i="17"/>
  <c r="V82" i="17"/>
  <c r="V76" i="17"/>
  <c r="V70" i="17"/>
  <c r="V64" i="17"/>
  <c r="V58" i="17"/>
  <c r="V40" i="17"/>
  <c r="V34" i="17"/>
  <c r="V28" i="17"/>
  <c r="V22" i="17"/>
  <c r="BL60" i="6" l="1"/>
  <c r="BL59" i="6" l="1"/>
  <c r="ET12" i="5" l="1"/>
  <c r="G808" i="15" l="1"/>
  <c r="G807" i="15"/>
  <c r="G806" i="15"/>
  <c r="G805" i="15"/>
  <c r="G804" i="15"/>
  <c r="G803" i="15"/>
  <c r="G802" i="15"/>
  <c r="F614" i="15"/>
  <c r="F613" i="15"/>
  <c r="F612" i="15"/>
  <c r="F611" i="15"/>
  <c r="F610" i="15"/>
  <c r="F609" i="15"/>
  <c r="F608" i="15"/>
  <c r="K425" i="15"/>
  <c r="H425" i="15"/>
  <c r="K424" i="15"/>
  <c r="H424" i="15"/>
  <c r="K423" i="15"/>
  <c r="H423" i="15"/>
  <c r="K422" i="15"/>
  <c r="H422" i="15"/>
  <c r="K421" i="15"/>
  <c r="H421" i="15"/>
  <c r="K420" i="15"/>
  <c r="H420" i="15"/>
  <c r="K419" i="15"/>
  <c r="H419" i="15"/>
  <c r="H237" i="15" l="1"/>
  <c r="BL58" i="6"/>
  <c r="ER58" i="6" s="1"/>
  <c r="BK58" i="6"/>
  <c r="CG25" i="6"/>
  <c r="CE25" i="6"/>
  <c r="E610" i="15" s="1"/>
  <c r="CE53" i="6"/>
  <c r="E614" i="15" s="1"/>
  <c r="BK46" i="6"/>
  <c r="BK18" i="6"/>
  <c r="ER18" i="6" s="1"/>
  <c r="CE18" i="6"/>
  <c r="E609" i="15" s="1"/>
  <c r="CE46" i="6" l="1"/>
  <c r="E613" i="15" s="1"/>
  <c r="ER46" i="6"/>
  <c r="V168" i="17"/>
  <c r="V166" i="17"/>
  <c r="V162" i="17"/>
  <c r="V160" i="17"/>
  <c r="V156" i="17"/>
  <c r="V154" i="17"/>
  <c r="V150" i="17"/>
  <c r="V147" i="17"/>
  <c r="V146" i="17"/>
  <c r="V141" i="17"/>
  <c r="V140" i="17"/>
  <c r="V135" i="17"/>
  <c r="V134" i="17"/>
  <c r="V129" i="17"/>
  <c r="V128" i="17"/>
  <c r="V123" i="17"/>
  <c r="V122" i="17"/>
  <c r="V117" i="17"/>
  <c r="V116" i="17"/>
  <c r="V111" i="17"/>
  <c r="V110" i="17"/>
  <c r="V105" i="17"/>
  <c r="V104" i="17"/>
  <c r="V99" i="17"/>
  <c r="V98" i="17"/>
  <c r="V93" i="17"/>
  <c r="V92" i="17"/>
  <c r="V87" i="17"/>
  <c r="V86" i="17"/>
  <c r="V81" i="17"/>
  <c r="V80" i="17"/>
  <c r="V75" i="17"/>
  <c r="V74" i="17"/>
  <c r="V69" i="17"/>
  <c r="V68" i="17"/>
  <c r="V63" i="17"/>
  <c r="V62" i="17"/>
  <c r="V57" i="17"/>
  <c r="V56" i="17"/>
  <c r="V51" i="17"/>
  <c r="V50" i="17"/>
  <c r="V45" i="17"/>
  <c r="V44" i="17"/>
  <c r="V39" i="17"/>
  <c r="V38" i="17"/>
  <c r="V30" i="17"/>
  <c r="V24" i="17"/>
  <c r="V18" i="17"/>
  <c r="V16" i="17"/>
  <c r="V12" i="17"/>
  <c r="V10" i="17"/>
  <c r="ER10" i="6"/>
  <c r="CI49" i="6"/>
  <c r="CH49" i="6"/>
  <c r="G49" i="6" s="1"/>
  <c r="EV49" i="6" s="1"/>
  <c r="CG49" i="6"/>
  <c r="CF49" i="6"/>
  <c r="CE49" i="6"/>
  <c r="CI48" i="6"/>
  <c r="CH48" i="6"/>
  <c r="CG48" i="6"/>
  <c r="ES48" i="6" s="1"/>
  <c r="CF48" i="6"/>
  <c r="CE48" i="6"/>
  <c r="CI47" i="6"/>
  <c r="CH47" i="6"/>
  <c r="CG47" i="6"/>
  <c r="CF47" i="6"/>
  <c r="CE47" i="6"/>
  <c r="CI46" i="6"/>
  <c r="CH46" i="6"/>
  <c r="CG46" i="6"/>
  <c r="ES46" i="6" s="1"/>
  <c r="CF46" i="6"/>
  <c r="CI45" i="6"/>
  <c r="ET45" i="6" s="1"/>
  <c r="CH45" i="6"/>
  <c r="CG45" i="6"/>
  <c r="CF45" i="6"/>
  <c r="CE45" i="6"/>
  <c r="CF31" i="6"/>
  <c r="CI35" i="6"/>
  <c r="CH35" i="6"/>
  <c r="G35" i="6" s="1"/>
  <c r="CG35" i="6"/>
  <c r="ES35" i="6" s="1"/>
  <c r="CF35" i="6"/>
  <c r="CE35" i="6"/>
  <c r="CI34" i="6"/>
  <c r="CH34" i="6"/>
  <c r="CG34" i="6"/>
  <c r="CF34" i="6"/>
  <c r="CE34" i="6"/>
  <c r="CI33" i="6"/>
  <c r="ET33" i="6" s="1"/>
  <c r="CH33" i="6"/>
  <c r="CG33" i="6"/>
  <c r="CF33" i="6"/>
  <c r="CE33" i="6"/>
  <c r="CI32" i="6"/>
  <c r="CH32" i="6"/>
  <c r="CG32" i="6"/>
  <c r="CF32" i="6"/>
  <c r="CE32" i="6"/>
  <c r="E611" i="15" s="1"/>
  <c r="CI31" i="6"/>
  <c r="CH31" i="6"/>
  <c r="CG31" i="6"/>
  <c r="ES31" i="6" s="1"/>
  <c r="CE31" i="6"/>
  <c r="CI28" i="6"/>
  <c r="CG28" i="6"/>
  <c r="CI27" i="6"/>
  <c r="CH27" i="6"/>
  <c r="CG27" i="6"/>
  <c r="CF27" i="6"/>
  <c r="CE27" i="6"/>
  <c r="CI26" i="6"/>
  <c r="ET26" i="6" s="1"/>
  <c r="CH26" i="6"/>
  <c r="CG26" i="6"/>
  <c r="ES26" i="6" s="1"/>
  <c r="CF26" i="6"/>
  <c r="CE26" i="6"/>
  <c r="CI25" i="6"/>
  <c r="CH25" i="6"/>
  <c r="CF25" i="6"/>
  <c r="ES25" i="6" s="1"/>
  <c r="CH24" i="6"/>
  <c r="ET24" i="6" s="1"/>
  <c r="CG24" i="6"/>
  <c r="CF24" i="6"/>
  <c r="CE24" i="6"/>
  <c r="CI21" i="6"/>
  <c r="CI20" i="6"/>
  <c r="CI19" i="6"/>
  <c r="CI18" i="6"/>
  <c r="CI17" i="6"/>
  <c r="CG21" i="6"/>
  <c r="CG20" i="6"/>
  <c r="ES20" i="6" s="1"/>
  <c r="CG19" i="6"/>
  <c r="CG18" i="6"/>
  <c r="ES18" i="6" s="1"/>
  <c r="CG17" i="6"/>
  <c r="CF21" i="6"/>
  <c r="CF20" i="6"/>
  <c r="CF19" i="6"/>
  <c r="CF18" i="6"/>
  <c r="CF17" i="6"/>
  <c r="CI56" i="6"/>
  <c r="CH56" i="6"/>
  <c r="CG56" i="6"/>
  <c r="CF56" i="6"/>
  <c r="CE56" i="6"/>
  <c r="CI55" i="6"/>
  <c r="ET55" i="6" s="1"/>
  <c r="CH55" i="6"/>
  <c r="CG55" i="6"/>
  <c r="ES55" i="6" s="1"/>
  <c r="CF55" i="6"/>
  <c r="CE55" i="6"/>
  <c r="CI54" i="6"/>
  <c r="CH54" i="6"/>
  <c r="CG54" i="6"/>
  <c r="CF54" i="6"/>
  <c r="CE54" i="6"/>
  <c r="CI53" i="6"/>
  <c r="CH53" i="6"/>
  <c r="CG53" i="6"/>
  <c r="ES53" i="6" s="1"/>
  <c r="CF53" i="6"/>
  <c r="CI52" i="6"/>
  <c r="ET52" i="6" s="1"/>
  <c r="CH52" i="6"/>
  <c r="CG52" i="6"/>
  <c r="ES52" i="6" s="1"/>
  <c r="CF52" i="6"/>
  <c r="CE52" i="6"/>
  <c r="CI42" i="6"/>
  <c r="CG42" i="6"/>
  <c r="CI41" i="6"/>
  <c r="ET41" i="6" s="1"/>
  <c r="CH41" i="6"/>
  <c r="CG41" i="6"/>
  <c r="ES41" i="6" s="1"/>
  <c r="CF41" i="6"/>
  <c r="CE41" i="6"/>
  <c r="CI40" i="6"/>
  <c r="CH40" i="6"/>
  <c r="CG40" i="6"/>
  <c r="CF40" i="6"/>
  <c r="CE40" i="6"/>
  <c r="CI39" i="6"/>
  <c r="CH39" i="6"/>
  <c r="CG39" i="6"/>
  <c r="ES39" i="6" s="1"/>
  <c r="CF39" i="6"/>
  <c r="CE39" i="6"/>
  <c r="E612" i="15" s="1"/>
  <c r="CI38" i="6"/>
  <c r="CH38" i="6"/>
  <c r="CG38" i="6"/>
  <c r="CF38" i="6"/>
  <c r="CE38" i="6"/>
  <c r="CI14" i="6"/>
  <c r="CI12" i="6"/>
  <c r="CI11" i="6"/>
  <c r="CI13" i="6"/>
  <c r="CI10" i="6"/>
  <c r="CH14" i="6"/>
  <c r="M13" i="17" s="1"/>
  <c r="CH12" i="6"/>
  <c r="CH11" i="6"/>
  <c r="CH13" i="6"/>
  <c r="CH10" i="6"/>
  <c r="CG14" i="6"/>
  <c r="CG12" i="6"/>
  <c r="CG11" i="6"/>
  <c r="ES11" i="6" s="1"/>
  <c r="CG13" i="6"/>
  <c r="CG10" i="6"/>
  <c r="ES10" i="6" s="1"/>
  <c r="CF12" i="6"/>
  <c r="CF14" i="6"/>
  <c r="CF11" i="6"/>
  <c r="CF13" i="6"/>
  <c r="CF10" i="6"/>
  <c r="ET14" i="6" l="1"/>
  <c r="V13" i="17"/>
  <c r="V19" i="17"/>
  <c r="ET46" i="6"/>
  <c r="V161" i="17"/>
  <c r="V165" i="17" s="1"/>
  <c r="V157" i="17"/>
  <c r="ET56" i="6"/>
  <c r="V169" i="17"/>
  <c r="ES19" i="6"/>
  <c r="ET27" i="6"/>
  <c r="ET34" i="6"/>
  <c r="ET39" i="6"/>
  <c r="V155" i="17"/>
  <c r="V159" i="17" s="1"/>
  <c r="ET53" i="6"/>
  <c r="V167" i="17"/>
  <c r="V171" i="17" s="1"/>
  <c r="ET31" i="6"/>
  <c r="ES33" i="6"/>
  <c r="ES45" i="6"/>
  <c r="ET48" i="6"/>
  <c r="ES13" i="6"/>
  <c r="ES38" i="6"/>
  <c r="ES21" i="6"/>
  <c r="ES24" i="6"/>
  <c r="ES47" i="6"/>
  <c r="ES12" i="6"/>
  <c r="ET13" i="6"/>
  <c r="ET38" i="6"/>
  <c r="ES40" i="6"/>
  <c r="ES54" i="6"/>
  <c r="V17" i="17"/>
  <c r="V21" i="17" s="1"/>
  <c r="ES32" i="6"/>
  <c r="ET47" i="6"/>
  <c r="ES49" i="6"/>
  <c r="ES14" i="6"/>
  <c r="V25" i="17"/>
  <c r="V31" i="17"/>
  <c r="EV35" i="6"/>
  <c r="ET35" i="6"/>
  <c r="V151" i="17"/>
  <c r="ET11" i="6"/>
  <c r="V11" i="17"/>
  <c r="ET12" i="6"/>
  <c r="ET40" i="6"/>
  <c r="ET54" i="6"/>
  <c r="ES56" i="6"/>
  <c r="ES17" i="6"/>
  <c r="ET25" i="6"/>
  <c r="V29" i="17"/>
  <c r="V33" i="17" s="1"/>
  <c r="V23" i="17"/>
  <c r="ES27" i="6"/>
  <c r="ET32" i="6"/>
  <c r="V149" i="17"/>
  <c r="ES34" i="6"/>
  <c r="ET49" i="6"/>
  <c r="V163" i="17"/>
  <c r="V27" i="17"/>
  <c r="V26" i="17"/>
  <c r="V32" i="17"/>
  <c r="V20" i="17"/>
  <c r="V14" i="17"/>
  <c r="ET10" i="6"/>
  <c r="V153" i="17"/>
  <c r="V158" i="17"/>
  <c r="V164" i="17"/>
  <c r="V170" i="17"/>
  <c r="V15" i="17"/>
  <c r="ET16" i="5"/>
  <c r="ET15" i="5"/>
  <c r="ET14" i="5"/>
  <c r="ET13" i="5"/>
  <c r="CI16" i="5"/>
  <c r="EW16" i="5" s="1"/>
  <c r="CI15" i="5"/>
  <c r="CI14" i="5"/>
  <c r="CI13" i="5"/>
  <c r="CH16" i="5"/>
  <c r="CH15" i="5"/>
  <c r="CH14" i="5"/>
  <c r="CH13" i="5"/>
  <c r="CI12" i="5"/>
  <c r="CE17" i="6"/>
  <c r="CK15" i="5" l="1"/>
  <c r="EW15" i="5"/>
  <c r="EU13" i="5"/>
  <c r="EU14" i="5"/>
  <c r="V173" i="17"/>
  <c r="V172" i="17"/>
  <c r="V174" i="17" s="1"/>
  <c r="U168" i="17"/>
  <c r="U163" i="17"/>
  <c r="U162" i="17"/>
  <c r="EX15" i="5" l="1"/>
  <c r="CK12" i="5"/>
  <c r="BJ60" i="6"/>
  <c r="U169" i="17"/>
  <c r="U167" i="17"/>
  <c r="U166" i="17"/>
  <c r="U170" i="17" s="1"/>
  <c r="U161" i="17"/>
  <c r="U160" i="17"/>
  <c r="U164" i="17" s="1"/>
  <c r="U157" i="17"/>
  <c r="U156" i="17"/>
  <c r="U155" i="17"/>
  <c r="U154" i="17"/>
  <c r="U151" i="17"/>
  <c r="U150" i="17"/>
  <c r="U152" i="17" s="1"/>
  <c r="U149" i="17"/>
  <c r="U147" i="17"/>
  <c r="U146" i="17"/>
  <c r="U141" i="17"/>
  <c r="U140" i="17"/>
  <c r="U135" i="17"/>
  <c r="U134" i="17"/>
  <c r="U129" i="17"/>
  <c r="U128" i="17"/>
  <c r="U123" i="17"/>
  <c r="U122" i="17"/>
  <c r="U117" i="17"/>
  <c r="U116" i="17"/>
  <c r="U111" i="17"/>
  <c r="U110" i="17"/>
  <c r="U105" i="17"/>
  <c r="U104" i="17"/>
  <c r="U99" i="17"/>
  <c r="U98" i="17"/>
  <c r="U93" i="17"/>
  <c r="U92" i="17"/>
  <c r="U87" i="17"/>
  <c r="U86" i="17"/>
  <c r="U81" i="17"/>
  <c r="U80" i="17"/>
  <c r="U75" i="17"/>
  <c r="U74" i="17"/>
  <c r="U69" i="17"/>
  <c r="U68" i="17"/>
  <c r="U63" i="17"/>
  <c r="U62" i="17"/>
  <c r="U57" i="17"/>
  <c r="U56" i="17"/>
  <c r="U51" i="17"/>
  <c r="U50" i="17"/>
  <c r="U45" i="17"/>
  <c r="U44" i="17"/>
  <c r="U39" i="17"/>
  <c r="U38" i="17"/>
  <c r="U31" i="17"/>
  <c r="U30" i="17"/>
  <c r="U29" i="17"/>
  <c r="U33" i="17" s="1"/>
  <c r="U28" i="17"/>
  <c r="U25" i="17"/>
  <c r="U24" i="17"/>
  <c r="U23" i="17"/>
  <c r="U27" i="17" s="1"/>
  <c r="U22" i="17"/>
  <c r="U19" i="17"/>
  <c r="U18" i="17"/>
  <c r="U17" i="17"/>
  <c r="U21" i="17" s="1"/>
  <c r="U16" i="17"/>
  <c r="U13" i="17"/>
  <c r="U12" i="17"/>
  <c r="U10" i="17"/>
  <c r="BH60" i="6"/>
  <c r="BI60" i="6"/>
  <c r="T169" i="17"/>
  <c r="T168" i="17"/>
  <c r="T167" i="17"/>
  <c r="T166" i="17"/>
  <c r="T161" i="17"/>
  <c r="T162" i="17"/>
  <c r="T163" i="17"/>
  <c r="T160" i="17"/>
  <c r="T157" i="17"/>
  <c r="T156" i="17"/>
  <c r="T155" i="17"/>
  <c r="T154" i="17"/>
  <c r="T151" i="17"/>
  <c r="T150" i="17"/>
  <c r="T149" i="17"/>
  <c r="T148" i="17"/>
  <c r="V148" i="17" s="1"/>
  <c r="V152" i="17" s="1"/>
  <c r="T31" i="17"/>
  <c r="T30" i="17"/>
  <c r="T29" i="17"/>
  <c r="T28" i="17"/>
  <c r="BJ59" i="6"/>
  <c r="BI42" i="6"/>
  <c r="BI28" i="6"/>
  <c r="BG60" i="6"/>
  <c r="CF42" i="6" l="1"/>
  <c r="ES42" i="6" s="1"/>
  <c r="CE42" i="6"/>
  <c r="CH42" i="6"/>
  <c r="ET42" i="6" s="1"/>
  <c r="U173" i="17"/>
  <c r="CH28" i="6"/>
  <c r="ET28" i="6" s="1"/>
  <c r="CF28" i="6"/>
  <c r="ES28" i="6" s="1"/>
  <c r="CE28" i="6"/>
  <c r="U172" i="17"/>
  <c r="U174" i="17" s="1"/>
  <c r="U158" i="17"/>
  <c r="U153" i="17"/>
  <c r="U159" i="17"/>
  <c r="U165" i="17"/>
  <c r="U171" i="17"/>
  <c r="U14" i="17"/>
  <c r="U20" i="17"/>
  <c r="U26" i="17"/>
  <c r="U32" i="17"/>
  <c r="U15" i="17"/>
  <c r="BI59" i="6"/>
  <c r="T25" i="17" l="1"/>
  <c r="T24" i="17"/>
  <c r="T23" i="17"/>
  <c r="T22" i="17"/>
  <c r="T19" i="17"/>
  <c r="T18" i="17"/>
  <c r="T17" i="17"/>
  <c r="T16" i="17"/>
  <c r="T13" i="17"/>
  <c r="T12" i="17"/>
  <c r="T11" i="17"/>
  <c r="T10" i="17"/>
  <c r="T172" i="17" l="1"/>
  <c r="T173" i="17"/>
  <c r="T174" i="17" s="1"/>
  <c r="G801" i="15"/>
  <c r="G800" i="15"/>
  <c r="G799" i="15"/>
  <c r="G798" i="15"/>
  <c r="G797" i="15"/>
  <c r="G796" i="15"/>
  <c r="G795" i="15"/>
  <c r="F607" i="15"/>
  <c r="F606" i="15"/>
  <c r="F605" i="15"/>
  <c r="F604" i="15"/>
  <c r="F603" i="15"/>
  <c r="F602" i="15"/>
  <c r="F601" i="15"/>
  <c r="E607" i="15"/>
  <c r="E606" i="15"/>
  <c r="E605" i="15"/>
  <c r="E604" i="15"/>
  <c r="E603" i="15"/>
  <c r="E602" i="15"/>
  <c r="E601" i="15"/>
  <c r="E600" i="15"/>
  <c r="E599" i="15"/>
  <c r="E598" i="15"/>
  <c r="E597" i="15"/>
  <c r="E596" i="15"/>
  <c r="E595" i="15"/>
  <c r="E594" i="15"/>
  <c r="H418" i="15"/>
  <c r="H417" i="15"/>
  <c r="H416" i="15"/>
  <c r="H415" i="15"/>
  <c r="H414" i="15"/>
  <c r="H413" i="15"/>
  <c r="H412" i="15"/>
  <c r="H411" i="15"/>
  <c r="H410" i="15"/>
  <c r="H409" i="15"/>
  <c r="H408" i="15"/>
  <c r="H407" i="15"/>
  <c r="H406" i="15"/>
  <c r="H405" i="15"/>
  <c r="K418" i="15"/>
  <c r="K417" i="15"/>
  <c r="K416" i="15"/>
  <c r="K415" i="15"/>
  <c r="K414" i="15"/>
  <c r="K413" i="15"/>
  <c r="K412" i="15"/>
  <c r="S10" i="7"/>
  <c r="S9" i="7"/>
  <c r="CE11" i="6"/>
  <c r="E608" i="15" s="1"/>
  <c r="CH17" i="6"/>
  <c r="ET17" i="6" s="1"/>
  <c r="CE10" i="6"/>
  <c r="BJ61" i="6"/>
  <c r="BJ58" i="6"/>
  <c r="BJ57" i="6"/>
  <c r="BJ51" i="6"/>
  <c r="BJ50" i="6"/>
  <c r="BJ44" i="6"/>
  <c r="BJ43" i="6"/>
  <c r="BJ37" i="6"/>
  <c r="BJ36" i="6"/>
  <c r="BJ30" i="6"/>
  <c r="BJ29" i="6"/>
  <c r="BJ23" i="6"/>
  <c r="BJ22" i="6"/>
  <c r="BJ16" i="6"/>
  <c r="BJ15" i="6"/>
  <c r="CK14" i="5"/>
  <c r="CJ14" i="5"/>
  <c r="EU16" i="5"/>
  <c r="EU15" i="5"/>
  <c r="CK13" i="5"/>
  <c r="CJ13" i="5"/>
  <c r="EV14" i="5" l="1"/>
  <c r="EV13" i="5"/>
  <c r="H43" i="6"/>
  <c r="R168" i="17"/>
  <c r="Q168" i="17"/>
  <c r="P168" i="17"/>
  <c r="O168" i="17"/>
  <c r="N168" i="17"/>
  <c r="M168" i="17"/>
  <c r="L168" i="17"/>
  <c r="K168" i="17"/>
  <c r="J168" i="17"/>
  <c r="I168" i="17"/>
  <c r="H168" i="17"/>
  <c r="R166" i="17"/>
  <c r="Q166" i="17"/>
  <c r="P166" i="17"/>
  <c r="O166" i="17"/>
  <c r="N166" i="17"/>
  <c r="M166" i="17"/>
  <c r="L166" i="17"/>
  <c r="K166" i="17"/>
  <c r="J166" i="17"/>
  <c r="I166" i="17"/>
  <c r="H166" i="17"/>
  <c r="G168" i="17"/>
  <c r="G166" i="17"/>
  <c r="R156" i="17"/>
  <c r="Q156" i="17"/>
  <c r="P156" i="17"/>
  <c r="O156" i="17"/>
  <c r="N156" i="17"/>
  <c r="M156" i="17"/>
  <c r="L156" i="17"/>
  <c r="K156" i="17"/>
  <c r="J156" i="17"/>
  <c r="I156" i="17"/>
  <c r="H156" i="17"/>
  <c r="R154" i="17"/>
  <c r="Q154" i="17"/>
  <c r="P154" i="17"/>
  <c r="O154" i="17"/>
  <c r="N154" i="17"/>
  <c r="M154" i="17"/>
  <c r="L154" i="17"/>
  <c r="K154" i="17"/>
  <c r="J154" i="17"/>
  <c r="I154" i="17"/>
  <c r="H154" i="17"/>
  <c r="G156" i="17"/>
  <c r="G154" i="17"/>
  <c r="R12" i="17"/>
  <c r="R10" i="17"/>
  <c r="Q12" i="17"/>
  <c r="Q10" i="17"/>
  <c r="P12" i="17"/>
  <c r="P10" i="17"/>
  <c r="O12" i="17"/>
  <c r="O10" i="17"/>
  <c r="N12" i="17"/>
  <c r="N10" i="17"/>
  <c r="M12" i="17"/>
  <c r="M10" i="17"/>
  <c r="L12" i="17"/>
  <c r="L10" i="17"/>
  <c r="K12" i="17"/>
  <c r="K10" i="17"/>
  <c r="J12" i="17"/>
  <c r="J10" i="17"/>
  <c r="I12" i="17"/>
  <c r="I10" i="17"/>
  <c r="H12" i="17"/>
  <c r="H10" i="17"/>
  <c r="G12" i="17"/>
  <c r="G10" i="17"/>
  <c r="E151" i="17"/>
  <c r="F151" i="17" s="1"/>
  <c r="E150" i="17"/>
  <c r="F150" i="17" s="1"/>
  <c r="BF60" i="6"/>
  <c r="E169" i="17"/>
  <c r="F169" i="17" s="1"/>
  <c r="E168" i="17"/>
  <c r="E167" i="17"/>
  <c r="F167" i="17" s="1"/>
  <c r="E166" i="17"/>
  <c r="F166" i="17" s="1"/>
  <c r="E163" i="17"/>
  <c r="E162" i="17"/>
  <c r="F162" i="17" s="1"/>
  <c r="E161" i="17"/>
  <c r="F161" i="17" s="1"/>
  <c r="E160" i="17"/>
  <c r="E157" i="17"/>
  <c r="F157" i="17" s="1"/>
  <c r="E156" i="17"/>
  <c r="F156" i="17" s="1"/>
  <c r="E155" i="17"/>
  <c r="F155" i="17" s="1"/>
  <c r="E154" i="17"/>
  <c r="F154" i="17" s="1"/>
  <c r="E149" i="17"/>
  <c r="F149" i="17" s="1"/>
  <c r="E148" i="17"/>
  <c r="F148" i="17" s="1"/>
  <c r="E25" i="17"/>
  <c r="F25" i="17" s="1"/>
  <c r="E24" i="17"/>
  <c r="E23" i="17"/>
  <c r="F23" i="17" s="1"/>
  <c r="E22" i="17"/>
  <c r="F22" i="17" s="1"/>
  <c r="E19" i="17"/>
  <c r="F19" i="17" s="1"/>
  <c r="E18" i="17"/>
  <c r="F18" i="17" s="1"/>
  <c r="E17" i="17"/>
  <c r="F17" i="17" s="1"/>
  <c r="E16" i="17"/>
  <c r="F16" i="17" s="1"/>
  <c r="E13" i="17"/>
  <c r="F13" i="17" s="1"/>
  <c r="E12" i="17"/>
  <c r="E11" i="17"/>
  <c r="E10" i="17"/>
  <c r="F10" i="17" s="1"/>
  <c r="E172" i="17" l="1"/>
  <c r="F158" i="17"/>
  <c r="E164" i="17"/>
  <c r="E170" i="17"/>
  <c r="E14" i="17"/>
  <c r="F171" i="17"/>
  <c r="E26" i="17"/>
  <c r="F20" i="17"/>
  <c r="F152" i="17"/>
  <c r="F21" i="17"/>
  <c r="F12" i="17"/>
  <c r="F14" i="17" s="1"/>
  <c r="F24" i="17"/>
  <c r="F26" i="17" s="1"/>
  <c r="F11" i="17"/>
  <c r="F172" i="17" s="1"/>
  <c r="E165" i="17"/>
  <c r="F163" i="17"/>
  <c r="F165" i="17" s="1"/>
  <c r="F153" i="17"/>
  <c r="F159" i="17"/>
  <c r="F160" i="17"/>
  <c r="F164" i="17" s="1"/>
  <c r="F168" i="17"/>
  <c r="F170" i="17" s="1"/>
  <c r="E159" i="17"/>
  <c r="F27" i="17"/>
  <c r="E153" i="17"/>
  <c r="E171" i="17"/>
  <c r="E158" i="17"/>
  <c r="E152" i="17"/>
  <c r="E27" i="17"/>
  <c r="E21" i="17"/>
  <c r="E20" i="17"/>
  <c r="E15" i="17"/>
  <c r="CG13" i="5"/>
  <c r="G789" i="15"/>
  <c r="G790" i="15"/>
  <c r="G791" i="15"/>
  <c r="G792" i="15"/>
  <c r="G793" i="15"/>
  <c r="G794" i="15"/>
  <c r="G788" i="15"/>
  <c r="F600" i="15"/>
  <c r="F599" i="15"/>
  <c r="F598" i="15"/>
  <c r="F597" i="15"/>
  <c r="F596" i="15"/>
  <c r="F595" i="15"/>
  <c r="F594" i="15"/>
  <c r="K406" i="15"/>
  <c r="K407" i="15"/>
  <c r="K408" i="15"/>
  <c r="K409" i="15"/>
  <c r="K410" i="15"/>
  <c r="K411" i="15"/>
  <c r="K405" i="15"/>
  <c r="CD30" i="6"/>
  <c r="CC30" i="6"/>
  <c r="CB30" i="6"/>
  <c r="CA30" i="6"/>
  <c r="BZ30" i="6"/>
  <c r="BY30" i="6"/>
  <c r="BX30" i="6"/>
  <c r="BW30" i="6"/>
  <c r="BV30" i="6"/>
  <c r="BU30" i="6"/>
  <c r="BT30" i="6"/>
  <c r="BS30" i="6"/>
  <c r="BR30" i="6"/>
  <c r="BQ30" i="6"/>
  <c r="BP30" i="6"/>
  <c r="BO30" i="6"/>
  <c r="BN30" i="6"/>
  <c r="BM30" i="6"/>
  <c r="BL30" i="6"/>
  <c r="ER30" i="6" s="1"/>
  <c r="BK30" i="6"/>
  <c r="CF29" i="6"/>
  <c r="CD29" i="6"/>
  <c r="CC29" i="6"/>
  <c r="CB29" i="6"/>
  <c r="CA29" i="6"/>
  <c r="BZ29" i="6"/>
  <c r="BY29" i="6"/>
  <c r="BX29" i="6"/>
  <c r="BW29" i="6"/>
  <c r="BV29" i="6"/>
  <c r="BU29" i="6"/>
  <c r="BT29" i="6"/>
  <c r="BS29" i="6"/>
  <c r="BR29" i="6"/>
  <c r="BQ29" i="6"/>
  <c r="BP29" i="6"/>
  <c r="BO29" i="6"/>
  <c r="BN29" i="6"/>
  <c r="BM29" i="6"/>
  <c r="BL29" i="6"/>
  <c r="BK29" i="6"/>
  <c r="BI30" i="6"/>
  <c r="BI29" i="6"/>
  <c r="BH30" i="6"/>
  <c r="BH29" i="6"/>
  <c r="BG30" i="6"/>
  <c r="BG29" i="6"/>
  <c r="BF30" i="6"/>
  <c r="BF29" i="6"/>
  <c r="BH23" i="6"/>
  <c r="CD16" i="6"/>
  <c r="CC16" i="6"/>
  <c r="CB16" i="6"/>
  <c r="CA16" i="6"/>
  <c r="BZ16" i="6"/>
  <c r="BY16" i="6"/>
  <c r="BX16" i="6"/>
  <c r="BW16" i="6"/>
  <c r="BV16" i="6"/>
  <c r="BU16" i="6"/>
  <c r="BT16" i="6"/>
  <c r="BS16" i="6"/>
  <c r="BR16" i="6"/>
  <c r="BQ16" i="6"/>
  <c r="BP16" i="6"/>
  <c r="BO16" i="6"/>
  <c r="BN16" i="6"/>
  <c r="BM16" i="6"/>
  <c r="BL16" i="6"/>
  <c r="BK16" i="6"/>
  <c r="CD15" i="6"/>
  <c r="CC15" i="6"/>
  <c r="CB15" i="6"/>
  <c r="CA15" i="6"/>
  <c r="BZ15" i="6"/>
  <c r="BY15" i="6"/>
  <c r="BX15" i="6"/>
  <c r="BW15" i="6"/>
  <c r="BV15" i="6"/>
  <c r="BU15" i="6"/>
  <c r="BT15" i="6"/>
  <c r="BS15" i="6"/>
  <c r="BR15" i="6"/>
  <c r="BQ15" i="6"/>
  <c r="BP15" i="6"/>
  <c r="BO15" i="6"/>
  <c r="BN15" i="6"/>
  <c r="BM15" i="6"/>
  <c r="BL15" i="6"/>
  <c r="BK15" i="6"/>
  <c r="BI16" i="6"/>
  <c r="BI15" i="6"/>
  <c r="BH16" i="6"/>
  <c r="BG16" i="6"/>
  <c r="CC60" i="6"/>
  <c r="CA60" i="6"/>
  <c r="BZ60" i="6"/>
  <c r="BY60" i="6"/>
  <c r="BX60" i="6"/>
  <c r="BW60" i="6"/>
  <c r="BV60" i="6"/>
  <c r="BU60" i="6"/>
  <c r="BT60" i="6"/>
  <c r="BS60" i="6"/>
  <c r="BR60" i="6"/>
  <c r="BQ60" i="6"/>
  <c r="BP60" i="6"/>
  <c r="BO60" i="6"/>
  <c r="BK60" i="6"/>
  <c r="BI51" i="6"/>
  <c r="BM44" i="6"/>
  <c r="BM43" i="6"/>
  <c r="BL44" i="6"/>
  <c r="ER44" i="6" s="1"/>
  <c r="BL43" i="6"/>
  <c r="ER43" i="6" s="1"/>
  <c r="BK44" i="6"/>
  <c r="BK43" i="6"/>
  <c r="BI44" i="6"/>
  <c r="BI43" i="6"/>
  <c r="BH44" i="6"/>
  <c r="BG44" i="6"/>
  <c r="CJ37" i="6"/>
  <c r="CJ36" i="6"/>
  <c r="CF36" i="6"/>
  <c r="CD37" i="6"/>
  <c r="CD36" i="6"/>
  <c r="CC37" i="6"/>
  <c r="CC36" i="6"/>
  <c r="CB37" i="6"/>
  <c r="CB36" i="6"/>
  <c r="BZ37" i="6"/>
  <c r="BZ36" i="6"/>
  <c r="CA37" i="6"/>
  <c r="CA36" i="6"/>
  <c r="BY37" i="6"/>
  <c r="BY36" i="6"/>
  <c r="BX37" i="6"/>
  <c r="BX36" i="6"/>
  <c r="BW37" i="6"/>
  <c r="BW36" i="6"/>
  <c r="BV37" i="6"/>
  <c r="BV36" i="6"/>
  <c r="BU37" i="6"/>
  <c r="BU36" i="6"/>
  <c r="BT37" i="6"/>
  <c r="BT36" i="6"/>
  <c r="BS37" i="6"/>
  <c r="BS36" i="6"/>
  <c r="BR37" i="6"/>
  <c r="BR36" i="6"/>
  <c r="BQ37" i="6"/>
  <c r="BQ36" i="6"/>
  <c r="BP37" i="6"/>
  <c r="BP36" i="6"/>
  <c r="BO37" i="6"/>
  <c r="BO36" i="6"/>
  <c r="BN37" i="6"/>
  <c r="BN36" i="6"/>
  <c r="BM37" i="6"/>
  <c r="BM36" i="6"/>
  <c r="BL37" i="6"/>
  <c r="BL36" i="6"/>
  <c r="ER36" i="6" s="1"/>
  <c r="BK37" i="6"/>
  <c r="BK36" i="6"/>
  <c r="BI37" i="6"/>
  <c r="BI36" i="6"/>
  <c r="BH37" i="6"/>
  <c r="BH36" i="6"/>
  <c r="BG37" i="6"/>
  <c r="BG36" i="6"/>
  <c r="BF37" i="6"/>
  <c r="BF36" i="6"/>
  <c r="AE171" i="17"/>
  <c r="AD171" i="17"/>
  <c r="AC171" i="17"/>
  <c r="AB171" i="17"/>
  <c r="AA171" i="17"/>
  <c r="Z171" i="17"/>
  <c r="Y171" i="17"/>
  <c r="X171" i="17"/>
  <c r="W171" i="17"/>
  <c r="AE170" i="17"/>
  <c r="AD170" i="17"/>
  <c r="AC170" i="17"/>
  <c r="AB170" i="17"/>
  <c r="AA170" i="17"/>
  <c r="Z170" i="17"/>
  <c r="Y170" i="17"/>
  <c r="X170" i="17"/>
  <c r="W170" i="17"/>
  <c r="R170" i="17"/>
  <c r="Q170" i="17"/>
  <c r="P170" i="17"/>
  <c r="O170" i="17"/>
  <c r="N170" i="17"/>
  <c r="M170" i="17"/>
  <c r="L170" i="17"/>
  <c r="K170" i="17"/>
  <c r="J170" i="17"/>
  <c r="I170" i="17"/>
  <c r="H170" i="17"/>
  <c r="G170" i="17"/>
  <c r="AE165" i="17"/>
  <c r="AD165" i="17"/>
  <c r="AC165" i="17"/>
  <c r="AB165" i="17"/>
  <c r="AA165" i="17"/>
  <c r="Z165" i="17"/>
  <c r="Y165" i="17"/>
  <c r="X165" i="17"/>
  <c r="W165" i="17"/>
  <c r="AE164" i="17"/>
  <c r="AD164" i="17"/>
  <c r="AC164" i="17"/>
  <c r="AB164" i="17"/>
  <c r="AA164" i="17"/>
  <c r="Z164" i="17"/>
  <c r="Y164" i="17"/>
  <c r="X164" i="17"/>
  <c r="W164" i="17"/>
  <c r="AE159" i="17"/>
  <c r="AD159" i="17"/>
  <c r="AC159" i="17"/>
  <c r="AB159" i="17"/>
  <c r="AA159" i="17"/>
  <c r="Z159" i="17"/>
  <c r="Y159" i="17"/>
  <c r="X159" i="17"/>
  <c r="W159" i="17"/>
  <c r="AE158" i="17"/>
  <c r="AD158" i="17"/>
  <c r="AC158" i="17"/>
  <c r="AB158" i="17"/>
  <c r="AA158" i="17"/>
  <c r="Z158" i="17"/>
  <c r="Y158" i="17"/>
  <c r="X158" i="17"/>
  <c r="W158" i="17"/>
  <c r="L158" i="17"/>
  <c r="Q158" i="17"/>
  <c r="P158" i="17"/>
  <c r="O158" i="17"/>
  <c r="M158" i="17"/>
  <c r="K158" i="17"/>
  <c r="I158" i="17"/>
  <c r="H158" i="17"/>
  <c r="G158" i="17"/>
  <c r="AE153" i="17"/>
  <c r="AD153" i="17"/>
  <c r="AC153" i="17"/>
  <c r="AB153" i="17"/>
  <c r="AA153" i="17"/>
  <c r="Z153" i="17"/>
  <c r="Y153" i="17"/>
  <c r="X153" i="17"/>
  <c r="W153" i="17"/>
  <c r="AE152" i="17"/>
  <c r="AD152" i="17"/>
  <c r="AC152" i="17"/>
  <c r="AB152" i="17"/>
  <c r="AA152" i="17"/>
  <c r="Z152" i="17"/>
  <c r="Y152" i="17"/>
  <c r="X152" i="17"/>
  <c r="W152" i="17"/>
  <c r="AE147" i="17"/>
  <c r="AD147" i="17"/>
  <c r="AC147" i="17"/>
  <c r="AB147" i="17"/>
  <c r="AA147" i="17"/>
  <c r="Z147" i="17"/>
  <c r="Y147" i="17"/>
  <c r="X147" i="17"/>
  <c r="W147" i="17"/>
  <c r="T147" i="17"/>
  <c r="R147" i="17"/>
  <c r="Q147" i="17"/>
  <c r="P147" i="17"/>
  <c r="O147" i="17"/>
  <c r="N147" i="17"/>
  <c r="M147" i="17"/>
  <c r="L147" i="17"/>
  <c r="K147" i="17"/>
  <c r="J147" i="17"/>
  <c r="I147" i="17"/>
  <c r="H147" i="17"/>
  <c r="G147" i="17"/>
  <c r="F147" i="17"/>
  <c r="AE146" i="17"/>
  <c r="AD146" i="17"/>
  <c r="AC146" i="17"/>
  <c r="AB146" i="17"/>
  <c r="AA146" i="17"/>
  <c r="Z146" i="17"/>
  <c r="Y146" i="17"/>
  <c r="X146" i="17"/>
  <c r="W146" i="17"/>
  <c r="T146" i="17"/>
  <c r="R146" i="17"/>
  <c r="Q146" i="17"/>
  <c r="P146" i="17"/>
  <c r="O146" i="17"/>
  <c r="N146" i="17"/>
  <c r="M146" i="17"/>
  <c r="L146" i="17"/>
  <c r="K146" i="17"/>
  <c r="J146" i="17"/>
  <c r="I146" i="17"/>
  <c r="H146" i="17"/>
  <c r="G146" i="17"/>
  <c r="F146" i="17"/>
  <c r="AE141" i="17"/>
  <c r="AD141" i="17"/>
  <c r="AC141" i="17"/>
  <c r="AB141" i="17"/>
  <c r="AA141" i="17"/>
  <c r="Z141" i="17"/>
  <c r="Y141" i="17"/>
  <c r="X141" i="17"/>
  <c r="W141" i="17"/>
  <c r="T141" i="17"/>
  <c r="R141" i="17"/>
  <c r="Q141" i="17"/>
  <c r="P141" i="17"/>
  <c r="O141" i="17"/>
  <c r="N141" i="17"/>
  <c r="M141" i="17"/>
  <c r="L141" i="17"/>
  <c r="K141" i="17"/>
  <c r="J141" i="17"/>
  <c r="I141" i="17"/>
  <c r="H141" i="17"/>
  <c r="G141" i="17"/>
  <c r="F141" i="17"/>
  <c r="AE140" i="17"/>
  <c r="AD140" i="17"/>
  <c r="AC140" i="17"/>
  <c r="AB140" i="17"/>
  <c r="AA140" i="17"/>
  <c r="Z140" i="17"/>
  <c r="Y140" i="17"/>
  <c r="X140" i="17"/>
  <c r="W140" i="17"/>
  <c r="T140" i="17"/>
  <c r="R140" i="17"/>
  <c r="Q140" i="17"/>
  <c r="P140" i="17"/>
  <c r="O140" i="17"/>
  <c r="N140" i="17"/>
  <c r="M140" i="17"/>
  <c r="L140" i="17"/>
  <c r="K140" i="17"/>
  <c r="J140" i="17"/>
  <c r="I140" i="17"/>
  <c r="H140" i="17"/>
  <c r="G140" i="17"/>
  <c r="F140" i="17"/>
  <c r="AE135" i="17"/>
  <c r="AD135" i="17"/>
  <c r="AC135" i="17"/>
  <c r="AB135" i="17"/>
  <c r="AA135" i="17"/>
  <c r="Z135" i="17"/>
  <c r="Y135" i="17"/>
  <c r="X135" i="17"/>
  <c r="W135" i="17"/>
  <c r="T135" i="17"/>
  <c r="R135" i="17"/>
  <c r="Q135" i="17"/>
  <c r="P135" i="17"/>
  <c r="O135" i="17"/>
  <c r="N135" i="17"/>
  <c r="M135" i="17"/>
  <c r="L135" i="17"/>
  <c r="K135" i="17"/>
  <c r="J135" i="17"/>
  <c r="I135" i="17"/>
  <c r="H135" i="17"/>
  <c r="G135" i="17"/>
  <c r="F135" i="17"/>
  <c r="AE134" i="17"/>
  <c r="AD134" i="17"/>
  <c r="AC134" i="17"/>
  <c r="AB134" i="17"/>
  <c r="AA134" i="17"/>
  <c r="Z134" i="17"/>
  <c r="Y134" i="17"/>
  <c r="X134" i="17"/>
  <c r="W134" i="17"/>
  <c r="T134" i="17"/>
  <c r="R134" i="17"/>
  <c r="Q134" i="17"/>
  <c r="P134" i="17"/>
  <c r="O134" i="17"/>
  <c r="N134" i="17"/>
  <c r="M134" i="17"/>
  <c r="L134" i="17"/>
  <c r="K134" i="17"/>
  <c r="J134" i="17"/>
  <c r="I134" i="17"/>
  <c r="H134" i="17"/>
  <c r="G134" i="17"/>
  <c r="F134" i="17"/>
  <c r="AE129" i="17"/>
  <c r="AD129" i="17"/>
  <c r="AC129" i="17"/>
  <c r="AB129" i="17"/>
  <c r="AA129" i="17"/>
  <c r="Z129" i="17"/>
  <c r="Y129" i="17"/>
  <c r="X129" i="17"/>
  <c r="W129" i="17"/>
  <c r="T129" i="17"/>
  <c r="R129" i="17"/>
  <c r="Q129" i="17"/>
  <c r="P129" i="17"/>
  <c r="O129" i="17"/>
  <c r="N129" i="17"/>
  <c r="M129" i="17"/>
  <c r="L129" i="17"/>
  <c r="K129" i="17"/>
  <c r="J129" i="17"/>
  <c r="I129" i="17"/>
  <c r="H129" i="17"/>
  <c r="G129" i="17"/>
  <c r="F129" i="17"/>
  <c r="AE128" i="17"/>
  <c r="AD128" i="17"/>
  <c r="AC128" i="17"/>
  <c r="AB128" i="17"/>
  <c r="AA128" i="17"/>
  <c r="Z128" i="17"/>
  <c r="Y128" i="17"/>
  <c r="X128" i="17"/>
  <c r="W128" i="17"/>
  <c r="T128" i="17"/>
  <c r="R128" i="17"/>
  <c r="Q128" i="17"/>
  <c r="P128" i="17"/>
  <c r="O128" i="17"/>
  <c r="N128" i="17"/>
  <c r="M128" i="17"/>
  <c r="L128" i="17"/>
  <c r="K128" i="17"/>
  <c r="J128" i="17"/>
  <c r="I128" i="17"/>
  <c r="H128" i="17"/>
  <c r="G128" i="17"/>
  <c r="F128" i="17"/>
  <c r="AE123" i="17"/>
  <c r="AD123" i="17"/>
  <c r="AC123" i="17"/>
  <c r="AB123" i="17"/>
  <c r="AA123" i="17"/>
  <c r="Z123" i="17"/>
  <c r="Y123" i="17"/>
  <c r="X123" i="17"/>
  <c r="W123" i="17"/>
  <c r="T123" i="17"/>
  <c r="R123" i="17"/>
  <c r="Q123" i="17"/>
  <c r="P123" i="17"/>
  <c r="O123" i="17"/>
  <c r="N123" i="17"/>
  <c r="M123" i="17"/>
  <c r="L123" i="17"/>
  <c r="K123" i="17"/>
  <c r="J123" i="17"/>
  <c r="I123" i="17"/>
  <c r="H123" i="17"/>
  <c r="G123" i="17"/>
  <c r="F123" i="17"/>
  <c r="AE122" i="17"/>
  <c r="AD122" i="17"/>
  <c r="AC122" i="17"/>
  <c r="AB122" i="17"/>
  <c r="AA122" i="17"/>
  <c r="Z122" i="17"/>
  <c r="Y122" i="17"/>
  <c r="X122" i="17"/>
  <c r="W122" i="17"/>
  <c r="T122" i="17"/>
  <c r="R122" i="17"/>
  <c r="Q122" i="17"/>
  <c r="P122" i="17"/>
  <c r="O122" i="17"/>
  <c r="N122" i="17"/>
  <c r="M122" i="17"/>
  <c r="L122" i="17"/>
  <c r="K122" i="17"/>
  <c r="J122" i="17"/>
  <c r="I122" i="17"/>
  <c r="H122" i="17"/>
  <c r="G122" i="17"/>
  <c r="F122" i="17"/>
  <c r="AE117" i="17"/>
  <c r="AD117" i="17"/>
  <c r="AC117" i="17"/>
  <c r="AB117" i="17"/>
  <c r="AA117" i="17"/>
  <c r="Z117" i="17"/>
  <c r="Y117" i="17"/>
  <c r="X117" i="17"/>
  <c r="W117" i="17"/>
  <c r="T117" i="17"/>
  <c r="R117" i="17"/>
  <c r="Q117" i="17"/>
  <c r="P117" i="17"/>
  <c r="O117" i="17"/>
  <c r="N117" i="17"/>
  <c r="M117" i="17"/>
  <c r="L117" i="17"/>
  <c r="K117" i="17"/>
  <c r="J117" i="17"/>
  <c r="I117" i="17"/>
  <c r="H117" i="17"/>
  <c r="G117" i="17"/>
  <c r="F117" i="17"/>
  <c r="AE116" i="17"/>
  <c r="AD116" i="17"/>
  <c r="AC116" i="17"/>
  <c r="AB116" i="17"/>
  <c r="AA116" i="17"/>
  <c r="Z116" i="17"/>
  <c r="Y116" i="17"/>
  <c r="X116" i="17"/>
  <c r="W116" i="17"/>
  <c r="T116" i="17"/>
  <c r="R116" i="17"/>
  <c r="Q116" i="17"/>
  <c r="P116" i="17"/>
  <c r="O116" i="17"/>
  <c r="N116" i="17"/>
  <c r="M116" i="17"/>
  <c r="L116" i="17"/>
  <c r="K116" i="17"/>
  <c r="J116" i="17"/>
  <c r="I116" i="17"/>
  <c r="H116" i="17"/>
  <c r="G116" i="17"/>
  <c r="F116" i="17"/>
  <c r="AE111" i="17"/>
  <c r="AD111" i="17"/>
  <c r="AC111" i="17"/>
  <c r="AB111" i="17"/>
  <c r="AA111" i="17"/>
  <c r="Z111" i="17"/>
  <c r="Y111" i="17"/>
  <c r="X111" i="17"/>
  <c r="W111" i="17"/>
  <c r="T111" i="17"/>
  <c r="R111" i="17"/>
  <c r="Q111" i="17"/>
  <c r="P111" i="17"/>
  <c r="O111" i="17"/>
  <c r="N111" i="17"/>
  <c r="M111" i="17"/>
  <c r="L111" i="17"/>
  <c r="K111" i="17"/>
  <c r="J111" i="17"/>
  <c r="I111" i="17"/>
  <c r="H111" i="17"/>
  <c r="G111" i="17"/>
  <c r="F111" i="17"/>
  <c r="AE110" i="17"/>
  <c r="AD110" i="17"/>
  <c r="AC110" i="17"/>
  <c r="AB110" i="17"/>
  <c r="AA110" i="17"/>
  <c r="Z110" i="17"/>
  <c r="Y110" i="17"/>
  <c r="X110" i="17"/>
  <c r="W110" i="17"/>
  <c r="T110" i="17"/>
  <c r="R110" i="17"/>
  <c r="Q110" i="17"/>
  <c r="P110" i="17"/>
  <c r="O110" i="17"/>
  <c r="N110" i="17"/>
  <c r="M110" i="17"/>
  <c r="L110" i="17"/>
  <c r="K110" i="17"/>
  <c r="J110" i="17"/>
  <c r="I110" i="17"/>
  <c r="H110" i="17"/>
  <c r="G110" i="17"/>
  <c r="F110" i="17"/>
  <c r="AE105" i="17"/>
  <c r="AD105" i="17"/>
  <c r="AC105" i="17"/>
  <c r="AB105" i="17"/>
  <c r="AA105" i="17"/>
  <c r="Z105" i="17"/>
  <c r="Y105" i="17"/>
  <c r="X105" i="17"/>
  <c r="W105" i="17"/>
  <c r="T105" i="17"/>
  <c r="R105" i="17"/>
  <c r="Q105" i="17"/>
  <c r="P105" i="17"/>
  <c r="O105" i="17"/>
  <c r="N105" i="17"/>
  <c r="M105" i="17"/>
  <c r="L105" i="17"/>
  <c r="K105" i="17"/>
  <c r="J105" i="17"/>
  <c r="I105" i="17"/>
  <c r="H105" i="17"/>
  <c r="G105" i="17"/>
  <c r="F105" i="17"/>
  <c r="AE104" i="17"/>
  <c r="AD104" i="17"/>
  <c r="AC104" i="17"/>
  <c r="AB104" i="17"/>
  <c r="AA104" i="17"/>
  <c r="Z104" i="17"/>
  <c r="Y104" i="17"/>
  <c r="X104" i="17"/>
  <c r="W104" i="17"/>
  <c r="T104" i="17"/>
  <c r="R104" i="17"/>
  <c r="Q104" i="17"/>
  <c r="P104" i="17"/>
  <c r="O104" i="17"/>
  <c r="N104" i="17"/>
  <c r="M104" i="17"/>
  <c r="L104" i="17"/>
  <c r="K104" i="17"/>
  <c r="J104" i="17"/>
  <c r="I104" i="17"/>
  <c r="H104" i="17"/>
  <c r="G104" i="17"/>
  <c r="F104" i="17"/>
  <c r="AE99" i="17"/>
  <c r="AD99" i="17"/>
  <c r="AC99" i="17"/>
  <c r="AB99" i="17"/>
  <c r="AA99" i="17"/>
  <c r="Z99" i="17"/>
  <c r="Y99" i="17"/>
  <c r="X99" i="17"/>
  <c r="W99" i="17"/>
  <c r="T99" i="17"/>
  <c r="R99" i="17"/>
  <c r="Q99" i="17"/>
  <c r="P99" i="17"/>
  <c r="O99" i="17"/>
  <c r="N99" i="17"/>
  <c r="M99" i="17"/>
  <c r="L99" i="17"/>
  <c r="K99" i="17"/>
  <c r="J99" i="17"/>
  <c r="I99" i="17"/>
  <c r="H99" i="17"/>
  <c r="G99" i="17"/>
  <c r="F99" i="17"/>
  <c r="AE98" i="17"/>
  <c r="AD98" i="17"/>
  <c r="AC98" i="17"/>
  <c r="AB98" i="17"/>
  <c r="AA98" i="17"/>
  <c r="Z98" i="17"/>
  <c r="Y98" i="17"/>
  <c r="X98" i="17"/>
  <c r="W98" i="17"/>
  <c r="T98" i="17"/>
  <c r="R98" i="17"/>
  <c r="Q98" i="17"/>
  <c r="P98" i="17"/>
  <c r="O98" i="17"/>
  <c r="N98" i="17"/>
  <c r="M98" i="17"/>
  <c r="L98" i="17"/>
  <c r="K98" i="17"/>
  <c r="J98" i="17"/>
  <c r="I98" i="17"/>
  <c r="H98" i="17"/>
  <c r="G98" i="17"/>
  <c r="F98" i="17"/>
  <c r="AE93" i="17"/>
  <c r="AD93" i="17"/>
  <c r="AC93" i="17"/>
  <c r="AB93" i="17"/>
  <c r="AA93" i="17"/>
  <c r="Z93" i="17"/>
  <c r="Y93" i="17"/>
  <c r="X93" i="17"/>
  <c r="W93" i="17"/>
  <c r="T93" i="17"/>
  <c r="R93" i="17"/>
  <c r="Q93" i="17"/>
  <c r="P93" i="17"/>
  <c r="O93" i="17"/>
  <c r="N93" i="17"/>
  <c r="M93" i="17"/>
  <c r="L93" i="17"/>
  <c r="K93" i="17"/>
  <c r="J93" i="17"/>
  <c r="I93" i="17"/>
  <c r="H93" i="17"/>
  <c r="G93" i="17"/>
  <c r="F93" i="17"/>
  <c r="AE92" i="17"/>
  <c r="AD92" i="17"/>
  <c r="AC92" i="17"/>
  <c r="AB92" i="17"/>
  <c r="AA92" i="17"/>
  <c r="Z92" i="17"/>
  <c r="Y92" i="17"/>
  <c r="X92" i="17"/>
  <c r="W92" i="17"/>
  <c r="T92" i="17"/>
  <c r="R92" i="17"/>
  <c r="Q92" i="17"/>
  <c r="P92" i="17"/>
  <c r="O92" i="17"/>
  <c r="N92" i="17"/>
  <c r="M92" i="17"/>
  <c r="L92" i="17"/>
  <c r="K92" i="17"/>
  <c r="J92" i="17"/>
  <c r="I92" i="17"/>
  <c r="H92" i="17"/>
  <c r="G92" i="17"/>
  <c r="F92" i="17"/>
  <c r="AE87" i="17"/>
  <c r="AD87" i="17"/>
  <c r="AC87" i="17"/>
  <c r="AB87" i="17"/>
  <c r="AA87" i="17"/>
  <c r="Z87" i="17"/>
  <c r="Y87" i="17"/>
  <c r="X87" i="17"/>
  <c r="W87" i="17"/>
  <c r="T87" i="17"/>
  <c r="R87" i="17"/>
  <c r="Q87" i="17"/>
  <c r="P87" i="17"/>
  <c r="O87" i="17"/>
  <c r="N87" i="17"/>
  <c r="M87" i="17"/>
  <c r="L87" i="17"/>
  <c r="K87" i="17"/>
  <c r="J87" i="17"/>
  <c r="I87" i="17"/>
  <c r="H87" i="17"/>
  <c r="G87" i="17"/>
  <c r="F87" i="17"/>
  <c r="AE86" i="17"/>
  <c r="AD86" i="17"/>
  <c r="AC86" i="17"/>
  <c r="AB86" i="17"/>
  <c r="AA86" i="17"/>
  <c r="Z86" i="17"/>
  <c r="Y86" i="17"/>
  <c r="X86" i="17"/>
  <c r="W86" i="17"/>
  <c r="T86" i="17"/>
  <c r="R86" i="17"/>
  <c r="Q86" i="17"/>
  <c r="P86" i="17"/>
  <c r="O86" i="17"/>
  <c r="N86" i="17"/>
  <c r="M86" i="17"/>
  <c r="L86" i="17"/>
  <c r="K86" i="17"/>
  <c r="J86" i="17"/>
  <c r="I86" i="17"/>
  <c r="H86" i="17"/>
  <c r="G86" i="17"/>
  <c r="F86" i="17"/>
  <c r="AE81" i="17"/>
  <c r="AD81" i="17"/>
  <c r="AC81" i="17"/>
  <c r="AB81" i="17"/>
  <c r="AA81" i="17"/>
  <c r="Z81" i="17"/>
  <c r="Y81" i="17"/>
  <c r="X81" i="17"/>
  <c r="W81" i="17"/>
  <c r="T81" i="17"/>
  <c r="R81" i="17"/>
  <c r="Q81" i="17"/>
  <c r="P81" i="17"/>
  <c r="O81" i="17"/>
  <c r="N81" i="17"/>
  <c r="M81" i="17"/>
  <c r="L81" i="17"/>
  <c r="K81" i="17"/>
  <c r="J81" i="17"/>
  <c r="I81" i="17"/>
  <c r="H81" i="17"/>
  <c r="G81" i="17"/>
  <c r="F81" i="17"/>
  <c r="AE80" i="17"/>
  <c r="AD80" i="17"/>
  <c r="AC80" i="17"/>
  <c r="AB80" i="17"/>
  <c r="AA80" i="17"/>
  <c r="Z80" i="17"/>
  <c r="Y80" i="17"/>
  <c r="X80" i="17"/>
  <c r="W80" i="17"/>
  <c r="T80" i="17"/>
  <c r="R80" i="17"/>
  <c r="Q80" i="17"/>
  <c r="P80" i="17"/>
  <c r="O80" i="17"/>
  <c r="N80" i="17"/>
  <c r="M80" i="17"/>
  <c r="L80" i="17"/>
  <c r="K80" i="17"/>
  <c r="J80" i="17"/>
  <c r="I80" i="17"/>
  <c r="H80" i="17"/>
  <c r="G80" i="17"/>
  <c r="F80" i="17"/>
  <c r="AE75" i="17"/>
  <c r="AD75" i="17"/>
  <c r="AC75" i="17"/>
  <c r="AB75" i="17"/>
  <c r="AA75" i="17"/>
  <c r="Z75" i="17"/>
  <c r="Y75" i="17"/>
  <c r="X75" i="17"/>
  <c r="W75" i="17"/>
  <c r="T75" i="17"/>
  <c r="R75" i="17"/>
  <c r="Q75" i="17"/>
  <c r="P75" i="17"/>
  <c r="O75" i="17"/>
  <c r="N75" i="17"/>
  <c r="M75" i="17"/>
  <c r="L75" i="17"/>
  <c r="K75" i="17"/>
  <c r="J75" i="17"/>
  <c r="I75" i="17"/>
  <c r="H75" i="17"/>
  <c r="G75" i="17"/>
  <c r="F75" i="17"/>
  <c r="AE74" i="17"/>
  <c r="AD74" i="17"/>
  <c r="AC74" i="17"/>
  <c r="AB74" i="17"/>
  <c r="AA74" i="17"/>
  <c r="Z74" i="17"/>
  <c r="Y74" i="17"/>
  <c r="X74" i="17"/>
  <c r="W74" i="17"/>
  <c r="T74" i="17"/>
  <c r="R74" i="17"/>
  <c r="Q74" i="17"/>
  <c r="P74" i="17"/>
  <c r="O74" i="17"/>
  <c r="N74" i="17"/>
  <c r="M74" i="17"/>
  <c r="L74" i="17"/>
  <c r="K74" i="17"/>
  <c r="J74" i="17"/>
  <c r="I74" i="17"/>
  <c r="H74" i="17"/>
  <c r="G74" i="17"/>
  <c r="F74" i="17"/>
  <c r="AE69" i="17"/>
  <c r="AD69" i="17"/>
  <c r="AC69" i="17"/>
  <c r="AB69" i="17"/>
  <c r="AA69" i="17"/>
  <c r="Z69" i="17"/>
  <c r="Y69" i="17"/>
  <c r="X69" i="17"/>
  <c r="W69" i="17"/>
  <c r="T69" i="17"/>
  <c r="R69" i="17"/>
  <c r="Q69" i="17"/>
  <c r="P69" i="17"/>
  <c r="O69" i="17"/>
  <c r="N69" i="17"/>
  <c r="M69" i="17"/>
  <c r="L69" i="17"/>
  <c r="K69" i="17"/>
  <c r="J69" i="17"/>
  <c r="I69" i="17"/>
  <c r="H69" i="17"/>
  <c r="G69" i="17"/>
  <c r="F69" i="17"/>
  <c r="AE68" i="17"/>
  <c r="AD68" i="17"/>
  <c r="AC68" i="17"/>
  <c r="AB68" i="17"/>
  <c r="AA68" i="17"/>
  <c r="Z68" i="17"/>
  <c r="Y68" i="17"/>
  <c r="X68" i="17"/>
  <c r="W68" i="17"/>
  <c r="T68" i="17"/>
  <c r="R68" i="17"/>
  <c r="Q68" i="17"/>
  <c r="P68" i="17"/>
  <c r="O68" i="17"/>
  <c r="N68" i="17"/>
  <c r="M68" i="17"/>
  <c r="L68" i="17"/>
  <c r="K68" i="17"/>
  <c r="J68" i="17"/>
  <c r="I68" i="17"/>
  <c r="H68" i="17"/>
  <c r="G68" i="17"/>
  <c r="F68" i="17"/>
  <c r="AE63" i="17"/>
  <c r="AD63" i="17"/>
  <c r="AC63" i="17"/>
  <c r="AB63" i="17"/>
  <c r="AA63" i="17"/>
  <c r="Z63" i="17"/>
  <c r="Y63" i="17"/>
  <c r="X63" i="17"/>
  <c r="W63" i="17"/>
  <c r="T63" i="17"/>
  <c r="R63" i="17"/>
  <c r="Q63" i="17"/>
  <c r="P63" i="17"/>
  <c r="O63" i="17"/>
  <c r="N63" i="17"/>
  <c r="M63" i="17"/>
  <c r="L63" i="17"/>
  <c r="K63" i="17"/>
  <c r="J63" i="17"/>
  <c r="I63" i="17"/>
  <c r="H63" i="17"/>
  <c r="G63" i="17"/>
  <c r="F63" i="17"/>
  <c r="AE62" i="17"/>
  <c r="AD62" i="17"/>
  <c r="AC62" i="17"/>
  <c r="AB62" i="17"/>
  <c r="AA62" i="17"/>
  <c r="Z62" i="17"/>
  <c r="Y62" i="17"/>
  <c r="X62" i="17"/>
  <c r="W62" i="17"/>
  <c r="T62" i="17"/>
  <c r="R62" i="17"/>
  <c r="Q62" i="17"/>
  <c r="P62" i="17"/>
  <c r="O62" i="17"/>
  <c r="N62" i="17"/>
  <c r="M62" i="17"/>
  <c r="L62" i="17"/>
  <c r="K62" i="17"/>
  <c r="J62" i="17"/>
  <c r="I62" i="17"/>
  <c r="H62" i="17"/>
  <c r="G62" i="17"/>
  <c r="F62" i="17"/>
  <c r="AE57" i="17"/>
  <c r="AD57" i="17"/>
  <c r="AC57" i="17"/>
  <c r="AB57" i="17"/>
  <c r="AA57" i="17"/>
  <c r="Z57" i="17"/>
  <c r="Y57" i="17"/>
  <c r="X57" i="17"/>
  <c r="W57" i="17"/>
  <c r="T57" i="17"/>
  <c r="R57" i="17"/>
  <c r="Q57" i="17"/>
  <c r="P57" i="17"/>
  <c r="O57" i="17"/>
  <c r="N57" i="17"/>
  <c r="M57" i="17"/>
  <c r="L57" i="17"/>
  <c r="K57" i="17"/>
  <c r="J57" i="17"/>
  <c r="I57" i="17"/>
  <c r="H57" i="17"/>
  <c r="G57" i="17"/>
  <c r="F57" i="17"/>
  <c r="AE56" i="17"/>
  <c r="AD56" i="17"/>
  <c r="AC56" i="17"/>
  <c r="AB56" i="17"/>
  <c r="AA56" i="17"/>
  <c r="Z56" i="17"/>
  <c r="Y56" i="17"/>
  <c r="X56" i="17"/>
  <c r="W56" i="17"/>
  <c r="T56" i="17"/>
  <c r="R56" i="17"/>
  <c r="Q56" i="17"/>
  <c r="P56" i="17"/>
  <c r="O56" i="17"/>
  <c r="N56" i="17"/>
  <c r="M56" i="17"/>
  <c r="L56" i="17"/>
  <c r="K56" i="17"/>
  <c r="J56" i="17"/>
  <c r="I56" i="17"/>
  <c r="H56" i="17"/>
  <c r="G56" i="17"/>
  <c r="F56" i="17"/>
  <c r="AE51" i="17"/>
  <c r="AD51" i="17"/>
  <c r="AC51" i="17"/>
  <c r="AB51" i="17"/>
  <c r="AA51" i="17"/>
  <c r="Z51" i="17"/>
  <c r="Y51" i="17"/>
  <c r="X51" i="17"/>
  <c r="W51" i="17"/>
  <c r="T51" i="17"/>
  <c r="R51" i="17"/>
  <c r="Q51" i="17"/>
  <c r="P51" i="17"/>
  <c r="O51" i="17"/>
  <c r="N51" i="17"/>
  <c r="M51" i="17"/>
  <c r="L51" i="17"/>
  <c r="K51" i="17"/>
  <c r="J51" i="17"/>
  <c r="I51" i="17"/>
  <c r="H51" i="17"/>
  <c r="G51" i="17"/>
  <c r="F51" i="17"/>
  <c r="AE50" i="17"/>
  <c r="AD50" i="17"/>
  <c r="AC50" i="17"/>
  <c r="AB50" i="17"/>
  <c r="AA50" i="17"/>
  <c r="Z50" i="17"/>
  <c r="Y50" i="17"/>
  <c r="X50" i="17"/>
  <c r="W50" i="17"/>
  <c r="T50" i="17"/>
  <c r="R50" i="17"/>
  <c r="Q50" i="17"/>
  <c r="P50" i="17"/>
  <c r="O50" i="17"/>
  <c r="N50" i="17"/>
  <c r="M50" i="17"/>
  <c r="L50" i="17"/>
  <c r="K50" i="17"/>
  <c r="J50" i="17"/>
  <c r="I50" i="17"/>
  <c r="H50" i="17"/>
  <c r="G50" i="17"/>
  <c r="F50" i="17"/>
  <c r="AE45" i="17"/>
  <c r="AD45" i="17"/>
  <c r="AC45" i="17"/>
  <c r="AB45" i="17"/>
  <c r="AA45" i="17"/>
  <c r="Z45" i="17"/>
  <c r="Y45" i="17"/>
  <c r="X45" i="17"/>
  <c r="W45" i="17"/>
  <c r="T45" i="17"/>
  <c r="R45" i="17"/>
  <c r="Q45" i="17"/>
  <c r="P45" i="17"/>
  <c r="O45" i="17"/>
  <c r="N45" i="17"/>
  <c r="M45" i="17"/>
  <c r="L45" i="17"/>
  <c r="K45" i="17"/>
  <c r="J45" i="17"/>
  <c r="I45" i="17"/>
  <c r="H45" i="17"/>
  <c r="G45" i="17"/>
  <c r="F45" i="17"/>
  <c r="AE44" i="17"/>
  <c r="AD44" i="17"/>
  <c r="AC44" i="17"/>
  <c r="AB44" i="17"/>
  <c r="AA44" i="17"/>
  <c r="Z44" i="17"/>
  <c r="Y44" i="17"/>
  <c r="X44" i="17"/>
  <c r="W44" i="17"/>
  <c r="T44" i="17"/>
  <c r="R44" i="17"/>
  <c r="Q44" i="17"/>
  <c r="P44" i="17"/>
  <c r="O44" i="17"/>
  <c r="N44" i="17"/>
  <c r="M44" i="17"/>
  <c r="L44" i="17"/>
  <c r="K44" i="17"/>
  <c r="J44" i="17"/>
  <c r="I44" i="17"/>
  <c r="H44" i="17"/>
  <c r="G44" i="17"/>
  <c r="F44" i="17"/>
  <c r="AE39" i="17"/>
  <c r="AD39" i="17"/>
  <c r="AC39" i="17"/>
  <c r="AB39" i="17"/>
  <c r="AA39" i="17"/>
  <c r="Z39" i="17"/>
  <c r="Y39" i="17"/>
  <c r="X39" i="17"/>
  <c r="W39" i="17"/>
  <c r="T39" i="17"/>
  <c r="R39" i="17"/>
  <c r="Q39" i="17"/>
  <c r="P39" i="17"/>
  <c r="O39" i="17"/>
  <c r="N39" i="17"/>
  <c r="M39" i="17"/>
  <c r="L39" i="17"/>
  <c r="K39" i="17"/>
  <c r="J39" i="17"/>
  <c r="I39" i="17"/>
  <c r="H39" i="17"/>
  <c r="G39" i="17"/>
  <c r="F39" i="17"/>
  <c r="AE38" i="17"/>
  <c r="AD38" i="17"/>
  <c r="AC38" i="17"/>
  <c r="AB38" i="17"/>
  <c r="AA38" i="17"/>
  <c r="Z38" i="17"/>
  <c r="Y38" i="17"/>
  <c r="X38" i="17"/>
  <c r="W38" i="17"/>
  <c r="T38" i="17"/>
  <c r="R38" i="17"/>
  <c r="Q38" i="17"/>
  <c r="P38" i="17"/>
  <c r="O38" i="17"/>
  <c r="N38" i="17"/>
  <c r="M38" i="17"/>
  <c r="L38" i="17"/>
  <c r="K38" i="17"/>
  <c r="J38" i="17"/>
  <c r="I38" i="17"/>
  <c r="H38" i="17"/>
  <c r="G38" i="17"/>
  <c r="F38" i="17"/>
  <c r="AE33" i="17"/>
  <c r="AD33" i="17"/>
  <c r="AC33" i="17"/>
  <c r="AB33" i="17"/>
  <c r="AA33" i="17"/>
  <c r="Z33" i="17"/>
  <c r="Y33" i="17"/>
  <c r="X33" i="17"/>
  <c r="W33" i="17"/>
  <c r="T33" i="17"/>
  <c r="R33" i="17"/>
  <c r="Q33" i="17"/>
  <c r="P33" i="17"/>
  <c r="O33" i="17"/>
  <c r="N33" i="17"/>
  <c r="M33" i="17"/>
  <c r="L33" i="17"/>
  <c r="K33" i="17"/>
  <c r="J33" i="17"/>
  <c r="I33" i="17"/>
  <c r="H33" i="17"/>
  <c r="G33" i="17"/>
  <c r="AE32" i="17"/>
  <c r="AD32" i="17"/>
  <c r="AC32" i="17"/>
  <c r="AB32" i="17"/>
  <c r="AA32" i="17"/>
  <c r="Z32" i="17"/>
  <c r="Y32" i="17"/>
  <c r="X32" i="17"/>
  <c r="W32" i="17"/>
  <c r="T32" i="17"/>
  <c r="R32" i="17"/>
  <c r="Q32" i="17"/>
  <c r="P32" i="17"/>
  <c r="O32" i="17"/>
  <c r="N32" i="17"/>
  <c r="M32" i="17"/>
  <c r="L32" i="17"/>
  <c r="K32" i="17"/>
  <c r="J32" i="17"/>
  <c r="I32" i="17"/>
  <c r="H32" i="17"/>
  <c r="G32" i="17"/>
  <c r="AE27" i="17"/>
  <c r="AD27" i="17"/>
  <c r="AC27" i="17"/>
  <c r="AB27" i="17"/>
  <c r="AA27" i="17"/>
  <c r="Z27" i="17"/>
  <c r="Y27" i="17"/>
  <c r="X27" i="17"/>
  <c r="W27" i="17"/>
  <c r="AE26" i="17"/>
  <c r="AD26" i="17"/>
  <c r="AC26" i="17"/>
  <c r="AB26" i="17"/>
  <c r="AA26" i="17"/>
  <c r="Z26" i="17"/>
  <c r="Y26" i="17"/>
  <c r="X26" i="17"/>
  <c r="W26" i="17"/>
  <c r="AE21" i="17"/>
  <c r="AD21" i="17"/>
  <c r="AC21" i="17"/>
  <c r="AB21" i="17"/>
  <c r="AA21" i="17"/>
  <c r="Z21" i="17"/>
  <c r="Y21" i="17"/>
  <c r="X21" i="17"/>
  <c r="W21" i="17"/>
  <c r="AE20" i="17"/>
  <c r="AD20" i="17"/>
  <c r="AC20" i="17"/>
  <c r="AB20" i="17"/>
  <c r="AA20" i="17"/>
  <c r="Z20" i="17"/>
  <c r="Y20" i="17"/>
  <c r="X20" i="17"/>
  <c r="W20" i="17"/>
  <c r="AE15" i="17"/>
  <c r="AD15" i="17"/>
  <c r="AC15" i="17"/>
  <c r="AB15" i="17"/>
  <c r="AA15" i="17"/>
  <c r="Z15" i="17"/>
  <c r="Y15" i="17"/>
  <c r="X15" i="17"/>
  <c r="W15" i="17"/>
  <c r="AD14" i="17"/>
  <c r="AC14" i="17"/>
  <c r="AB14" i="17"/>
  <c r="AA14" i="17"/>
  <c r="Z14" i="17"/>
  <c r="Y14" i="17"/>
  <c r="X14" i="17"/>
  <c r="W14" i="17"/>
  <c r="R14" i="17"/>
  <c r="Q14" i="17"/>
  <c r="P14" i="17"/>
  <c r="O14" i="17"/>
  <c r="N14" i="17"/>
  <c r="M14" i="17"/>
  <c r="L14" i="17"/>
  <c r="K14" i="17"/>
  <c r="J14" i="17"/>
  <c r="I14" i="17"/>
  <c r="H14" i="17"/>
  <c r="G14" i="17"/>
  <c r="ER15" i="6" l="1"/>
  <c r="ER37" i="6"/>
  <c r="ER29" i="6"/>
  <c r="ER16" i="6"/>
  <c r="F15" i="17"/>
  <c r="F173" i="17"/>
  <c r="F174" i="17" s="1"/>
  <c r="N157" i="17"/>
  <c r="G157" i="17"/>
  <c r="Q157" i="17"/>
  <c r="M157" i="17"/>
  <c r="I157" i="17"/>
  <c r="P157" i="17"/>
  <c r="L157" i="17"/>
  <c r="H157" i="17"/>
  <c r="O157" i="17"/>
  <c r="K157" i="17"/>
  <c r="R157" i="17"/>
  <c r="J157" i="17"/>
  <c r="R13" i="17"/>
  <c r="Q13" i="17"/>
  <c r="P13" i="17"/>
  <c r="O13" i="17"/>
  <c r="N13" i="17"/>
  <c r="L13" i="17"/>
  <c r="J13" i="17"/>
  <c r="I13" i="17"/>
  <c r="H13" i="17"/>
  <c r="G13" i="17"/>
  <c r="K13" i="17"/>
  <c r="R25" i="17"/>
  <c r="J25" i="17"/>
  <c r="Q25" i="17"/>
  <c r="M25" i="17"/>
  <c r="I25" i="17"/>
  <c r="P25" i="17"/>
  <c r="L25" i="17"/>
  <c r="H25" i="17"/>
  <c r="O25" i="17"/>
  <c r="K25" i="17"/>
  <c r="N25" i="17"/>
  <c r="G25" i="17"/>
  <c r="N151" i="17"/>
  <c r="Q151" i="17"/>
  <c r="M151" i="17"/>
  <c r="I151" i="17"/>
  <c r="P151" i="17"/>
  <c r="L151" i="17"/>
  <c r="H151" i="17"/>
  <c r="O151" i="17"/>
  <c r="K151" i="17"/>
  <c r="R151" i="17"/>
  <c r="J151" i="17"/>
  <c r="G151" i="17"/>
  <c r="J158" i="17"/>
  <c r="N158" i="17"/>
  <c r="R158" i="17"/>
  <c r="CE14" i="6" l="1"/>
  <c r="CB60" i="6" s="1"/>
  <c r="CE29" i="6" l="1"/>
  <c r="CD51" i="6" l="1"/>
  <c r="CC51" i="6"/>
  <c r="CB51" i="6"/>
  <c r="CA51" i="6"/>
  <c r="BZ51" i="6"/>
  <c r="BY51" i="6"/>
  <c r="BX51" i="6"/>
  <c r="BW51" i="6"/>
  <c r="BV51" i="6"/>
  <c r="BU51" i="6"/>
  <c r="BT51" i="6"/>
  <c r="BS51" i="6"/>
  <c r="BR51" i="6"/>
  <c r="BQ51" i="6"/>
  <c r="BP51" i="6"/>
  <c r="BO51" i="6"/>
  <c r="BN51" i="6"/>
  <c r="BM51" i="6"/>
  <c r="BL51" i="6"/>
  <c r="ER51" i="6" s="1"/>
  <c r="BK51" i="6"/>
  <c r="BH51" i="6"/>
  <c r="BG51" i="6"/>
  <c r="CD50" i="6"/>
  <c r="CC50" i="6"/>
  <c r="CB50" i="6"/>
  <c r="CA50" i="6"/>
  <c r="BZ50" i="6"/>
  <c r="BY50" i="6"/>
  <c r="BX50" i="6"/>
  <c r="BW50" i="6"/>
  <c r="BV50" i="6"/>
  <c r="BU50" i="6"/>
  <c r="BT50" i="6"/>
  <c r="BS50" i="6"/>
  <c r="BR50" i="6"/>
  <c r="BQ50" i="6"/>
  <c r="BP50" i="6"/>
  <c r="BO50" i="6"/>
  <c r="BN50" i="6"/>
  <c r="BM50" i="6"/>
  <c r="BL50" i="6"/>
  <c r="BK50" i="6"/>
  <c r="BI50" i="6"/>
  <c r="BH50" i="6"/>
  <c r="BG50" i="6"/>
  <c r="CG30" i="6"/>
  <c r="CF30" i="6"/>
  <c r="CE30" i="6"/>
  <c r="CG29" i="6"/>
  <c r="ES29" i="6" s="1"/>
  <c r="ES30" i="6" l="1"/>
  <c r="ER50" i="6"/>
  <c r="T26" i="17"/>
  <c r="CI29" i="6"/>
  <c r="ET29" i="6" s="1"/>
  <c r="T27" i="17"/>
  <c r="CI30" i="6"/>
  <c r="K22" i="17"/>
  <c r="R22" i="17"/>
  <c r="N22" i="17"/>
  <c r="J22" i="17"/>
  <c r="Q22" i="17"/>
  <c r="M22" i="17"/>
  <c r="I22" i="17"/>
  <c r="P22" i="17"/>
  <c r="L22" i="17"/>
  <c r="H22" i="17"/>
  <c r="G22" i="17"/>
  <c r="O22" i="17"/>
  <c r="CH29" i="6"/>
  <c r="M24" i="17"/>
  <c r="P24" i="17"/>
  <c r="L24" i="17"/>
  <c r="H24" i="17"/>
  <c r="G24" i="17"/>
  <c r="O24" i="17"/>
  <c r="K24" i="17"/>
  <c r="R24" i="17"/>
  <c r="N24" i="17"/>
  <c r="J24" i="17"/>
  <c r="Q24" i="17"/>
  <c r="I24" i="17"/>
  <c r="CH30" i="6"/>
  <c r="P23" i="17"/>
  <c r="P27" i="17" s="1"/>
  <c r="H23" i="17"/>
  <c r="H27" i="17" s="1"/>
  <c r="O23" i="17"/>
  <c r="O27" i="17" s="1"/>
  <c r="K23" i="17"/>
  <c r="K27" i="17" s="1"/>
  <c r="R23" i="17"/>
  <c r="R27" i="17" s="1"/>
  <c r="N23" i="17"/>
  <c r="N27" i="17" s="1"/>
  <c r="J23" i="17"/>
  <c r="J27" i="17" s="1"/>
  <c r="G23" i="17"/>
  <c r="G27" i="17" s="1"/>
  <c r="Q23" i="17"/>
  <c r="Q27" i="17" s="1"/>
  <c r="M23" i="17"/>
  <c r="M27" i="17" s="1"/>
  <c r="I23" i="17"/>
  <c r="I27" i="17" s="1"/>
  <c r="L23" i="17"/>
  <c r="L27" i="17" s="1"/>
  <c r="CD23" i="6"/>
  <c r="CC23" i="6"/>
  <c r="CB23" i="6"/>
  <c r="CA23" i="6"/>
  <c r="BZ23" i="6"/>
  <c r="BY23" i="6"/>
  <c r="BX23" i="6"/>
  <c r="BW23" i="6"/>
  <c r="BV23" i="6"/>
  <c r="BU23" i="6"/>
  <c r="BT23" i="6"/>
  <c r="BS23" i="6"/>
  <c r="BR23" i="6"/>
  <c r="BQ23" i="6"/>
  <c r="BP23" i="6"/>
  <c r="BO23" i="6"/>
  <c r="BN23" i="6"/>
  <c r="BM23" i="6"/>
  <c r="BL23" i="6"/>
  <c r="ER23" i="6" s="1"/>
  <c r="BK23" i="6"/>
  <c r="BI23" i="6"/>
  <c r="CD22" i="6"/>
  <c r="CC22" i="6"/>
  <c r="CB22" i="6"/>
  <c r="CA22" i="6"/>
  <c r="BZ22" i="6"/>
  <c r="BY22" i="6"/>
  <c r="BX22" i="6"/>
  <c r="BW22" i="6"/>
  <c r="BV22" i="6"/>
  <c r="BU22" i="6"/>
  <c r="BT22" i="6"/>
  <c r="BS22" i="6"/>
  <c r="BR22" i="6"/>
  <c r="BQ22" i="6"/>
  <c r="BP22" i="6"/>
  <c r="BO22" i="6"/>
  <c r="BN22" i="6"/>
  <c r="BM22" i="6"/>
  <c r="BL22" i="6"/>
  <c r="ER22" i="6" s="1"/>
  <c r="BK22" i="6"/>
  <c r="BI22" i="6"/>
  <c r="BH22" i="6"/>
  <c r="BG23" i="6"/>
  <c r="BG22" i="6"/>
  <c r="BF23" i="6"/>
  <c r="BF22" i="6"/>
  <c r="BG15" i="6"/>
  <c r="CH21" i="6"/>
  <c r="ET21" i="6" s="1"/>
  <c r="CE21" i="6"/>
  <c r="CH20" i="6"/>
  <c r="ET20" i="6" s="1"/>
  <c r="CE20" i="6"/>
  <c r="CH19" i="6"/>
  <c r="ET19" i="6" s="1"/>
  <c r="CE19" i="6"/>
  <c r="CH18" i="6"/>
  <c r="ET18" i="6" s="1"/>
  <c r="T20" i="17"/>
  <c r="ET30" i="6" l="1"/>
  <c r="O26" i="17"/>
  <c r="P26" i="17"/>
  <c r="J26" i="17"/>
  <c r="H26" i="17"/>
  <c r="T21" i="17"/>
  <c r="R16" i="17"/>
  <c r="Q16" i="17"/>
  <c r="P16" i="17"/>
  <c r="O16" i="17"/>
  <c r="N16" i="17"/>
  <c r="M16" i="17"/>
  <c r="L16" i="17"/>
  <c r="K16" i="17"/>
  <c r="J16" i="17"/>
  <c r="I16" i="17"/>
  <c r="H16" i="17"/>
  <c r="G16" i="17"/>
  <c r="R19" i="17"/>
  <c r="P19" i="17"/>
  <c r="M19" i="17"/>
  <c r="Q19" i="17"/>
  <c r="O19" i="17"/>
  <c r="N19" i="17"/>
  <c r="I19" i="17"/>
  <c r="L19" i="17"/>
  <c r="J19" i="17"/>
  <c r="G19" i="17"/>
  <c r="K19" i="17"/>
  <c r="H19" i="17"/>
  <c r="M26" i="17"/>
  <c r="R26" i="17"/>
  <c r="R17" i="17"/>
  <c r="Q17" i="17"/>
  <c r="P17" i="17"/>
  <c r="O17" i="17"/>
  <c r="N17" i="17"/>
  <c r="M17" i="17"/>
  <c r="L17" i="17"/>
  <c r="K17" i="17"/>
  <c r="G17" i="17"/>
  <c r="H17" i="17"/>
  <c r="I17" i="17"/>
  <c r="J17" i="17"/>
  <c r="L26" i="17"/>
  <c r="Q26" i="17"/>
  <c r="K26" i="17"/>
  <c r="R18" i="17"/>
  <c r="Q18" i="17"/>
  <c r="P18" i="17"/>
  <c r="O18" i="17"/>
  <c r="N18" i="17"/>
  <c r="M18" i="17"/>
  <c r="L18" i="17"/>
  <c r="H18" i="17"/>
  <c r="I18" i="17"/>
  <c r="J18" i="17"/>
  <c r="K18" i="17"/>
  <c r="G18" i="17"/>
  <c r="G26" i="17"/>
  <c r="I26" i="17"/>
  <c r="N26" i="17"/>
  <c r="T171" i="17"/>
  <c r="CH57" i="6"/>
  <c r="CG57" i="6"/>
  <c r="CF57" i="6"/>
  <c r="CE57" i="6"/>
  <c r="CH43" i="6"/>
  <c r="CF43" i="6"/>
  <c r="CE43" i="6"/>
  <c r="CE13" i="6"/>
  <c r="CE15" i="6" s="1"/>
  <c r="CE12" i="6"/>
  <c r="CG51" i="6"/>
  <c r="CF51" i="6"/>
  <c r="CF50" i="6"/>
  <c r="CF37" i="6"/>
  <c r="CE37" i="6"/>
  <c r="CG36" i="6"/>
  <c r="ES36" i="6" s="1"/>
  <c r="CE36" i="6"/>
  <c r="CF23" i="6"/>
  <c r="CG23" i="6"/>
  <c r="CI23" i="6"/>
  <c r="CH23" i="6"/>
  <c r="CE23" i="6"/>
  <c r="CH22" i="6"/>
  <c r="CE22" i="6"/>
  <c r="CI22" i="6"/>
  <c r="ET22" i="6" s="1"/>
  <c r="BH15" i="6"/>
  <c r="BF15" i="6"/>
  <c r="CH15" i="6"/>
  <c r="CF15" i="6"/>
  <c r="CG16" i="6"/>
  <c r="CJ16" i="5"/>
  <c r="EV16" i="5" s="1"/>
  <c r="CG16" i="5"/>
  <c r="CJ15" i="5"/>
  <c r="EV15" i="5" s="1"/>
  <c r="CG15" i="5"/>
  <c r="CG14" i="5"/>
  <c r="BI12" i="5"/>
  <c r="CH12" i="5" l="1"/>
  <c r="EU12" i="5" s="1"/>
  <c r="CJ12" i="5"/>
  <c r="EV12" i="5" s="1"/>
  <c r="CG12" i="5"/>
  <c r="ET23" i="6"/>
  <c r="ES23" i="6"/>
  <c r="ES51" i="6"/>
  <c r="ES57" i="6"/>
  <c r="CH60" i="6"/>
  <c r="J21" i="17"/>
  <c r="K21" i="17"/>
  <c r="O21" i="17"/>
  <c r="I21" i="17"/>
  <c r="L21" i="17"/>
  <c r="T158" i="17"/>
  <c r="R21" i="17"/>
  <c r="P21" i="17"/>
  <c r="G21" i="17"/>
  <c r="N21" i="17"/>
  <c r="CI51" i="6"/>
  <c r="T165" i="17"/>
  <c r="CI15" i="6"/>
  <c r="ET15" i="6" s="1"/>
  <c r="T14" i="17"/>
  <c r="CI50" i="6"/>
  <c r="T164" i="17"/>
  <c r="T15" i="17"/>
  <c r="T152" i="17"/>
  <c r="CI36" i="6"/>
  <c r="CG37" i="6"/>
  <c r="ES37" i="6" s="1"/>
  <c r="CG50" i="6"/>
  <c r="ES50" i="6" s="1"/>
  <c r="T159" i="17"/>
  <c r="CG43" i="6"/>
  <c r="ES43" i="6" s="1"/>
  <c r="CI57" i="6"/>
  <c r="ET57" i="6" s="1"/>
  <c r="T170" i="17"/>
  <c r="R11" i="17"/>
  <c r="Q11" i="17"/>
  <c r="P11" i="17"/>
  <c r="O11" i="17"/>
  <c r="N11" i="17"/>
  <c r="M11" i="17"/>
  <c r="L11" i="17"/>
  <c r="K11" i="17"/>
  <c r="J11" i="17"/>
  <c r="I11" i="17"/>
  <c r="H11" i="17"/>
  <c r="G11" i="17"/>
  <c r="CH37" i="6"/>
  <c r="L149" i="17"/>
  <c r="L153" i="17" s="1"/>
  <c r="O149" i="17"/>
  <c r="O153" i="17" s="1"/>
  <c r="K149" i="17"/>
  <c r="K153" i="17" s="1"/>
  <c r="R149" i="17"/>
  <c r="R153" i="17" s="1"/>
  <c r="N149" i="17"/>
  <c r="N153" i="17" s="1"/>
  <c r="J149" i="17"/>
  <c r="J153" i="17" s="1"/>
  <c r="G149" i="17"/>
  <c r="G153" i="17" s="1"/>
  <c r="Q149" i="17"/>
  <c r="Q153" i="17" s="1"/>
  <c r="M149" i="17"/>
  <c r="M153" i="17" s="1"/>
  <c r="I149" i="17"/>
  <c r="I153" i="17" s="1"/>
  <c r="P149" i="17"/>
  <c r="P153" i="17" s="1"/>
  <c r="H149" i="17"/>
  <c r="H153" i="17" s="1"/>
  <c r="G20" i="17"/>
  <c r="K20" i="17"/>
  <c r="O20" i="17"/>
  <c r="Q162" i="17"/>
  <c r="I162" i="17"/>
  <c r="P162" i="17"/>
  <c r="L162" i="17"/>
  <c r="H162" i="17"/>
  <c r="G162" i="17"/>
  <c r="O162" i="17"/>
  <c r="K162" i="17"/>
  <c r="R162" i="17"/>
  <c r="N162" i="17"/>
  <c r="J162" i="17"/>
  <c r="M162" i="17"/>
  <c r="R169" i="17"/>
  <c r="R173" i="17" s="1"/>
  <c r="J169" i="17"/>
  <c r="G169" i="17"/>
  <c r="Q169" i="17"/>
  <c r="M169" i="17"/>
  <c r="I169" i="17"/>
  <c r="P169" i="17"/>
  <c r="L169" i="17"/>
  <c r="H169" i="17"/>
  <c r="O169" i="17"/>
  <c r="K169" i="17"/>
  <c r="N169" i="17"/>
  <c r="H20" i="17"/>
  <c r="L20" i="17"/>
  <c r="P20" i="17"/>
  <c r="Q150" i="17"/>
  <c r="I150" i="17"/>
  <c r="P150" i="17"/>
  <c r="L150" i="17"/>
  <c r="H150" i="17"/>
  <c r="G150" i="17"/>
  <c r="O150" i="17"/>
  <c r="K150" i="17"/>
  <c r="R150" i="17"/>
  <c r="N150" i="17"/>
  <c r="J150" i="17"/>
  <c r="M150" i="17"/>
  <c r="T153" i="17"/>
  <c r="CI37" i="6"/>
  <c r="ET37" i="6" s="1"/>
  <c r="CH50" i="6"/>
  <c r="O160" i="17"/>
  <c r="O164" i="17" s="1"/>
  <c r="R160" i="17"/>
  <c r="N160" i="17"/>
  <c r="J160" i="17"/>
  <c r="Q160" i="17"/>
  <c r="M160" i="17"/>
  <c r="I160" i="17"/>
  <c r="P160" i="17"/>
  <c r="L160" i="17"/>
  <c r="H160" i="17"/>
  <c r="G160" i="17"/>
  <c r="K160" i="17"/>
  <c r="R163" i="17"/>
  <c r="N163" i="17"/>
  <c r="J163" i="17"/>
  <c r="G163" i="17"/>
  <c r="Q163" i="17"/>
  <c r="M163" i="17"/>
  <c r="I163" i="17"/>
  <c r="P163" i="17"/>
  <c r="L163" i="17"/>
  <c r="H163" i="17"/>
  <c r="O163" i="17"/>
  <c r="K163" i="17"/>
  <c r="P167" i="17"/>
  <c r="P171" i="17" s="1"/>
  <c r="L167" i="17"/>
  <c r="H167" i="17"/>
  <c r="H171" i="17" s="1"/>
  <c r="O167" i="17"/>
  <c r="O171" i="17" s="1"/>
  <c r="K167" i="17"/>
  <c r="K171" i="17" s="1"/>
  <c r="R167" i="17"/>
  <c r="N167" i="17"/>
  <c r="J167" i="17"/>
  <c r="G167" i="17"/>
  <c r="G171" i="17" s="1"/>
  <c r="Q167" i="17"/>
  <c r="M167" i="17"/>
  <c r="M171" i="17" s="1"/>
  <c r="I167" i="17"/>
  <c r="I20" i="17"/>
  <c r="M20" i="17"/>
  <c r="Q20" i="17"/>
  <c r="O148" i="17"/>
  <c r="O152" i="17" s="1"/>
  <c r="R148" i="17"/>
  <c r="N148" i="17"/>
  <c r="J148" i="17"/>
  <c r="Q148" i="17"/>
  <c r="M148" i="17"/>
  <c r="M152" i="17" s="1"/>
  <c r="I148" i="17"/>
  <c r="P148" i="17"/>
  <c r="L148" i="17"/>
  <c r="H148" i="17"/>
  <c r="G148" i="17"/>
  <c r="K148" i="17"/>
  <c r="CH36" i="6"/>
  <c r="CE50" i="6"/>
  <c r="P161" i="17"/>
  <c r="L161" i="17"/>
  <c r="O161" i="17"/>
  <c r="K161" i="17"/>
  <c r="R161" i="17"/>
  <c r="N161" i="17"/>
  <c r="J161" i="17"/>
  <c r="G161" i="17"/>
  <c r="Q161" i="17"/>
  <c r="M161" i="17"/>
  <c r="I161" i="17"/>
  <c r="H161" i="17"/>
  <c r="L155" i="17"/>
  <c r="L159" i="17" s="1"/>
  <c r="O155" i="17"/>
  <c r="O159" i="17" s="1"/>
  <c r="K155" i="17"/>
  <c r="K159" i="17" s="1"/>
  <c r="R155" i="17"/>
  <c r="R159" i="17" s="1"/>
  <c r="N155" i="17"/>
  <c r="N159" i="17" s="1"/>
  <c r="J155" i="17"/>
  <c r="J159" i="17" s="1"/>
  <c r="G155" i="17"/>
  <c r="G159" i="17" s="1"/>
  <c r="Q155" i="17"/>
  <c r="Q159" i="17" s="1"/>
  <c r="M155" i="17"/>
  <c r="M159" i="17" s="1"/>
  <c r="I155" i="17"/>
  <c r="I159" i="17" s="1"/>
  <c r="P155" i="17"/>
  <c r="P159" i="17" s="1"/>
  <c r="H155" i="17"/>
  <c r="H159" i="17" s="1"/>
  <c r="H21" i="17"/>
  <c r="M21" i="17"/>
  <c r="Q21" i="17"/>
  <c r="J20" i="17"/>
  <c r="N20" i="17"/>
  <c r="R20" i="17"/>
  <c r="CH51" i="6"/>
  <c r="CE51" i="6"/>
  <c r="CI43" i="6"/>
  <c r="ET43" i="6" s="1"/>
  <c r="CG15" i="6"/>
  <c r="ES15" i="6" s="1"/>
  <c r="CH16" i="6"/>
  <c r="CE16" i="6"/>
  <c r="CI16" i="6"/>
  <c r="CF16" i="6"/>
  <c r="ES16" i="6" s="1"/>
  <c r="CG22" i="6"/>
  <c r="ES22" i="6" s="1"/>
  <c r="CF22" i="6"/>
  <c r="J171" i="17" l="1"/>
  <c r="ET16" i="6"/>
  <c r="ET50" i="6"/>
  <c r="I171" i="17"/>
  <c r="ET36" i="6"/>
  <c r="ET51" i="6"/>
  <c r="I165" i="17"/>
  <c r="J165" i="17"/>
  <c r="G165" i="17"/>
  <c r="K165" i="17"/>
  <c r="O165" i="17"/>
  <c r="L152" i="17"/>
  <c r="K173" i="17"/>
  <c r="G173" i="17"/>
  <c r="J164" i="17"/>
  <c r="L165" i="17"/>
  <c r="O173" i="17"/>
  <c r="I173" i="17"/>
  <c r="J173" i="17"/>
  <c r="G164" i="17"/>
  <c r="I164" i="17"/>
  <c r="N164" i="17"/>
  <c r="P173" i="17"/>
  <c r="P164" i="17"/>
  <c r="K152" i="17"/>
  <c r="Q165" i="17"/>
  <c r="R165" i="17"/>
  <c r="H173" i="17"/>
  <c r="M173" i="17"/>
  <c r="H165" i="17"/>
  <c r="H152" i="17"/>
  <c r="R152" i="17"/>
  <c r="Q152" i="17"/>
  <c r="K164" i="17"/>
  <c r="M165" i="17"/>
  <c r="N165" i="17"/>
  <c r="N171" i="17"/>
  <c r="L173" i="17"/>
  <c r="N173" i="17"/>
  <c r="Q173" i="17"/>
  <c r="G15" i="17"/>
  <c r="G172" i="17"/>
  <c r="K15" i="17"/>
  <c r="K172" i="17"/>
  <c r="O15" i="17"/>
  <c r="O172" i="17"/>
  <c r="H172" i="17"/>
  <c r="H15" i="17"/>
  <c r="P172" i="17"/>
  <c r="P15" i="17"/>
  <c r="P152" i="17"/>
  <c r="J152" i="17"/>
  <c r="Q171" i="17"/>
  <c r="R171" i="17"/>
  <c r="L171" i="17"/>
  <c r="H164" i="17"/>
  <c r="M164" i="17"/>
  <c r="R164" i="17"/>
  <c r="I15" i="17"/>
  <c r="I172" i="17"/>
  <c r="M15" i="17"/>
  <c r="M172" i="17"/>
  <c r="Q15" i="17"/>
  <c r="Q172" i="17"/>
  <c r="L172" i="17"/>
  <c r="L15" i="17"/>
  <c r="P165" i="17"/>
  <c r="G152" i="17"/>
  <c r="I152" i="17"/>
  <c r="N152" i="17"/>
  <c r="L164" i="17"/>
  <c r="Q164" i="17"/>
  <c r="J172" i="17"/>
  <c r="J15" i="17"/>
  <c r="N172" i="17"/>
  <c r="N15" i="17"/>
  <c r="R172" i="17"/>
  <c r="R174" i="17" s="1"/>
  <c r="R15" i="17"/>
  <c r="BH12" i="5"/>
  <c r="E173" i="17"/>
  <c r="AX166" i="17"/>
  <c r="AX160" i="17"/>
  <c r="AX154" i="17"/>
  <c r="AX148" i="17"/>
  <c r="AX142" i="17"/>
  <c r="AX136" i="17"/>
  <c r="AX130" i="17"/>
  <c r="AX124" i="17"/>
  <c r="AX118" i="17"/>
  <c r="AX112" i="17"/>
  <c r="AX106" i="17"/>
  <c r="AX100" i="17"/>
  <c r="AX94" i="17"/>
  <c r="AX88" i="17"/>
  <c r="AX82" i="17"/>
  <c r="AX76" i="17"/>
  <c r="AX70" i="17"/>
  <c r="AX64" i="17"/>
  <c r="AX58" i="17"/>
  <c r="AX52" i="17"/>
  <c r="AX46" i="17"/>
  <c r="AX40" i="17"/>
  <c r="AX34" i="17"/>
  <c r="AG34" i="17"/>
  <c r="AX28" i="17"/>
  <c r="AX22" i="17"/>
  <c r="AX16" i="17"/>
  <c r="AX10" i="17"/>
  <c r="N174" i="17" l="1"/>
  <c r="G174" i="17"/>
  <c r="H174" i="17"/>
  <c r="J174" i="17"/>
  <c r="P174" i="17"/>
  <c r="I174" i="17"/>
  <c r="M174" i="17"/>
  <c r="O174" i="17"/>
  <c r="K174" i="17"/>
  <c r="Q174" i="17"/>
  <c r="L174" i="17"/>
  <c r="E174" i="17"/>
  <c r="X172" i="17"/>
  <c r="X173" i="17"/>
  <c r="AB173" i="17"/>
  <c r="Z172" i="17"/>
  <c r="Y172" i="17"/>
  <c r="AC172" i="17"/>
  <c r="Y173" i="17"/>
  <c r="AC173" i="17"/>
  <c r="AD172" i="17"/>
  <c r="Z173" i="17"/>
  <c r="AD173" i="17"/>
  <c r="W172" i="17"/>
  <c r="W173" i="17"/>
  <c r="AA173" i="17"/>
  <c r="AE173" i="17"/>
  <c r="AE172" i="17"/>
  <c r="AA172" i="17"/>
  <c r="AB172" i="17"/>
  <c r="AB174" i="17" l="1"/>
  <c r="Z174" i="17"/>
  <c r="AD174" i="17"/>
  <c r="X174" i="17"/>
  <c r="AA174" i="17"/>
  <c r="AC174" i="17"/>
  <c r="AE174" i="17"/>
  <c r="Y174" i="17"/>
  <c r="W174" i="17"/>
  <c r="BE15" i="5"/>
  <c r="BC45" i="6"/>
  <c r="BC38" i="6"/>
  <c r="BB41" i="6"/>
  <c r="BB40" i="6"/>
  <c r="BB38" i="6"/>
  <c r="BA41" i="6"/>
  <c r="BA40" i="6"/>
  <c r="BA38" i="6"/>
  <c r="BE55" i="6"/>
  <c r="BE52" i="6"/>
  <c r="BD56" i="6"/>
  <c r="BD55" i="6"/>
  <c r="BD54" i="6"/>
  <c r="BD52" i="6"/>
  <c r="BC55" i="6"/>
  <c r="BC52" i="6"/>
  <c r="BB56" i="6"/>
  <c r="BB55" i="6"/>
  <c r="BB54" i="6"/>
  <c r="BB52" i="6"/>
  <c r="BA56" i="6"/>
  <c r="BA55" i="6"/>
  <c r="BA54" i="6"/>
  <c r="BA52" i="6"/>
  <c r="BE45" i="6"/>
  <c r="BC48" i="6"/>
  <c r="BB48" i="6"/>
  <c r="BB47" i="6"/>
  <c r="BB46" i="6"/>
  <c r="BA48" i="6"/>
  <c r="BA47" i="6"/>
  <c r="BA46" i="6"/>
  <c r="BE41" i="6"/>
  <c r="BE38" i="6"/>
  <c r="BD41" i="6"/>
  <c r="BD38" i="6"/>
  <c r="BC41" i="6"/>
  <c r="BD31" i="6"/>
  <c r="H369" i="15" s="1"/>
  <c r="BC34" i="6"/>
  <c r="BC31" i="6"/>
  <c r="BB35" i="6"/>
  <c r="BB34" i="6"/>
  <c r="BB33" i="6"/>
  <c r="BB31" i="6"/>
  <c r="BA31" i="6"/>
  <c r="BE24" i="6"/>
  <c r="BD24" i="6"/>
  <c r="H396" i="15" s="1"/>
  <c r="BC24" i="6"/>
  <c r="BC27" i="6"/>
  <c r="BB27" i="6"/>
  <c r="BB24" i="6"/>
  <c r="BA24" i="6"/>
  <c r="BE17" i="6"/>
  <c r="BD17" i="6"/>
  <c r="H395" i="15" s="1"/>
  <c r="BC20" i="6"/>
  <c r="BC17" i="6"/>
  <c r="BB21" i="6"/>
  <c r="BB20" i="6"/>
  <c r="BB19" i="6"/>
  <c r="BB17" i="6"/>
  <c r="BA21" i="6"/>
  <c r="BA20" i="6"/>
  <c r="BA19" i="6"/>
  <c r="BA17" i="6"/>
  <c r="BE13" i="6"/>
  <c r="BE10" i="6"/>
  <c r="BD13" i="6"/>
  <c r="BD11" i="6"/>
  <c r="BD10" i="6"/>
  <c r="BC13" i="6"/>
  <c r="BC10" i="6"/>
  <c r="BB13" i="6"/>
  <c r="BB11" i="6"/>
  <c r="BB10" i="6"/>
  <c r="BA13" i="6"/>
  <c r="BA11" i="6"/>
  <c r="E583" i="15" s="1"/>
  <c r="BA10" i="6"/>
  <c r="AZ60" i="6"/>
  <c r="AZ59" i="6"/>
  <c r="AZ58" i="6"/>
  <c r="AZ57" i="6"/>
  <c r="AZ51" i="6"/>
  <c r="AZ50" i="6"/>
  <c r="AZ44" i="6"/>
  <c r="AZ43" i="6"/>
  <c r="AZ37" i="6"/>
  <c r="AZ36" i="6"/>
  <c r="AZ30" i="6"/>
  <c r="AZ29" i="6"/>
  <c r="AZ23" i="6"/>
  <c r="AZ22" i="6"/>
  <c r="AZ16" i="6"/>
  <c r="AZ15" i="6"/>
  <c r="I14" i="5"/>
  <c r="BG16" i="5"/>
  <c r="BG15" i="5"/>
  <c r="BG14" i="5"/>
  <c r="BG13" i="5"/>
  <c r="BG12" i="5"/>
  <c r="BF16" i="5"/>
  <c r="BF12" i="5"/>
  <c r="BE16" i="5"/>
  <c r="BE14" i="5"/>
  <c r="BE13" i="5"/>
  <c r="BE12" i="5"/>
  <c r="BD14" i="5"/>
  <c r="BD13" i="5"/>
  <c r="BD12" i="5"/>
  <c r="BC12" i="5"/>
  <c r="AY45" i="6"/>
  <c r="BB45" i="6" s="1"/>
  <c r="BB50" i="6" s="1"/>
  <c r="G778" i="15"/>
  <c r="G783" i="15"/>
  <c r="G782" i="15"/>
  <c r="G781" i="15"/>
  <c r="G780" i="15"/>
  <c r="G779" i="15"/>
  <c r="G777" i="15"/>
  <c r="K394" i="15"/>
  <c r="K400" i="15"/>
  <c r="K399" i="15"/>
  <c r="K398" i="15"/>
  <c r="K397" i="15"/>
  <c r="K396" i="15"/>
  <c r="K395" i="15"/>
  <c r="AX60" i="6"/>
  <c r="DN45" i="6"/>
  <c r="BD46" i="6"/>
  <c r="H393" i="15"/>
  <c r="H400" i="15"/>
  <c r="BD40" i="6"/>
  <c r="BE31" i="6"/>
  <c r="H388" i="15"/>
  <c r="H398" i="15"/>
  <c r="H391" i="15"/>
  <c r="H389" i="15"/>
  <c r="H394" i="15"/>
  <c r="H387" i="15"/>
  <c r="AX59" i="6"/>
  <c r="AX58" i="6"/>
  <c r="AX57" i="6"/>
  <c r="AX51" i="6"/>
  <c r="AX50" i="6"/>
  <c r="AX44" i="6"/>
  <c r="AX43" i="6"/>
  <c r="AX37" i="6"/>
  <c r="AX36" i="6"/>
  <c r="AX30" i="6"/>
  <c r="AX29" i="6"/>
  <c r="AX23" i="6"/>
  <c r="AX22" i="6"/>
  <c r="AX16" i="6"/>
  <c r="AX15" i="6"/>
  <c r="BF14" i="5"/>
  <c r="G772" i="15"/>
  <c r="G776" i="15"/>
  <c r="G775" i="15"/>
  <c r="G774" i="15"/>
  <c r="G773" i="15"/>
  <c r="G771" i="15"/>
  <c r="G770" i="15"/>
  <c r="G784" i="15"/>
  <c r="K393" i="15"/>
  <c r="K392" i="15"/>
  <c r="K391" i="15"/>
  <c r="K390" i="15"/>
  <c r="K389" i="15"/>
  <c r="K388" i="15"/>
  <c r="K387" i="15"/>
  <c r="AX61" i="6"/>
  <c r="BD33" i="6"/>
  <c r="BD47" i="6"/>
  <c r="BE20" i="6"/>
  <c r="AV60" i="6"/>
  <c r="AV59" i="6"/>
  <c r="AV58" i="6"/>
  <c r="AV57" i="6"/>
  <c r="AV51" i="6"/>
  <c r="AV50" i="6"/>
  <c r="AV44" i="6"/>
  <c r="AV43" i="6"/>
  <c r="AV37" i="6"/>
  <c r="AV36" i="6"/>
  <c r="AV30" i="6"/>
  <c r="AV29" i="6"/>
  <c r="AV23" i="6"/>
  <c r="AV22" i="6"/>
  <c r="AV16" i="6"/>
  <c r="AV15" i="6"/>
  <c r="AT43" i="6"/>
  <c r="AT44" i="6"/>
  <c r="BF13" i="5"/>
  <c r="BC14" i="5"/>
  <c r="AM60" i="6"/>
  <c r="AK60" i="6"/>
  <c r="AC60" i="6"/>
  <c r="AT60" i="6"/>
  <c r="AS42" i="6"/>
  <c r="BD42" i="6" s="1"/>
  <c r="BD44" i="6" s="1"/>
  <c r="AS28" i="6"/>
  <c r="AS14" i="6"/>
  <c r="BA14" i="6" s="1"/>
  <c r="BA16" i="6" s="1"/>
  <c r="AV61" i="6"/>
  <c r="G769" i="15"/>
  <c r="G768" i="15"/>
  <c r="G767" i="15"/>
  <c r="G766" i="15"/>
  <c r="G765" i="15"/>
  <c r="G764" i="15"/>
  <c r="G763" i="15"/>
  <c r="K381" i="15"/>
  <c r="K382" i="15"/>
  <c r="K383" i="15"/>
  <c r="K384" i="15"/>
  <c r="K385" i="15"/>
  <c r="K386" i="15"/>
  <c r="H386" i="15"/>
  <c r="H384" i="15"/>
  <c r="H382" i="15"/>
  <c r="H381" i="15"/>
  <c r="H380" i="15"/>
  <c r="AS53" i="6"/>
  <c r="AS39" i="6"/>
  <c r="AS32" i="6"/>
  <c r="AS25" i="6"/>
  <c r="BB25" i="6" s="1"/>
  <c r="AS18" i="6"/>
  <c r="AT58" i="6"/>
  <c r="AT57" i="6"/>
  <c r="AT30" i="6"/>
  <c r="AT29" i="6"/>
  <c r="AT23" i="6"/>
  <c r="AT22" i="6"/>
  <c r="AT16" i="6"/>
  <c r="AT15" i="6"/>
  <c r="BE34" i="6"/>
  <c r="AR30" i="6"/>
  <c r="AR29" i="6"/>
  <c r="AQ49" i="6"/>
  <c r="AQ60" i="6" s="1"/>
  <c r="AQ61" i="6" s="1"/>
  <c r="AB60" i="6"/>
  <c r="BE48" i="6"/>
  <c r="BE27" i="6"/>
  <c r="G762" i="15"/>
  <c r="G761" i="15"/>
  <c r="G760" i="15"/>
  <c r="G759" i="15"/>
  <c r="G758" i="15"/>
  <c r="G757" i="15"/>
  <c r="G756" i="15"/>
  <c r="K379" i="15"/>
  <c r="K378" i="15"/>
  <c r="K377" i="15"/>
  <c r="K376" i="15"/>
  <c r="K375" i="15"/>
  <c r="K374" i="15"/>
  <c r="K373" i="15"/>
  <c r="H379" i="15"/>
  <c r="H377" i="15"/>
  <c r="H376" i="15"/>
  <c r="H375" i="15"/>
  <c r="H374" i="15"/>
  <c r="H373" i="15"/>
  <c r="AU53" i="6"/>
  <c r="BA53" i="6" s="1"/>
  <c r="E589" i="15" s="1"/>
  <c r="AQ53" i="6"/>
  <c r="BB53" i="6" s="1"/>
  <c r="BB58" i="6" s="1"/>
  <c r="AU39" i="6"/>
  <c r="BA39" i="6" s="1"/>
  <c r="AQ39" i="6"/>
  <c r="BD39" i="6" s="1"/>
  <c r="AQ32" i="6"/>
  <c r="BB32" i="6" s="1"/>
  <c r="AU25" i="6"/>
  <c r="BA25" i="6" s="1"/>
  <c r="AU18" i="6"/>
  <c r="BA18" i="6" s="1"/>
  <c r="AQ18" i="6"/>
  <c r="BB18" i="6" s="1"/>
  <c r="BB23" i="6" s="1"/>
  <c r="AR58" i="6"/>
  <c r="AR57" i="6"/>
  <c r="AR16" i="6"/>
  <c r="AR15" i="6"/>
  <c r="AR23" i="6"/>
  <c r="AR22" i="6"/>
  <c r="AR44" i="6"/>
  <c r="AR43" i="6"/>
  <c r="BB22" i="6"/>
  <c r="G755" i="15"/>
  <c r="G754" i="15"/>
  <c r="G753" i="15"/>
  <c r="G752" i="15"/>
  <c r="G751" i="15"/>
  <c r="G750" i="15"/>
  <c r="G749" i="15"/>
  <c r="H372" i="15"/>
  <c r="H370" i="15"/>
  <c r="H368" i="15"/>
  <c r="H367" i="15"/>
  <c r="H366" i="15"/>
  <c r="K372" i="15"/>
  <c r="K371" i="15"/>
  <c r="K370" i="15"/>
  <c r="K369" i="15"/>
  <c r="K368" i="15"/>
  <c r="K367" i="15"/>
  <c r="K366" i="15"/>
  <c r="AP57" i="6"/>
  <c r="AP43" i="6"/>
  <c r="AP29" i="6"/>
  <c r="AP22" i="6"/>
  <c r="AP15" i="6"/>
  <c r="Z50" i="6"/>
  <c r="AM43" i="6"/>
  <c r="AP58" i="6"/>
  <c r="AP51" i="6"/>
  <c r="AP44" i="6"/>
  <c r="AP37" i="6"/>
  <c r="AP30" i="6"/>
  <c r="AP23" i="6"/>
  <c r="AP16" i="6"/>
  <c r="H360" i="15"/>
  <c r="G743" i="15"/>
  <c r="G748" i="15"/>
  <c r="G747" i="15"/>
  <c r="G746" i="15"/>
  <c r="G745" i="15"/>
  <c r="G744" i="15"/>
  <c r="G742" i="15"/>
  <c r="G735" i="15"/>
  <c r="H365" i="15"/>
  <c r="H363" i="15"/>
  <c r="H359" i="15"/>
  <c r="K360" i="15"/>
  <c r="K361" i="15"/>
  <c r="K362" i="15"/>
  <c r="K363" i="15"/>
  <c r="K364" i="15"/>
  <c r="K365" i="15"/>
  <c r="G741" i="15"/>
  <c r="G740" i="15"/>
  <c r="G739" i="15"/>
  <c r="G738" i="15"/>
  <c r="G737" i="15"/>
  <c r="G736" i="15"/>
  <c r="H358" i="15"/>
  <c r="H356" i="15"/>
  <c r="H353" i="15"/>
  <c r="H352" i="15"/>
  <c r="K353" i="15"/>
  <c r="K354" i="15"/>
  <c r="K355" i="15"/>
  <c r="K356" i="15"/>
  <c r="K357" i="15"/>
  <c r="K358" i="15"/>
  <c r="K351" i="15"/>
  <c r="G848" i="15"/>
  <c r="G847" i="15"/>
  <c r="G846" i="15"/>
  <c r="G845" i="15"/>
  <c r="G844" i="15"/>
  <c r="G843" i="15"/>
  <c r="G842" i="15"/>
  <c r="G841" i="15"/>
  <c r="G840" i="15"/>
  <c r="G839" i="15"/>
  <c r="G838" i="15"/>
  <c r="G837" i="15"/>
  <c r="G833" i="15"/>
  <c r="G832" i="15"/>
  <c r="G831" i="15"/>
  <c r="G830" i="15"/>
  <c r="G829" i="15"/>
  <c r="G828" i="15"/>
  <c r="G827" i="15"/>
  <c r="G826" i="15"/>
  <c r="G825" i="15"/>
  <c r="G824" i="15"/>
  <c r="G823" i="15"/>
  <c r="G822" i="15"/>
  <c r="G818" i="15"/>
  <c r="G817" i="15"/>
  <c r="G816" i="15"/>
  <c r="G815" i="15"/>
  <c r="G814" i="15"/>
  <c r="G813" i="15"/>
  <c r="G812" i="15"/>
  <c r="G811" i="15"/>
  <c r="G810" i="15"/>
  <c r="G731" i="15"/>
  <c r="G728" i="15"/>
  <c r="G724" i="15"/>
  <c r="G721" i="15"/>
  <c r="G717" i="15"/>
  <c r="G714" i="15"/>
  <c r="G710" i="15"/>
  <c r="G707" i="15"/>
  <c r="G700" i="15"/>
  <c r="G697" i="15"/>
  <c r="H696" i="15"/>
  <c r="H695" i="15"/>
  <c r="H694" i="15"/>
  <c r="H693" i="15"/>
  <c r="G693" i="15"/>
  <c r="H692" i="15"/>
  <c r="H691" i="15"/>
  <c r="H690" i="15"/>
  <c r="G690" i="15"/>
  <c r="G686" i="15"/>
  <c r="G683" i="15"/>
  <c r="H682" i="15"/>
  <c r="H681" i="15"/>
  <c r="H680" i="15"/>
  <c r="H679" i="15"/>
  <c r="G679" i="15"/>
  <c r="H678" i="15"/>
  <c r="H677" i="15"/>
  <c r="H676" i="15"/>
  <c r="G676" i="15"/>
  <c r="H675" i="15"/>
  <c r="H674" i="15"/>
  <c r="H673" i="15"/>
  <c r="H672" i="15"/>
  <c r="G672" i="15"/>
  <c r="H671" i="15"/>
  <c r="H670" i="15"/>
  <c r="H669" i="15"/>
  <c r="G669" i="15"/>
  <c r="H668" i="15"/>
  <c r="H667" i="15"/>
  <c r="H666" i="15"/>
  <c r="H665" i="15"/>
  <c r="G665" i="15"/>
  <c r="H664" i="15"/>
  <c r="H663" i="15"/>
  <c r="H662" i="15"/>
  <c r="G662" i="15"/>
  <c r="K464" i="15"/>
  <c r="K463" i="15"/>
  <c r="K462" i="15"/>
  <c r="K461" i="15"/>
  <c r="K460" i="15"/>
  <c r="K459" i="15"/>
  <c r="K458" i="15"/>
  <c r="K457" i="15"/>
  <c r="K456" i="15"/>
  <c r="K455" i="15"/>
  <c r="K454" i="15"/>
  <c r="K453" i="15"/>
  <c r="K449" i="15"/>
  <c r="K448" i="15"/>
  <c r="K447" i="15"/>
  <c r="K446" i="15"/>
  <c r="K445" i="15"/>
  <c r="K444" i="15"/>
  <c r="K443" i="15"/>
  <c r="K442" i="15"/>
  <c r="K441" i="15"/>
  <c r="K440" i="15"/>
  <c r="K439" i="15"/>
  <c r="K438" i="15"/>
  <c r="K434" i="15"/>
  <c r="K433" i="15"/>
  <c r="K432" i="15"/>
  <c r="K431" i="15"/>
  <c r="K430" i="15"/>
  <c r="K429" i="15"/>
  <c r="K428" i="15"/>
  <c r="K427" i="15"/>
  <c r="K426" i="15"/>
  <c r="K401" i="15"/>
  <c r="K380" i="15"/>
  <c r="K359" i="15"/>
  <c r="K352" i="15"/>
  <c r="K350" i="15"/>
  <c r="K349" i="15"/>
  <c r="K348" i="15"/>
  <c r="K347" i="15"/>
  <c r="K346" i="15"/>
  <c r="K345" i="15"/>
  <c r="K344" i="15"/>
  <c r="K343" i="15"/>
  <c r="K342" i="15"/>
  <c r="K341" i="15"/>
  <c r="K340" i="15"/>
  <c r="K339" i="15"/>
  <c r="K338" i="15"/>
  <c r="K337" i="15"/>
  <c r="K336" i="15"/>
  <c r="K335" i="15"/>
  <c r="K334" i="15"/>
  <c r="K333" i="15"/>
  <c r="K332" i="15"/>
  <c r="K331" i="15"/>
  <c r="K330" i="15"/>
  <c r="K329" i="15"/>
  <c r="K328" i="15"/>
  <c r="K327" i="15"/>
  <c r="K326" i="15"/>
  <c r="K325" i="15"/>
  <c r="K324" i="15"/>
  <c r="K320" i="15"/>
  <c r="K319" i="15"/>
  <c r="K318" i="15"/>
  <c r="K317" i="15"/>
  <c r="K316" i="15"/>
  <c r="K315" i="15"/>
  <c r="K314" i="15"/>
  <c r="K313" i="15"/>
  <c r="K312" i="15"/>
  <c r="K311" i="15"/>
  <c r="K310" i="15"/>
  <c r="K309" i="15"/>
  <c r="K308" i="15"/>
  <c r="K307" i="15"/>
  <c r="H689" i="15"/>
  <c r="K306" i="15"/>
  <c r="H688" i="15"/>
  <c r="K305" i="15"/>
  <c r="H687" i="15"/>
  <c r="K304" i="15"/>
  <c r="H686" i="15"/>
  <c r="K303" i="15"/>
  <c r="H685" i="15"/>
  <c r="K302" i="15"/>
  <c r="H684" i="15"/>
  <c r="K301" i="15"/>
  <c r="H683" i="15"/>
  <c r="K300" i="15"/>
  <c r="K299" i="15"/>
  <c r="K298" i="15"/>
  <c r="K297" i="15"/>
  <c r="K296" i="15"/>
  <c r="K295" i="15"/>
  <c r="K294" i="15"/>
  <c r="K293" i="15"/>
  <c r="K292" i="15"/>
  <c r="K291" i="15"/>
  <c r="K290" i="15"/>
  <c r="K289" i="15"/>
  <c r="K288" i="15"/>
  <c r="K287" i="15"/>
  <c r="K286" i="15"/>
  <c r="K285" i="15"/>
  <c r="K284" i="15"/>
  <c r="K283" i="15"/>
  <c r="K282" i="15"/>
  <c r="K281" i="15"/>
  <c r="K280" i="15"/>
  <c r="K279" i="15"/>
  <c r="H275" i="15"/>
  <c r="H274" i="15"/>
  <c r="H273" i="15"/>
  <c r="H272" i="15"/>
  <c r="H271" i="15"/>
  <c r="H270" i="15"/>
  <c r="H269" i="15"/>
  <c r="H268" i="15"/>
  <c r="H267" i="15"/>
  <c r="H266" i="15"/>
  <c r="H265" i="15"/>
  <c r="H264" i="15"/>
  <c r="H260" i="15"/>
  <c r="H259" i="15"/>
  <c r="H258" i="15"/>
  <c r="H257" i="15"/>
  <c r="H256" i="15"/>
  <c r="H255" i="15"/>
  <c r="H254" i="15"/>
  <c r="H253" i="15"/>
  <c r="H252" i="15"/>
  <c r="H251" i="15"/>
  <c r="H250" i="15"/>
  <c r="H249" i="15"/>
  <c r="H245" i="15"/>
  <c r="H244" i="15"/>
  <c r="H243" i="15"/>
  <c r="H242" i="15"/>
  <c r="H241" i="15"/>
  <c r="H240" i="15"/>
  <c r="H239" i="15"/>
  <c r="H238" i="15"/>
  <c r="H68" i="15"/>
  <c r="H67" i="15"/>
  <c r="H66" i="15"/>
  <c r="H65" i="15"/>
  <c r="H63" i="15"/>
  <c r="H62" i="15"/>
  <c r="H61" i="15"/>
  <c r="H60" i="15"/>
  <c r="H59" i="15"/>
  <c r="G719" i="15"/>
  <c r="G667" i="15"/>
  <c r="G696" i="15"/>
  <c r="G715" i="15"/>
  <c r="G720" i="15"/>
  <c r="G681" i="15"/>
  <c r="G699" i="15"/>
  <c r="G709" i="15"/>
  <c r="G729" i="15"/>
  <c r="G725" i="15"/>
  <c r="G734" i="15"/>
  <c r="G678" i="15"/>
  <c r="G692" i="15"/>
  <c r="G695" i="15"/>
  <c r="G711" i="15"/>
  <c r="G675" i="15"/>
  <c r="G687" i="15"/>
  <c r="G694" i="15"/>
  <c r="G732" i="15"/>
  <c r="G727" i="15"/>
  <c r="G698" i="15"/>
  <c r="G702" i="15"/>
  <c r="G722" i="15"/>
  <c r="G712" i="15"/>
  <c r="G663" i="15"/>
  <c r="G666" i="15"/>
  <c r="G682" i="15"/>
  <c r="G684" i="15"/>
  <c r="G701" i="15"/>
  <c r="G730" i="15"/>
  <c r="G668" i="15"/>
  <c r="G671" i="15"/>
  <c r="G674" i="15"/>
  <c r="G677" i="15"/>
  <c r="G680" i="15"/>
  <c r="G685" i="15"/>
  <c r="G689" i="15"/>
  <c r="G691" i="15"/>
  <c r="G708" i="15"/>
  <c r="G713" i="15"/>
  <c r="G718" i="15"/>
  <c r="G723" i="15"/>
  <c r="G733" i="15"/>
  <c r="G664" i="15"/>
  <c r="G670" i="15"/>
  <c r="G673" i="15"/>
  <c r="G688" i="15"/>
  <c r="G703" i="15"/>
  <c r="G716" i="15"/>
  <c r="G726" i="15"/>
  <c r="DN37" i="6"/>
  <c r="AM59" i="6"/>
  <c r="AS49" i="6"/>
  <c r="BA49" i="6" s="1"/>
  <c r="BA51" i="6" s="1"/>
  <c r="BD49" i="6"/>
  <c r="EU49" i="6" s="1"/>
  <c r="BD32" i="6"/>
  <c r="AY30" i="6"/>
  <c r="AY29" i="6"/>
  <c r="AW30" i="6"/>
  <c r="AW29" i="6"/>
  <c r="AU30" i="6"/>
  <c r="AU29" i="6"/>
  <c r="AS30" i="6"/>
  <c r="AS29" i="6"/>
  <c r="AQ30" i="6"/>
  <c r="AQ29" i="6"/>
  <c r="AO30" i="6"/>
  <c r="AO29" i="6"/>
  <c r="AN30" i="6"/>
  <c r="AN29" i="6"/>
  <c r="AM30" i="6"/>
  <c r="AM29" i="6"/>
  <c r="AL29" i="6"/>
  <c r="BD21" i="6"/>
  <c r="BD20" i="6"/>
  <c r="BD19" i="6"/>
  <c r="BD18" i="6"/>
  <c r="BD23" i="6" s="1"/>
  <c r="G24" i="6"/>
  <c r="H361" i="15"/>
  <c r="H354" i="15"/>
  <c r="AN60" i="6"/>
  <c r="AN59" i="6"/>
  <c r="AN61" i="6" s="1"/>
  <c r="AN58" i="6"/>
  <c r="AN57" i="6"/>
  <c r="AN51" i="6"/>
  <c r="AN50" i="6"/>
  <c r="AN44" i="6"/>
  <c r="AN43" i="6"/>
  <c r="AN37" i="6"/>
  <c r="AN36" i="6"/>
  <c r="AN23" i="6"/>
  <c r="AN22" i="6"/>
  <c r="AN16" i="6"/>
  <c r="AN15" i="6"/>
  <c r="BC15" i="5"/>
  <c r="G17" i="6"/>
  <c r="AJ54" i="6"/>
  <c r="AL54" i="6" s="1"/>
  <c r="BC54" i="6" s="1"/>
  <c r="AF56" i="6"/>
  <c r="AF53" i="6"/>
  <c r="AF49" i="6"/>
  <c r="AJ47" i="6"/>
  <c r="AF46" i="6"/>
  <c r="AF42" i="6"/>
  <c r="AF39" i="6"/>
  <c r="AJ33" i="6"/>
  <c r="AF32" i="6"/>
  <c r="AL36" i="6"/>
  <c r="AF35" i="6"/>
  <c r="AF28" i="6"/>
  <c r="AH28" i="6" s="1"/>
  <c r="AJ28" i="6" s="1"/>
  <c r="AJ26" i="6"/>
  <c r="AL12" i="6"/>
  <c r="BE12" i="6" s="1"/>
  <c r="AF14" i="6"/>
  <c r="AH14" i="6" s="1"/>
  <c r="AJ14" i="6" s="1"/>
  <c r="AF11" i="6"/>
  <c r="AJ40" i="6"/>
  <c r="AI26" i="6"/>
  <c r="BB26" i="6" s="1"/>
  <c r="AJ19" i="6"/>
  <c r="AL19" i="6" s="1"/>
  <c r="AE28" i="6"/>
  <c r="BB28" i="6" s="1"/>
  <c r="AF25" i="6"/>
  <c r="AF21" i="6"/>
  <c r="AH21" i="6" s="1"/>
  <c r="AJ21" i="6" s="1"/>
  <c r="AL21" i="6" s="1"/>
  <c r="AF18" i="6"/>
  <c r="AH18" i="6" s="1"/>
  <c r="AH42" i="6"/>
  <c r="AH49" i="6"/>
  <c r="AJ49" i="6" s="1"/>
  <c r="AL49" i="6" s="1"/>
  <c r="AL47" i="6"/>
  <c r="AM12" i="6"/>
  <c r="AO12" i="6" s="1"/>
  <c r="AQ12" i="6" s="1"/>
  <c r="AS12" i="6" s="1"/>
  <c r="AU12" i="6" s="1"/>
  <c r="AW12" i="6" s="1"/>
  <c r="AY12" i="6" s="1"/>
  <c r="AH46" i="6"/>
  <c r="AH39" i="6"/>
  <c r="AJ39" i="6" s="1"/>
  <c r="AH11" i="6"/>
  <c r="AJ11" i="6" s="1"/>
  <c r="AL11" i="6" s="1"/>
  <c r="AH25" i="6"/>
  <c r="AJ25" i="6" s="1"/>
  <c r="AL26" i="6"/>
  <c r="BE26" i="6" s="1"/>
  <c r="AJ42" i="6"/>
  <c r="AL40" i="6"/>
  <c r="AH32" i="6"/>
  <c r="AH53" i="6"/>
  <c r="AB59" i="6"/>
  <c r="BC13" i="5"/>
  <c r="AJ32" i="6"/>
  <c r="AL32" i="6" s="1"/>
  <c r="BE32" i="6" s="1"/>
  <c r="AL42" i="6"/>
  <c r="U65" i="7"/>
  <c r="T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DN30" i="6"/>
  <c r="DN29" i="6"/>
  <c r="CJ30" i="6"/>
  <c r="CJ29" i="6"/>
  <c r="DN16" i="6"/>
  <c r="DN15" i="6"/>
  <c r="CJ16" i="6"/>
  <c r="BF16" i="6"/>
  <c r="AK30" i="6"/>
  <c r="AK29" i="6"/>
  <c r="AJ29" i="6"/>
  <c r="AI30" i="6"/>
  <c r="AI29" i="6"/>
  <c r="AH29" i="6"/>
  <c r="AG30" i="6"/>
  <c r="AG29" i="6"/>
  <c r="AF30" i="6"/>
  <c r="AF29" i="6"/>
  <c r="AE29" i="6"/>
  <c r="AD30" i="6"/>
  <c r="AD29" i="6"/>
  <c r="AC30" i="6"/>
  <c r="AC29" i="6"/>
  <c r="AB30" i="6"/>
  <c r="AB29" i="6"/>
  <c r="AA30" i="6"/>
  <c r="AA29" i="6"/>
  <c r="Z30" i="6"/>
  <c r="Z29" i="6"/>
  <c r="H60" i="6"/>
  <c r="DN60" i="6"/>
  <c r="DH60" i="6"/>
  <c r="DG60" i="6"/>
  <c r="DF60" i="6"/>
  <c r="DE60" i="6"/>
  <c r="DD60" i="6"/>
  <c r="DC60" i="6"/>
  <c r="DB60" i="6"/>
  <c r="DA60" i="6"/>
  <c r="CZ60" i="6"/>
  <c r="CY60" i="6"/>
  <c r="CX60" i="6"/>
  <c r="CW60" i="6"/>
  <c r="CV60" i="6"/>
  <c r="CU60" i="6"/>
  <c r="CT60" i="6"/>
  <c r="CS60" i="6"/>
  <c r="CR60" i="6"/>
  <c r="CQ60" i="6"/>
  <c r="CP60" i="6"/>
  <c r="CO60" i="6"/>
  <c r="CN60" i="6"/>
  <c r="CM60" i="6"/>
  <c r="CL60" i="6"/>
  <c r="CK60" i="6"/>
  <c r="CJ60" i="6"/>
  <c r="CD60" i="6"/>
  <c r="BN60" i="6"/>
  <c r="BM60" i="6"/>
  <c r="AW60" i="6"/>
  <c r="AU60" i="6"/>
  <c r="AR60" i="6"/>
  <c r="AP60" i="6"/>
  <c r="AO60" i="6"/>
  <c r="AI60" i="6"/>
  <c r="AG60" i="6"/>
  <c r="AE60" i="6"/>
  <c r="AE61" i="6" s="1"/>
  <c r="AD60" i="6"/>
  <c r="AA60" i="6"/>
  <c r="Z60" i="6"/>
  <c r="Y60" i="6"/>
  <c r="X60" i="6"/>
  <c r="W60" i="6"/>
  <c r="V60" i="6"/>
  <c r="U60" i="6"/>
  <c r="T60" i="6"/>
  <c r="S60" i="6"/>
  <c r="R60" i="6"/>
  <c r="Q60" i="6"/>
  <c r="P60" i="6"/>
  <c r="O60" i="6"/>
  <c r="O61" i="6" s="1"/>
  <c r="N60" i="6"/>
  <c r="M60" i="6"/>
  <c r="L60" i="6"/>
  <c r="K60" i="6"/>
  <c r="J60" i="6"/>
  <c r="I60" i="6"/>
  <c r="DN59" i="6"/>
  <c r="DH59" i="6"/>
  <c r="DG59" i="6"/>
  <c r="DF59" i="6"/>
  <c r="DE59" i="6"/>
  <c r="DD59" i="6"/>
  <c r="DC59" i="6"/>
  <c r="DB59" i="6"/>
  <c r="DA59" i="6"/>
  <c r="CZ59" i="6"/>
  <c r="CY59" i="6"/>
  <c r="CX59" i="6"/>
  <c r="CW59" i="6"/>
  <c r="CV59" i="6"/>
  <c r="CU59" i="6"/>
  <c r="CT59" i="6"/>
  <c r="CS59" i="6"/>
  <c r="CR59" i="6"/>
  <c r="CQ59" i="6"/>
  <c r="CP59" i="6"/>
  <c r="CO59" i="6"/>
  <c r="CN59" i="6"/>
  <c r="CM59" i="6"/>
  <c r="CL59" i="6"/>
  <c r="CK59" i="6"/>
  <c r="CJ59" i="6"/>
  <c r="CD59" i="6"/>
  <c r="CC59" i="6"/>
  <c r="CB59" i="6"/>
  <c r="CB61" i="6" s="1"/>
  <c r="CA59" i="6"/>
  <c r="BZ59" i="6"/>
  <c r="BY59" i="6"/>
  <c r="BX59" i="6"/>
  <c r="BX61" i="6" s="1"/>
  <c r="BW59" i="6"/>
  <c r="BV59" i="6"/>
  <c r="BU59" i="6"/>
  <c r="BT59" i="6"/>
  <c r="BT61" i="6" s="1"/>
  <c r="BS59" i="6"/>
  <c r="BS61" i="6" s="1"/>
  <c r="BR59" i="6"/>
  <c r="BQ59" i="6"/>
  <c r="BP59" i="6"/>
  <c r="BO59" i="6"/>
  <c r="BN59" i="6"/>
  <c r="BM59" i="6"/>
  <c r="BK59" i="6"/>
  <c r="BH59" i="6"/>
  <c r="BG59" i="6"/>
  <c r="BF59" i="6"/>
  <c r="AY59" i="6"/>
  <c r="AW59" i="6"/>
  <c r="AW61" i="6" s="1"/>
  <c r="AU59" i="6"/>
  <c r="AT59" i="6"/>
  <c r="AT61" i="6" s="1"/>
  <c r="AS59" i="6"/>
  <c r="AR59" i="6"/>
  <c r="AQ59" i="6"/>
  <c r="AP59" i="6"/>
  <c r="AO59" i="6"/>
  <c r="AK59" i="6"/>
  <c r="AK61" i="6" s="1"/>
  <c r="AI59" i="6"/>
  <c r="AG59" i="6"/>
  <c r="AF59" i="6"/>
  <c r="AE59" i="6"/>
  <c r="AD59" i="6"/>
  <c r="AC59" i="6"/>
  <c r="AA59" i="6"/>
  <c r="Z59" i="6"/>
  <c r="Y59" i="6"/>
  <c r="X59" i="6"/>
  <c r="W59" i="6"/>
  <c r="V59" i="6"/>
  <c r="U59" i="6"/>
  <c r="T59" i="6"/>
  <c r="S59" i="6"/>
  <c r="R59" i="6"/>
  <c r="Q59" i="6"/>
  <c r="P59" i="6"/>
  <c r="O59" i="6"/>
  <c r="N59" i="6"/>
  <c r="M59" i="6"/>
  <c r="L59" i="6"/>
  <c r="K59" i="6"/>
  <c r="J59" i="6"/>
  <c r="I59" i="6"/>
  <c r="H59" i="6"/>
  <c r="AM61" i="6"/>
  <c r="AI61" i="6"/>
  <c r="AG61" i="6"/>
  <c r="AB58" i="6"/>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CA58" i="6"/>
  <c r="BZ58" i="6"/>
  <c r="BY58" i="6"/>
  <c r="BX58" i="6"/>
  <c r="BW58" i="6"/>
  <c r="BV58" i="6"/>
  <c r="BU58" i="6"/>
  <c r="BT58" i="6"/>
  <c r="BS58" i="6"/>
  <c r="BR58" i="6"/>
  <c r="BQ58" i="6"/>
  <c r="BP58" i="6"/>
  <c r="BO58" i="6"/>
  <c r="BN58" i="6"/>
  <c r="BM58" i="6"/>
  <c r="BI58" i="6"/>
  <c r="BH58" i="6"/>
  <c r="BG58" i="6"/>
  <c r="BF58" i="6"/>
  <c r="AY58" i="6"/>
  <c r="AW58" i="6"/>
  <c r="AU58" i="6"/>
  <c r="AS58" i="6"/>
  <c r="AQ58" i="6"/>
  <c r="AO58" i="6"/>
  <c r="AM58" i="6"/>
  <c r="AK58" i="6"/>
  <c r="AI58" i="6"/>
  <c r="AG58" i="6"/>
  <c r="AF58" i="6"/>
  <c r="AE58" i="6"/>
  <c r="AD58" i="6"/>
  <c r="AC58" i="6"/>
  <c r="AA58" i="6"/>
  <c r="Z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BQ57" i="6"/>
  <c r="BP57" i="6"/>
  <c r="BO57" i="6"/>
  <c r="BN57" i="6"/>
  <c r="BM57" i="6"/>
  <c r="BL57" i="6"/>
  <c r="ER57" i="6" s="1"/>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G57" i="6"/>
  <c r="CI58" i="6"/>
  <c r="ET58" i="6" s="1"/>
  <c r="CG58" i="6"/>
  <c r="ES58" i="6" s="1"/>
  <c r="CF58" i="6"/>
  <c r="CE58" i="6"/>
  <c r="BD57" i="6"/>
  <c r="BB57" i="6"/>
  <c r="DM58" i="6"/>
  <c r="DL58" i="6"/>
  <c r="DK58" i="6"/>
  <c r="DJ58" i="6"/>
  <c r="DI58" i="6"/>
  <c r="CH58" i="6"/>
  <c r="DM52" i="6"/>
  <c r="DM57" i="6" s="1"/>
  <c r="DL52" i="6"/>
  <c r="DL57" i="6" s="1"/>
  <c r="DK52" i="6"/>
  <c r="DK57" i="6" s="1"/>
  <c r="DJ52" i="6"/>
  <c r="DJ57" i="6" s="1"/>
  <c r="DI52" i="6"/>
  <c r="DI57" i="6" s="1"/>
  <c r="BA57" i="6"/>
  <c r="BC57" i="6"/>
  <c r="AC50" i="6"/>
  <c r="AB51" i="6"/>
  <c r="AB50" i="6"/>
  <c r="Z51" i="6"/>
  <c r="X51" i="6"/>
  <c r="X50" i="6"/>
  <c r="W51" i="6"/>
  <c r="W50" i="6"/>
  <c r="H51" i="6"/>
  <c r="H50" i="6"/>
  <c r="DN51" i="6"/>
  <c r="CJ51" i="6"/>
  <c r="BF51" i="6"/>
  <c r="AY51" i="6"/>
  <c r="AW51" i="6"/>
  <c r="AU51" i="6"/>
  <c r="AT51" i="6"/>
  <c r="AS51" i="6"/>
  <c r="AR51" i="6"/>
  <c r="AQ51" i="6"/>
  <c r="AO51" i="6"/>
  <c r="AM51" i="6"/>
  <c r="AK51" i="6"/>
  <c r="AI51" i="6"/>
  <c r="AH51" i="6"/>
  <c r="AG51" i="6"/>
  <c r="AF51" i="6"/>
  <c r="AE51" i="6"/>
  <c r="AD51" i="6"/>
  <c r="AC51" i="6"/>
  <c r="AA51" i="6"/>
  <c r="Y51" i="6"/>
  <c r="V51" i="6"/>
  <c r="U51" i="6"/>
  <c r="T51" i="6"/>
  <c r="S51" i="6"/>
  <c r="R51" i="6"/>
  <c r="Q51" i="6"/>
  <c r="P51" i="6"/>
  <c r="O51" i="6"/>
  <c r="N51" i="6"/>
  <c r="M51" i="6"/>
  <c r="L51" i="6"/>
  <c r="K51" i="6"/>
  <c r="J51" i="6"/>
  <c r="I51" i="6"/>
  <c r="DN50" i="6"/>
  <c r="CJ50" i="6"/>
  <c r="BF50" i="6"/>
  <c r="AY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H43" i="6"/>
  <c r="BG43" i="6"/>
  <c r="BF43" i="6"/>
  <c r="BB43" i="6"/>
  <c r="AY44" i="6"/>
  <c r="AY43" i="6"/>
  <c r="AK44" i="6"/>
  <c r="AI44" i="6"/>
  <c r="AH44" i="6"/>
  <c r="AG44" i="6"/>
  <c r="AF44" i="6"/>
  <c r="AE44" i="6"/>
  <c r="AD44" i="6"/>
  <c r="AC44" i="6"/>
  <c r="AK43" i="6"/>
  <c r="AJ43" i="6"/>
  <c r="AI43" i="6"/>
  <c r="AH43" i="6"/>
  <c r="AG43" i="6"/>
  <c r="AF43" i="6"/>
  <c r="AE43" i="6"/>
  <c r="AD43" i="6"/>
  <c r="AC43" i="6"/>
  <c r="AW44" i="6"/>
  <c r="AU44" i="6"/>
  <c r="AS44" i="6"/>
  <c r="AQ44" i="6"/>
  <c r="AO44" i="6"/>
  <c r="AM44" i="6"/>
  <c r="AB44" i="6"/>
  <c r="AA44" i="6"/>
  <c r="Z44" i="6"/>
  <c r="Y44" i="6"/>
  <c r="X44" i="6"/>
  <c r="W44" i="6"/>
  <c r="H44" i="6"/>
  <c r="AW43" i="6"/>
  <c r="AU43" i="6"/>
  <c r="AS43" i="6"/>
  <c r="AQ43" i="6"/>
  <c r="AO43" i="6"/>
  <c r="AL43" i="6"/>
  <c r="AB43" i="6"/>
  <c r="AA43" i="6"/>
  <c r="Z43" i="6"/>
  <c r="Y43" i="6"/>
  <c r="X43" i="6"/>
  <c r="W43" i="6"/>
  <c r="G43" i="6"/>
  <c r="CE44" i="6"/>
  <c r="DM39" i="6"/>
  <c r="DM44" i="6" s="1"/>
  <c r="DL39" i="6"/>
  <c r="DL44" i="6"/>
  <c r="DK39" i="6"/>
  <c r="DK44" i="6" s="1"/>
  <c r="DJ39" i="6"/>
  <c r="DJ44" i="6" s="1"/>
  <c r="DI39" i="6"/>
  <c r="DI44" i="6" s="1"/>
  <c r="CI44" i="6"/>
  <c r="CG44" i="6"/>
  <c r="CF44" i="6"/>
  <c r="DM38" i="6"/>
  <c r="DM43" i="6" s="1"/>
  <c r="DL38" i="6"/>
  <c r="DL43" i="6" s="1"/>
  <c r="DK38" i="6"/>
  <c r="DK43" i="6" s="1"/>
  <c r="DJ38" i="6"/>
  <c r="DJ43" i="6"/>
  <c r="DI38" i="6"/>
  <c r="DI43" i="6"/>
  <c r="AY37" i="6"/>
  <c r="AW37" i="6"/>
  <c r="AU37" i="6"/>
  <c r="AT37" i="6"/>
  <c r="AS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E588" i="15"/>
  <c r="CH44" i="6"/>
  <c r="BD43" i="6"/>
  <c r="BA43" i="6"/>
  <c r="BC43" i="6"/>
  <c r="BE50" i="6"/>
  <c r="BC50" i="6"/>
  <c r="BD51"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EU35" i="6" s="1"/>
  <c r="BA35" i="6"/>
  <c r="BD34" i="6"/>
  <c r="BA34" i="6"/>
  <c r="BA36" i="6" s="1"/>
  <c r="BA33" i="6"/>
  <c r="BA32" i="6"/>
  <c r="BA37" i="6" s="1"/>
  <c r="BE36" i="6"/>
  <c r="BC36" i="6"/>
  <c r="BB36" i="6"/>
  <c r="Y30" i="6"/>
  <c r="Y29" i="6"/>
  <c r="X30" i="6"/>
  <c r="X29" i="6"/>
  <c r="W30" i="6"/>
  <c r="W29" i="6"/>
  <c r="H30" i="6"/>
  <c r="H29" i="6"/>
  <c r="G34" i="6"/>
  <c r="BD27" i="6"/>
  <c r="G27" i="6" s="1"/>
  <c r="G29" i="6" s="1"/>
  <c r="BA27" i="6"/>
  <c r="BD26" i="6"/>
  <c r="BE29" i="6"/>
  <c r="BB29" i="6"/>
  <c r="G20" i="6"/>
  <c r="G22" i="6" s="1"/>
  <c r="BB15" i="6"/>
  <c r="BE15" i="6"/>
  <c r="AL15" i="6"/>
  <c r="AY23" i="6"/>
  <c r="AY22" i="6"/>
  <c r="AW23" i="6"/>
  <c r="AW22" i="6"/>
  <c r="AU23" i="6"/>
  <c r="AU22" i="6"/>
  <c r="AS23" i="6"/>
  <c r="AS22" i="6"/>
  <c r="AQ23" i="6"/>
  <c r="AQ22" i="6"/>
  <c r="AO23" i="6"/>
  <c r="AO22" i="6"/>
  <c r="AM23" i="6"/>
  <c r="AM22" i="6"/>
  <c r="AL22" i="6"/>
  <c r="AK23" i="6"/>
  <c r="AK22" i="6"/>
  <c r="AJ22" i="6"/>
  <c r="AI23" i="6"/>
  <c r="AI22" i="6"/>
  <c r="AH22" i="6"/>
  <c r="AG23" i="6"/>
  <c r="AG22" i="6"/>
  <c r="AF23" i="6"/>
  <c r="AF22" i="6"/>
  <c r="AE23" i="6"/>
  <c r="AE22" i="6"/>
  <c r="AD23" i="6"/>
  <c r="AD22" i="6"/>
  <c r="AC23" i="6"/>
  <c r="AC22" i="6"/>
  <c r="AB23" i="6"/>
  <c r="AB22" i="6"/>
  <c r="AA23" i="6"/>
  <c r="AA22" i="6"/>
  <c r="Z23" i="6"/>
  <c r="Z22" i="6"/>
  <c r="Y23" i="6"/>
  <c r="Y22" i="6"/>
  <c r="BA22" i="6"/>
  <c r="AY16" i="6"/>
  <c r="AY15" i="6"/>
  <c r="AW16" i="6"/>
  <c r="AW15" i="6"/>
  <c r="AU16" i="6"/>
  <c r="AU15" i="6"/>
  <c r="AS16" i="6"/>
  <c r="AS15" i="6"/>
  <c r="AQ16" i="6"/>
  <c r="AQ15" i="6"/>
  <c r="AO16" i="6"/>
  <c r="AO15" i="6"/>
  <c r="AM16" i="6"/>
  <c r="AM15" i="6"/>
  <c r="G15" i="6"/>
  <c r="X23" i="6"/>
  <c r="X22" i="6"/>
  <c r="W23" i="6"/>
  <c r="W22" i="6"/>
  <c r="BF15" i="5"/>
  <c r="H22" i="6"/>
  <c r="AK16" i="6"/>
  <c r="AK15" i="6"/>
  <c r="AJ15" i="6"/>
  <c r="AI16" i="6"/>
  <c r="AI15" i="6"/>
  <c r="AH15" i="6"/>
  <c r="AG16" i="6"/>
  <c r="AG15" i="6"/>
  <c r="AF16" i="6"/>
  <c r="AF15" i="6"/>
  <c r="AE16" i="6"/>
  <c r="AE15" i="6"/>
  <c r="AD16" i="6"/>
  <c r="AD15" i="6"/>
  <c r="AC16" i="6"/>
  <c r="AC15" i="6"/>
  <c r="AB15" i="6"/>
  <c r="AB16" i="6"/>
  <c r="AB61" i="6"/>
  <c r="H23" i="6"/>
  <c r="AA16" i="6"/>
  <c r="AA15" i="6"/>
  <c r="Z16" i="6"/>
  <c r="Z15" i="6"/>
  <c r="Y16" i="6"/>
  <c r="Y15" i="6"/>
  <c r="X16" i="6"/>
  <c r="X15" i="6"/>
  <c r="W16" i="6"/>
  <c r="W15" i="6"/>
  <c r="H15" i="6"/>
  <c r="H16" i="6"/>
  <c r="CF59" i="6"/>
  <c r="CG60" i="6"/>
  <c r="CH59" i="6"/>
  <c r="CE59" i="6"/>
  <c r="EM37" i="6"/>
  <c r="EQ36" i="6"/>
  <c r="EP36" i="6"/>
  <c r="EO36" i="6"/>
  <c r="EN36" i="6"/>
  <c r="EM36" i="6"/>
  <c r="EQ35" i="6"/>
  <c r="EP35" i="6"/>
  <c r="EO35" i="6"/>
  <c r="EN35" i="6"/>
  <c r="EM35" i="6"/>
  <c r="EQ34" i="6"/>
  <c r="EP34" i="6"/>
  <c r="EO34" i="6"/>
  <c r="EN34" i="6"/>
  <c r="EM34" i="6"/>
  <c r="EQ33" i="6"/>
  <c r="EP33" i="6"/>
  <c r="EO33" i="6"/>
  <c r="EN33" i="6"/>
  <c r="EM33" i="6"/>
  <c r="EQ32" i="6"/>
  <c r="EP32" i="6"/>
  <c r="EO32" i="6"/>
  <c r="EO37" i="6" s="1"/>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P30" i="6"/>
  <c r="EO25" i="6"/>
  <c r="EO30" i="6" s="1"/>
  <c r="EN25" i="6"/>
  <c r="EN30" i="6" s="1"/>
  <c r="EM25" i="6"/>
  <c r="EQ24" i="6"/>
  <c r="EP24" i="6"/>
  <c r="EO24" i="6"/>
  <c r="EN24" i="6"/>
  <c r="EM24" i="6"/>
  <c r="EM23" i="6"/>
  <c r="EQ22" i="6"/>
  <c r="EP22" i="6"/>
  <c r="EO22" i="6"/>
  <c r="EN22" i="6"/>
  <c r="EM22" i="6"/>
  <c r="DM23" i="6"/>
  <c r="DL23" i="6"/>
  <c r="DK23" i="6"/>
  <c r="DJ23" i="6"/>
  <c r="DI23" i="6"/>
  <c r="EQ21" i="6"/>
  <c r="EP21" i="6"/>
  <c r="EO21" i="6"/>
  <c r="EN21" i="6"/>
  <c r="EM21" i="6"/>
  <c r="DM22" i="6"/>
  <c r="DL22" i="6"/>
  <c r="DK22" i="6"/>
  <c r="DJ22" i="6"/>
  <c r="DI22" i="6"/>
  <c r="EQ20" i="6"/>
  <c r="EP20" i="6"/>
  <c r="EO20" i="6"/>
  <c r="EN20" i="6"/>
  <c r="EM20" i="6"/>
  <c r="DM21" i="6"/>
  <c r="DM60" i="6" s="1"/>
  <c r="DL21" i="6"/>
  <c r="DL60" i="6" s="1"/>
  <c r="DK21" i="6"/>
  <c r="DK60" i="6"/>
  <c r="DJ21" i="6"/>
  <c r="DJ60" i="6" s="1"/>
  <c r="DI21" i="6"/>
  <c r="DI60" i="6" s="1"/>
  <c r="BD22" i="6"/>
  <c r="EQ19" i="6"/>
  <c r="EP19" i="6"/>
  <c r="EO19" i="6"/>
  <c r="EN19" i="6"/>
  <c r="EM19" i="6"/>
  <c r="DM20" i="6"/>
  <c r="DL20" i="6"/>
  <c r="DK20" i="6"/>
  <c r="DJ20" i="6"/>
  <c r="DI20" i="6"/>
  <c r="EQ18" i="6"/>
  <c r="EQ23" i="6" s="1"/>
  <c r="EP18" i="6"/>
  <c r="EO18" i="6"/>
  <c r="EN18" i="6"/>
  <c r="EN23" i="6" s="1"/>
  <c r="EM18" i="6"/>
  <c r="DM18" i="6"/>
  <c r="DM59" i="6" s="1"/>
  <c r="DL18" i="6"/>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O16" i="6" s="1"/>
  <c r="EN14" i="6"/>
  <c r="EN16" i="6" s="1"/>
  <c r="EM14" i="6"/>
  <c r="EQ13" i="6"/>
  <c r="EP13" i="6"/>
  <c r="EO13" i="6"/>
  <c r="EN13" i="6"/>
  <c r="EM13" i="6"/>
  <c r="EQ12" i="6"/>
  <c r="EP12" i="6"/>
  <c r="EO12" i="6"/>
  <c r="EN12" i="6"/>
  <c r="EM12" i="6"/>
  <c r="EQ11" i="6"/>
  <c r="EP11" i="6"/>
  <c r="EP16" i="6" s="1"/>
  <c r="EO11" i="6"/>
  <c r="EN11" i="6"/>
  <c r="EM11" i="6"/>
  <c r="DM11" i="6"/>
  <c r="DM16" i="6" s="1"/>
  <c r="DL11" i="6"/>
  <c r="DL16" i="6" s="1"/>
  <c r="DK11" i="6"/>
  <c r="DK16" i="6" s="1"/>
  <c r="DJ11" i="6"/>
  <c r="DJ16" i="6" s="1"/>
  <c r="DI11" i="6"/>
  <c r="EQ10" i="6"/>
  <c r="EP10" i="6"/>
  <c r="EO10" i="6"/>
  <c r="EN10" i="6"/>
  <c r="EM10" i="6"/>
  <c r="DM10" i="6"/>
  <c r="DL10" i="6"/>
  <c r="DK10" i="6"/>
  <c r="DJ10" i="6"/>
  <c r="DI10" i="6"/>
  <c r="BC16" i="5"/>
  <c r="CF60" i="6"/>
  <c r="EN37" i="6"/>
  <c r="DI59" i="6"/>
  <c r="CE60" i="6"/>
  <c r="CI59" i="6"/>
  <c r="CG59" i="6"/>
  <c r="EO23" i="6"/>
  <c r="CI60" i="6"/>
  <c r="BE22" i="6"/>
  <c r="EQ30" i="6"/>
  <c r="W13" i="5"/>
  <c r="W12" i="5"/>
  <c r="EM58" i="6"/>
  <c r="EQ57" i="6"/>
  <c r="EP57" i="6"/>
  <c r="EO57" i="6"/>
  <c r="EM57" i="6"/>
  <c r="EQ56" i="6"/>
  <c r="EP56" i="6"/>
  <c r="EO56" i="6"/>
  <c r="EN56" i="6"/>
  <c r="EM56" i="6"/>
  <c r="EP55" i="6"/>
  <c r="EO55" i="6"/>
  <c r="EN55" i="6"/>
  <c r="EM55" i="6"/>
  <c r="EQ54" i="6"/>
  <c r="EP54" i="6"/>
  <c r="EO54" i="6"/>
  <c r="EN54" i="6"/>
  <c r="EM54" i="6"/>
  <c r="EQ53" i="6"/>
  <c r="EP53" i="6"/>
  <c r="EP58" i="6" s="1"/>
  <c r="EO53" i="6"/>
  <c r="EN53" i="6"/>
  <c r="EN58" i="6" s="1"/>
  <c r="EM53" i="6"/>
  <c r="EQ52" i="6"/>
  <c r="EP52" i="6"/>
  <c r="EO52" i="6"/>
  <c r="EN52" i="6"/>
  <c r="EM52" i="6"/>
  <c r="EM51" i="6"/>
  <c r="EQ50" i="6"/>
  <c r="EP50" i="6"/>
  <c r="EO50" i="6"/>
  <c r="EN50" i="6"/>
  <c r="EM50" i="6"/>
  <c r="EQ49" i="6"/>
  <c r="EP49" i="6"/>
  <c r="EO49" i="6"/>
  <c r="EO51" i="6" s="1"/>
  <c r="EN49" i="6"/>
  <c r="EM49" i="6"/>
  <c r="EQ48" i="6"/>
  <c r="EP48" i="6"/>
  <c r="EO48" i="6"/>
  <c r="EN48" i="6"/>
  <c r="EM48" i="6"/>
  <c r="EQ47" i="6"/>
  <c r="EP47" i="6"/>
  <c r="EO47" i="6"/>
  <c r="EN47" i="6"/>
  <c r="EM47" i="6"/>
  <c r="EQ46" i="6"/>
  <c r="EP46" i="6"/>
  <c r="EO46" i="6"/>
  <c r="EN46" i="6"/>
  <c r="EN51" i="6" s="1"/>
  <c r="EM46" i="6"/>
  <c r="EQ45" i="6"/>
  <c r="EP45" i="6"/>
  <c r="EO45" i="6"/>
  <c r="EN45" i="6"/>
  <c r="EM45" i="6"/>
  <c r="EM44" i="6"/>
  <c r="EQ42" i="6"/>
  <c r="EP42" i="6"/>
  <c r="EO42" i="6"/>
  <c r="EO44" i="6" s="1"/>
  <c r="EN42" i="6"/>
  <c r="EM42" i="6"/>
  <c r="EP41" i="6"/>
  <c r="EO41" i="6"/>
  <c r="EN41" i="6"/>
  <c r="EQ40" i="6"/>
  <c r="EP40" i="6"/>
  <c r="EO40" i="6"/>
  <c r="EN40" i="6"/>
  <c r="EM40" i="6"/>
  <c r="EQ39" i="6"/>
  <c r="EP39" i="6"/>
  <c r="EO39" i="6"/>
  <c r="EN39" i="6"/>
  <c r="EM39" i="6"/>
  <c r="EO38" i="6"/>
  <c r="EQ38" i="6" s="1"/>
  <c r="EQ43" i="6" s="1"/>
  <c r="EN38" i="6"/>
  <c r="EN43" i="6" s="1"/>
  <c r="EM38" i="6"/>
  <c r="EM43" i="6" s="1"/>
  <c r="EQ58" i="6"/>
  <c r="EQ44" i="6"/>
  <c r="EQ51" i="6"/>
  <c r="EP51" i="6"/>
  <c r="EP38" i="6"/>
  <c r="EP43" i="6" s="1"/>
  <c r="BD28" i="6"/>
  <c r="AY60" i="6"/>
  <c r="AY61" i="6" s="1"/>
  <c r="BA28" i="6"/>
  <c r="EW13" i="5" l="1"/>
  <c r="EX14" i="5"/>
  <c r="EW14" i="5"/>
  <c r="E587" i="15"/>
  <c r="G32" i="6"/>
  <c r="EV32" i="6" s="1"/>
  <c r="EU32" i="6"/>
  <c r="BA23" i="6"/>
  <c r="E584" i="15"/>
  <c r="AL39" i="6"/>
  <c r="BC39" i="6" s="1"/>
  <c r="AJ44" i="6"/>
  <c r="E585" i="15"/>
  <c r="BB6" i="6"/>
  <c r="BB37" i="6"/>
  <c r="EN44" i="6"/>
  <c r="EU37" i="6"/>
  <c r="M61" i="6"/>
  <c r="U61" i="6"/>
  <c r="EV29" i="6"/>
  <c r="BE47" i="6"/>
  <c r="AC61" i="6"/>
  <c r="BE43" i="6"/>
  <c r="EV38" i="6"/>
  <c r="EU38" i="6"/>
  <c r="EV55" i="6"/>
  <c r="EU55" i="6"/>
  <c r="EQ16" i="6"/>
  <c r="N61" i="6"/>
  <c r="V61" i="6"/>
  <c r="AE30" i="6"/>
  <c r="AF60" i="6"/>
  <c r="BC49" i="6"/>
  <c r="BD48" i="6" s="1"/>
  <c r="EU48" i="6" s="1"/>
  <c r="AS60" i="6"/>
  <c r="AS61" i="6" s="1"/>
  <c r="BD14" i="6"/>
  <c r="BD16" i="6" s="1"/>
  <c r="EU17" i="6"/>
  <c r="EV17" i="6"/>
  <c r="EU24" i="6"/>
  <c r="EV24" i="6"/>
  <c r="EU41" i="6"/>
  <c r="EV41" i="6"/>
  <c r="DL59" i="6"/>
  <c r="DL61" i="6" s="1"/>
  <c r="EV15" i="6"/>
  <c r="EU34" i="6"/>
  <c r="EV34" i="6"/>
  <c r="EV10" i="6"/>
  <c r="EU10" i="6"/>
  <c r="BA29" i="6"/>
  <c r="BD25" i="6"/>
  <c r="BA45" i="6"/>
  <c r="BA58" i="6"/>
  <c r="BB42" i="6"/>
  <c r="EU22" i="6"/>
  <c r="EV22" i="6"/>
  <c r="P61" i="6"/>
  <c r="X61" i="6"/>
  <c r="AO61" i="6"/>
  <c r="BA26" i="6"/>
  <c r="BE40" i="6"/>
  <c r="BC32" i="6"/>
  <c r="BE56" i="6"/>
  <c r="G31" i="6"/>
  <c r="EV31" i="6" s="1"/>
  <c r="EU31" i="6"/>
  <c r="AZ61" i="6"/>
  <c r="BB14" i="6"/>
  <c r="BB16" i="6" s="1"/>
  <c r="EU13" i="6"/>
  <c r="EV13" i="6"/>
  <c r="BB49" i="6"/>
  <c r="BB51" i="6" s="1"/>
  <c r="BD53" i="6"/>
  <c r="BD58" i="6" s="1"/>
  <c r="I61" i="6"/>
  <c r="Q61" i="6"/>
  <c r="Y61" i="6"/>
  <c r="AP61" i="6"/>
  <c r="BE11" i="6"/>
  <c r="EU27" i="6"/>
  <c r="EV27" i="6"/>
  <c r="EP37" i="6"/>
  <c r="BD37" i="6"/>
  <c r="ES44" i="6"/>
  <c r="J61" i="6"/>
  <c r="R61" i="6"/>
  <c r="Z61" i="6"/>
  <c r="H61" i="6"/>
  <c r="BD12" i="6"/>
  <c r="BA50" i="6"/>
  <c r="BD45" i="6"/>
  <c r="BA42" i="6"/>
  <c r="BA44" i="6" s="1"/>
  <c r="EO58" i="6"/>
  <c r="EQ37" i="6"/>
  <c r="BD29" i="6"/>
  <c r="EU29" i="6" s="1"/>
  <c r="ET44" i="6"/>
  <c r="EU43" i="6"/>
  <c r="EV43" i="6"/>
  <c r="K61" i="6"/>
  <c r="S61" i="6"/>
  <c r="AA61" i="6"/>
  <c r="AU61" i="6"/>
  <c r="AH56" i="6"/>
  <c r="AJ56" i="6" s="1"/>
  <c r="AL56" i="6" s="1"/>
  <c r="BC21" i="6"/>
  <c r="EV12" i="6"/>
  <c r="EU12" i="6"/>
  <c r="BE42" i="6"/>
  <c r="BA15" i="6"/>
  <c r="BA30" i="6"/>
  <c r="BD60" i="6"/>
  <c r="EP44" i="6"/>
  <c r="EP23" i="6"/>
  <c r="L61" i="6"/>
  <c r="T61" i="6"/>
  <c r="AH30" i="6"/>
  <c r="EU26" i="6"/>
  <c r="EV26" i="6"/>
  <c r="BC26" i="6"/>
  <c r="EU20" i="6"/>
  <c r="EV20" i="6"/>
  <c r="EU52" i="6"/>
  <c r="EV52" i="6"/>
  <c r="BB39" i="6"/>
  <c r="BB59" i="6" s="1"/>
  <c r="EW12" i="5"/>
  <c r="I12" i="5"/>
  <c r="EX12" i="5" s="1"/>
  <c r="I13" i="5"/>
  <c r="EX13" i="5" s="1"/>
  <c r="W61" i="6"/>
  <c r="BG61" i="6"/>
  <c r="AR61" i="6"/>
  <c r="BH61" i="6"/>
  <c r="BL61" i="6"/>
  <c r="BP61" i="6"/>
  <c r="CK61" i="6"/>
  <c r="CO61" i="6"/>
  <c r="CS61" i="6"/>
  <c r="CW61" i="6"/>
  <c r="DA61" i="6"/>
  <c r="DE61" i="6"/>
  <c r="DN61" i="6"/>
  <c r="DM61" i="6"/>
  <c r="CG61" i="6"/>
  <c r="BK61" i="6"/>
  <c r="BO61" i="6"/>
  <c r="BW61" i="6"/>
  <c r="CA61" i="6"/>
  <c r="CJ61" i="6"/>
  <c r="CN61" i="6"/>
  <c r="CR61" i="6"/>
  <c r="CV61" i="6"/>
  <c r="CZ61" i="6"/>
  <c r="DD61" i="6"/>
  <c r="DH61" i="6"/>
  <c r="AF61" i="6"/>
  <c r="BM61" i="6"/>
  <c r="BU61" i="6"/>
  <c r="CC61" i="6"/>
  <c r="DF61" i="6"/>
  <c r="BV61" i="6"/>
  <c r="BZ61" i="6"/>
  <c r="CD61" i="6"/>
  <c r="CM61" i="6"/>
  <c r="CQ61" i="6"/>
  <c r="CU61" i="6"/>
  <c r="CY61" i="6"/>
  <c r="DC61" i="6"/>
  <c r="DG61" i="6"/>
  <c r="BI61" i="6"/>
  <c r="BQ61" i="6"/>
  <c r="BY61" i="6"/>
  <c r="CL61" i="6"/>
  <c r="CP61" i="6"/>
  <c r="CT61" i="6"/>
  <c r="CX61" i="6"/>
  <c r="DB61" i="6"/>
  <c r="AD61" i="6"/>
  <c r="BN61" i="6"/>
  <c r="BR61" i="6"/>
  <c r="CI61" i="6"/>
  <c r="CH61" i="6"/>
  <c r="CE61" i="6"/>
  <c r="CF61" i="6"/>
  <c r="BF61" i="6"/>
  <c r="AH23" i="6"/>
  <c r="AH59" i="6"/>
  <c r="AJ18" i="6"/>
  <c r="G36" i="6"/>
  <c r="EV36" i="6" s="1"/>
  <c r="AL28" i="6"/>
  <c r="BE28" i="6" s="1"/>
  <c r="AJ30" i="6"/>
  <c r="BB30" i="6"/>
  <c r="BC28" i="6"/>
  <c r="DI61" i="6"/>
  <c r="AJ16" i="6"/>
  <c r="AL14" i="6"/>
  <c r="BE14" i="6" s="1"/>
  <c r="BE37" i="6"/>
  <c r="F558" i="15"/>
  <c r="BA12" i="6"/>
  <c r="F586" i="15"/>
  <c r="BC37" i="6"/>
  <c r="F579" i="15"/>
  <c r="BC15" i="6"/>
  <c r="BC29" i="6"/>
  <c r="AJ53" i="6"/>
  <c r="AH35" i="6"/>
  <c r="H383" i="15"/>
  <c r="BC11" i="6"/>
  <c r="BC40" i="6"/>
  <c r="BE39" i="6"/>
  <c r="BD30" i="6"/>
  <c r="DK59" i="6"/>
  <c r="DK61" i="6" s="1"/>
  <c r="BE19" i="6"/>
  <c r="H397" i="15"/>
  <c r="BC12" i="6"/>
  <c r="BC19" i="6"/>
  <c r="BC56" i="6"/>
  <c r="BE54" i="6"/>
  <c r="BC47" i="6"/>
  <c r="BC22" i="6"/>
  <c r="AH16" i="6"/>
  <c r="BE57" i="6"/>
  <c r="EU57" i="6" s="1"/>
  <c r="AL33" i="6"/>
  <c r="BE33" i="6" s="1"/>
  <c r="H390" i="15"/>
  <c r="BC42" i="6"/>
  <c r="BD15" i="6"/>
  <c r="EU15" i="6" s="1"/>
  <c r="BA59" i="6"/>
  <c r="AF37" i="6"/>
  <c r="H355" i="15"/>
  <c r="BB12" i="6"/>
  <c r="EO43" i="6"/>
  <c r="DJ59" i="6"/>
  <c r="DJ61" i="6" s="1"/>
  <c r="E586" i="15"/>
  <c r="AJ46" i="6"/>
  <c r="BE21" i="6"/>
  <c r="H362" i="15"/>
  <c r="AH60" i="6"/>
  <c r="AL25" i="6"/>
  <c r="AL30" i="6" s="1"/>
  <c r="BC33" i="6"/>
  <c r="BD36" i="6"/>
  <c r="EU36" i="6" s="1"/>
  <c r="G37" i="6"/>
  <c r="EV37" i="6" s="1"/>
  <c r="F587" i="15" l="1"/>
  <c r="F580" i="15"/>
  <c r="G28" i="6"/>
  <c r="EV28" i="6" s="1"/>
  <c r="EU28" i="6"/>
  <c r="G11" i="6"/>
  <c r="EU11" i="6"/>
  <c r="EV11" i="6"/>
  <c r="EV57" i="6"/>
  <c r="G42" i="6"/>
  <c r="EV42" i="6" s="1"/>
  <c r="EU42" i="6"/>
  <c r="AL44" i="6"/>
  <c r="G56" i="6"/>
  <c r="EU56" i="6"/>
  <c r="EV56" i="6"/>
  <c r="EU19" i="6"/>
  <c r="EV19" i="6"/>
  <c r="BB60" i="6"/>
  <c r="BB61" i="6" s="1"/>
  <c r="EV40" i="6"/>
  <c r="EU40" i="6"/>
  <c r="EU21" i="6"/>
  <c r="G21" i="6"/>
  <c r="EV21" i="6" s="1"/>
  <c r="BD59" i="6"/>
  <c r="BD61" i="6" s="1"/>
  <c r="BB44" i="6"/>
  <c r="F555" i="15"/>
  <c r="AH58" i="6"/>
  <c r="EU33" i="6"/>
  <c r="EV33" i="6"/>
  <c r="BA60" i="6"/>
  <c r="EV54" i="6"/>
  <c r="EU54" i="6"/>
  <c r="H385" i="15"/>
  <c r="H378" i="15"/>
  <c r="H364" i="15"/>
  <c r="H357" i="15"/>
  <c r="H392" i="15"/>
  <c r="H399" i="15"/>
  <c r="G45" i="6"/>
  <c r="EV45" i="6" s="1"/>
  <c r="H371" i="15"/>
  <c r="EV47" i="6"/>
  <c r="EU47" i="6"/>
  <c r="EU39" i="6"/>
  <c r="G39" i="6"/>
  <c r="G14" i="6"/>
  <c r="EU14" i="6"/>
  <c r="EU45" i="6"/>
  <c r="BA61" i="6"/>
  <c r="BE16" i="6"/>
  <c r="EU16" i="6" s="1"/>
  <c r="BE60" i="6"/>
  <c r="F559" i="15"/>
  <c r="BE44" i="6"/>
  <c r="EU44" i="6" s="1"/>
  <c r="AJ59" i="6"/>
  <c r="AL18" i="6"/>
  <c r="AJ23" i="6"/>
  <c r="AJ58" i="6"/>
  <c r="AL53" i="6"/>
  <c r="AL58" i="6" s="1"/>
  <c r="BC14" i="6"/>
  <c r="BC16" i="6" s="1"/>
  <c r="AH61" i="6"/>
  <c r="F576" i="15"/>
  <c r="F583" i="15"/>
  <c r="BE18" i="6"/>
  <c r="BE53" i="6"/>
  <c r="AL16" i="6"/>
  <c r="BC44" i="6"/>
  <c r="AJ51" i="6"/>
  <c r="AL46" i="6"/>
  <c r="AL51" i="6" s="1"/>
  <c r="BE25" i="6"/>
  <c r="AJ35" i="6"/>
  <c r="AH37" i="6"/>
  <c r="BC25" i="6"/>
  <c r="G48" i="6"/>
  <c r="EV48" i="6" s="1"/>
  <c r="BD50" i="6"/>
  <c r="EU50" i="6" s="1"/>
  <c r="EU18" i="6" l="1"/>
  <c r="G18" i="6"/>
  <c r="G23" i="6" s="1"/>
  <c r="G16" i="6"/>
  <c r="EV16" i="6" s="1"/>
  <c r="G53" i="6"/>
  <c r="EU53" i="6"/>
  <c r="G25" i="6"/>
  <c r="EU25" i="6"/>
  <c r="EV14" i="6"/>
  <c r="G60" i="6"/>
  <c r="EV39" i="6"/>
  <c r="G44" i="6"/>
  <c r="EV44" i="6" s="1"/>
  <c r="BE46" i="6"/>
  <c r="BE59" i="6" s="1"/>
  <c r="BE61" i="6" s="1"/>
  <c r="BC53" i="6"/>
  <c r="BC58" i="6" s="1"/>
  <c r="AL23" i="6"/>
  <c r="AL59" i="6"/>
  <c r="BC18" i="6"/>
  <c r="F556" i="15"/>
  <c r="BE23" i="6"/>
  <c r="EU23" i="6" s="1"/>
  <c r="BC60" i="6"/>
  <c r="F560" i="15"/>
  <c r="BE30" i="6"/>
  <c r="EU30" i="6" s="1"/>
  <c r="F557" i="15"/>
  <c r="BC30" i="6"/>
  <c r="F585" i="15"/>
  <c r="F578" i="15"/>
  <c r="AJ37" i="6"/>
  <c r="AL35" i="6"/>
  <c r="AJ60" i="6"/>
  <c r="AJ61" i="6" s="1"/>
  <c r="BE58" i="6"/>
  <c r="EU58" i="6" s="1"/>
  <c r="F561" i="15"/>
  <c r="BC46" i="6"/>
  <c r="G50" i="6"/>
  <c r="EV50" i="6" s="1"/>
  <c r="EV25" i="6" l="1"/>
  <c r="G30" i="6"/>
  <c r="EV30" i="6" s="1"/>
  <c r="EV53" i="6"/>
  <c r="G58" i="6"/>
  <c r="EV58" i="6" s="1"/>
  <c r="G59" i="6"/>
  <c r="G61" i="6" s="1"/>
  <c r="BE51" i="6"/>
  <c r="EU51" i="6" s="1"/>
  <c r="F582" i="15"/>
  <c r="EV23" i="6"/>
  <c r="G46" i="6"/>
  <c r="EU46" i="6"/>
  <c r="EV18" i="6"/>
  <c r="F589" i="15"/>
  <c r="AL37" i="6"/>
  <c r="AL60" i="6"/>
  <c r="AL61" i="6" s="1"/>
  <c r="F588" i="15"/>
  <c r="F581" i="15"/>
  <c r="BC51" i="6"/>
  <c r="F584" i="15"/>
  <c r="BC23" i="6"/>
  <c r="F577" i="15"/>
  <c r="BC59" i="6"/>
  <c r="BC61" i="6" s="1"/>
  <c r="EV46" i="6" l="1"/>
  <c r="G51" i="6"/>
  <c r="EV5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F1637F0-5B27-48A2-9ABF-4AFB0330ED3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D638997-2F9F-4A98-BC33-D495E91B54A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164DB6AE-1E33-4B74-B0E0-EFA2C131A2CF}">
      <text>
        <r>
          <rPr>
            <b/>
            <sz val="9"/>
            <color indexed="81"/>
            <rFont val="Tahoma"/>
            <family val="2"/>
          </rPr>
          <t>YULIED.PENARANDA:</t>
        </r>
        <r>
          <rPr>
            <sz val="9"/>
            <color indexed="81"/>
            <rFont val="Tahoma"/>
            <family val="2"/>
          </rPr>
          <t xml:space="preserve">
Relacionar el período del reporte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F6733FA-73A2-724B-ABFC-67B9C3104201}">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B68C00BB-084D-9443-B13E-B491F0778A07}">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247" authorId="0" shapeId="0" xr:uid="{F6E9F0F5-A5D7-A24D-A3F3-1C85B8959411}">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48" authorId="0" shapeId="0" xr:uid="{53217967-004A-F14F-93BB-4C9B3F122A32}">
      <text>
        <r>
          <rPr>
            <b/>
            <sz val="9"/>
            <color indexed="81"/>
            <rFont val="Tahoma"/>
            <family val="2"/>
          </rPr>
          <t>YULIED.PENARANDA:</t>
        </r>
        <r>
          <rPr>
            <sz val="9"/>
            <color indexed="81"/>
            <rFont val="Tahoma"/>
            <family val="2"/>
          </rPr>
          <t xml:space="preserve">
Vigencia a reportar</t>
        </r>
      </text>
    </comment>
    <comment ref="C248" authorId="0" shapeId="0" xr:uid="{2166896D-87B3-8940-9FB5-DD5C59AD4817}">
      <text>
        <r>
          <rPr>
            <b/>
            <sz val="9"/>
            <color indexed="81"/>
            <rFont val="Tahoma"/>
            <family val="2"/>
          </rPr>
          <t>YULIED.PENARANDA:</t>
        </r>
        <r>
          <rPr>
            <sz val="9"/>
            <color indexed="81"/>
            <rFont val="Tahoma"/>
            <family val="2"/>
          </rPr>
          <t xml:space="preserve">
Apropiación inicial acorde con la herramienta oficial de la SDH</t>
        </r>
      </text>
    </comment>
    <comment ref="D248" authorId="0" shapeId="0" xr:uid="{A9D5F9DD-5BB0-E941-B7B7-E79370B7330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8" authorId="0" shapeId="0" xr:uid="{4CE2202D-DBF1-D540-8A32-2E88EB5EDBE7}">
      <text>
        <r>
          <rPr>
            <b/>
            <sz val="9"/>
            <color indexed="81"/>
            <rFont val="Tahoma"/>
            <family val="2"/>
          </rPr>
          <t>YULIED.PENARANDA:</t>
        </r>
        <r>
          <rPr>
            <sz val="9"/>
            <color indexed="81"/>
            <rFont val="Tahoma"/>
            <family val="2"/>
          </rPr>
          <t xml:space="preserve">
Valores contenidos en los Registros Presupuestales de Compromisos</t>
        </r>
      </text>
    </comment>
    <comment ref="F248" authorId="0" shapeId="0" xr:uid="{28FA0219-1A6D-0E4E-A0BE-07230385774B}">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248" authorId="0" shapeId="0" xr:uid="{8C0FAE34-47D3-3649-AFEC-2C527F3CC426}">
      <text>
        <r>
          <rPr>
            <b/>
            <sz val="9"/>
            <color indexed="81"/>
            <rFont val="Tahoma"/>
            <family val="2"/>
          </rPr>
          <t>YULIED.PENARANDA:</t>
        </r>
        <r>
          <rPr>
            <sz val="9"/>
            <color indexed="81"/>
            <rFont val="Tahoma"/>
            <family val="2"/>
          </rPr>
          <t xml:space="preserve">
Extinción de la obligación a cargo de la SDA.</t>
        </r>
      </text>
    </comment>
    <comment ref="A262" authorId="0" shapeId="0" xr:uid="{B15E405F-EF2D-ED4E-903F-B90C4B354D2E}">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63" authorId="0" shapeId="0" xr:uid="{B921F9F9-13B0-9E48-BAEF-C9DF2DD3F5CD}">
      <text>
        <r>
          <rPr>
            <b/>
            <sz val="9"/>
            <color indexed="81"/>
            <rFont val="Tahoma"/>
            <family val="2"/>
          </rPr>
          <t>YULIED.PENARANDA:</t>
        </r>
        <r>
          <rPr>
            <sz val="9"/>
            <color indexed="81"/>
            <rFont val="Tahoma"/>
            <family val="2"/>
          </rPr>
          <t xml:space="preserve">
Vigencia a reportar</t>
        </r>
      </text>
    </comment>
    <comment ref="C263" authorId="0" shapeId="0" xr:uid="{5C5EF798-3AC3-D640-9342-041142A5F563}">
      <text>
        <r>
          <rPr>
            <b/>
            <sz val="9"/>
            <color indexed="81"/>
            <rFont val="Tahoma"/>
            <family val="2"/>
          </rPr>
          <t>YULIED.PENARANDA:</t>
        </r>
        <r>
          <rPr>
            <sz val="9"/>
            <color indexed="81"/>
            <rFont val="Tahoma"/>
            <family val="2"/>
          </rPr>
          <t xml:space="preserve">
Apropiación inicial acorde con la herramienta oficial de la SDH</t>
        </r>
      </text>
    </comment>
    <comment ref="D263" authorId="0" shapeId="0" xr:uid="{2422C830-AE6C-664D-BB40-61045224E9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63" authorId="0" shapeId="0" xr:uid="{36D48BC0-2852-FB47-9C9F-DE531BAE1881}">
      <text>
        <r>
          <rPr>
            <b/>
            <sz val="9"/>
            <color indexed="81"/>
            <rFont val="Tahoma"/>
            <family val="2"/>
          </rPr>
          <t>YULIED.PENARANDA:</t>
        </r>
        <r>
          <rPr>
            <sz val="9"/>
            <color indexed="81"/>
            <rFont val="Tahoma"/>
            <family val="2"/>
          </rPr>
          <t xml:space="preserve">
Valores contenidos en los Registros Presupuestales de Compromisos</t>
        </r>
      </text>
    </comment>
    <comment ref="F263" authorId="0" shapeId="0" xr:uid="{2DE99689-B01D-6942-9B72-D0E811D4F20D}">
      <text>
        <r>
          <rPr>
            <b/>
            <sz val="9"/>
            <color indexed="81"/>
            <rFont val="Tahoma"/>
            <family val="2"/>
          </rPr>
          <t>YULIED.PENARANDA:</t>
        </r>
        <r>
          <rPr>
            <sz val="9"/>
            <color indexed="81"/>
            <rFont val="Tahoma"/>
            <family val="2"/>
          </rPr>
          <t xml:space="preserve">
Corresponde al pago </t>
        </r>
      </text>
    </comment>
    <comment ref="G263" authorId="0" shapeId="0" xr:uid="{1F11D9A1-EC93-B04A-8A44-50568845C628}">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<sst xmlns="http://schemas.openxmlformats.org/spreadsheetml/2006/main" count="3730" uniqueCount="697">
  <si>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</si>
  <si>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</si>
  <si>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</si>
  <si>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</si>
  <si>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</si>
  <si>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</si>
  <si>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</si>
  <si>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</si>
  <si>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</si>
  <si>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</si>
  <si>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</si>
  <si>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</si>
  <si>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</si>
  <si>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</si>
  <si>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</si>
  <si>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</si>
  <si>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</si>
  <si>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</si>
  <si>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</si>
  <si>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</si>
  <si>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</si>
  <si>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</si>
  <si>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</si>
  <si>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</si>
  <si>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</si>
  <si>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</si>
  <si>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</si>
  <si>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</si>
  <si>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</si>
  <si>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</si>
  <si>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</si>
  <si>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</si>
  <si>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</si>
  <si>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</si>
  <si>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</si>
  <si>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</si>
  <si>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</si>
  <si>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</si>
  <si>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</si>
  <si>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</si>
  <si>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</si>
  <si>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</si>
  <si>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</si>
  <si>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</si>
  <si>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</si>
  <si>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</si>
  <si>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</si>
  <si>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</si>
  <si>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</si>
  <si>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</si>
  <si>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</si>
  <si>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</si>
  <si>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</si>
  <si>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</si>
  <si>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</si>
  <si>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</si>
  <si>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</si>
  <si>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</si>
  <si>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</si>
  <si>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</si>
  <si>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</si>
  <si>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</si>
  <si>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</si>
  <si>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</si>
  <si>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</si>
  <si>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</si>
  <si>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</si>
  <si>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</si>
  <si>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</si>
  <si>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</si>
  <si>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</si>
  <si>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</si>
  <si>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</si>
  <si>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</si>
  <si>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</si>
  <si>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</si>
  <si>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</si>
  <si>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</si>
  <si>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</si>
  <si>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</si>
  <si>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</si>
  <si>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</si>
  <si>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</si>
  <si>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</si>
  <si>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</si>
  <si>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</si>
  <si>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</si>
  <si>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</si>
  <si>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</si>
  <si>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</si>
  <si>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</si>
  <si>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</si>
  <si>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</si>
  <si>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</si>
  <si>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</si>
  <si>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</si>
  <si>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</si>
  <si>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</si>
  <si>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</si>
  <si>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</si>
  <si>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</si>
  <si>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</si>
  <si>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</si>
  <si>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</si>
  <si>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</si>
  <si>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</si>
  <si>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</si>
  <si>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</si>
  <si>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</si>
  <si>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</si>
  <si>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</si>
  <si>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</si>
  <si>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</si>
  <si>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</si>
  <si>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</si>
  <si>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</si>
  <si>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</si>
  <si>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</si>
  <si>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</si>
  <si>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</si>
  <si>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</si>
  <si>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</si>
  <si>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</si>
  <si>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</si>
  <si>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</si>
  <si>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</si>
  <si>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</si>
  <si>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</si>
  <si>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</si>
  <si>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</si>
  <si>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</si>
  <si>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</si>
  <si>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</si>
  <si>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</si>
  <si>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</si>
  <si>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</si>
  <si>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</si>
  <si>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</si>
  <si>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</si>
  <si>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</si>
  <si>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</si>
  <si>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</si>
  <si>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</si>
  <si>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</si>
  <si>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</si>
  <si>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</si>
  <si>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</si>
  <si>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</si>
  <si>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</si>
  <si>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</si>
  <si>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</si>
  <si>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</si>
  <si>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</si>
  <si>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</si>
  <si>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</si>
  <si>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</si>
  <si>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</si>
  <si>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</si>
  <si>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</si>
  <si>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</si>
  <si>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</si>
  <si>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</si>
  <si>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</si>
  <si>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</si>
  <si>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</si>
  <si>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</si>
  <si>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</si>
  <si>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</si>
  <si>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</si>
  <si>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</si>
  <si>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</si>
  <si>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</si>
  <si>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</si>
  <si>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</si>
  <si>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</si>
  <si>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</si>
  <si>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</si>
  <si>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</si>
  <si>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</si>
  <si>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</si>
  <si>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</si>
  <si>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</si>
  <si>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</si>
  <si>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</si>
  <si>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</si>
  <si>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</si>
  <si>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</si>
  <si>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</si>
  <si>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</si>
  <si>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</si>
  <si>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</si>
  <si>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</si>
  <si>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</si>
  <si>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</si>
  <si>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</si>
  <si>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</si>
  <si>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</si>
  <si>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</si>
  <si>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</si>
  <si>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</si>
  <si>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</si>
  <si>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</si>
  <si>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</si>
  <si>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</si>
  <si>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</si>
  <si>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</si>
  <si>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</si>
  <si>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</si>
  <si>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</si>
  <si>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</si>
  <si>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</si>
  <si>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</si>
  <si>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</si>
  <si>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</si>
  <si>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</si>
  <si>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</si>
  <si>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</si>
  <si>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</si>
  <si>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</si>
  <si>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</si>
  <si>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</si>
  <si>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</si>
  <si>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</si>
  <si>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</si>
  <si>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</si>
  <si>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</si>
  <si>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</si>
  <si>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</si>
  <si>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</si>
  <si>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</si>
  <si>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</si>
  <si>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</si>
  <si>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</si>
  <si>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</si>
  <si>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</si>
  <si>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</si>
  <si>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</si>
  <si>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</si>
  <si>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</si>
  <si>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</si>
  <si>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</si>
  <si>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</si>
  <si>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</si>
  <si>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</si>
  <si>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</si>
  <si>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</si>
  <si>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</si>
  <si>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</si>
  <si>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</si>
  <si>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</si>
  <si>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</si>
  <si>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</si>
  <si>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</si>
  <si>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</si>
  <si>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</si>
  <si>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</si>
  <si>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</si>
  <si>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</si>
  <si>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</si>
  <si>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</si>
  <si>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</si>
  <si>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</si>
  <si>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</si>
  <si>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</si>
  <si>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</si>
  <si>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</si>
  <si>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</si>
  <si>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</si>
  <si>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</si>
  <si>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</si>
  <si>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</si>
  <si>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</si>
  <si>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</si>
  <si>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</si>
  <si>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</si>
  <si>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</si>
  <si>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 xml:space="preserve">
Concentración promedio ponderado de ciudad de material particulado PM 2,5.</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</si>
  <si>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</si>
  <si>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</si>
  <si>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</si>
  <si>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</si>
  <si>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</si>
  <si>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</si>
  <si>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</si>
  <si>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</si>
  <si>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</si>
  <si>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</si>
  <si>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</si>
  <si>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</si>
  <si>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</si>
  <si>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</si>
  <si>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</si>
  <si>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</si>
  <si>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</si>
  <si>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</si>
  <si>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</si>
  <si>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</si>
  <si>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</si>
  <si>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</si>
  <si>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</si>
  <si>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</si>
  <si>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</si>
  <si>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</si>
  <si>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</si>
  <si>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</si>
  <si>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</si>
  <si>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</si>
  <si>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</si>
  <si>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</si>
  <si>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</si>
  <si>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</si>
  <si>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</si>
  <si>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</si>
  <si>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</si>
  <si>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</si>
  <si>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</si>
  <si>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</si>
  <si>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</si>
  <si>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</si>
  <si>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</si>
  <si>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</si>
  <si>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</si>
  <si>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</si>
  <si>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</si>
  <si>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</si>
  <si>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</si>
  <si>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TOTAL PONDERACIÓN</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</si>
  <si>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</si>
  <si>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</si>
  <si>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</si>
  <si>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</si>
  <si>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</si>
  <si>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</si>
  <si>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</si>
  <si>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</si>
  <si>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</si>
  <si>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</si>
  <si>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</si>
  <si>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</si>
  <si>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</si>
  <si>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</si>
  <si>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</si>
  <si>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</si>
  <si>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</si>
  <si>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</si>
  <si>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</si>
  <si>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Realizar 8 informes de acciones de evaluación, control y seguimiento a fuentes fijas y fuentes móviles incluidos centros de diagnóstico automotor que operan en el distrito capital.
</t>
  </si>
  <si>
    <t xml:space="preserve">Formular 29 documentos técnicos de formulación, seguimiento o evaluación de la gestión integral de la calidad del aire de Bogotá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</si>
  <si>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</si>
  <si>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</si>
  <si>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</si>
  <si>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</si>
  <si>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</si>
  <si>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</si>
  <si>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</si>
  <si>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</si>
  <si>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</si>
  <si>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</si>
  <si>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</si>
  <si>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</si>
  <si>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</si>
  <si>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</si>
  <si>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</si>
  <si>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</si>
  <si>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</si>
  <si>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</si>
  <si>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</si>
  <si>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</si>
  <si>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</si>
  <si>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</si>
  <si>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</si>
  <si>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</si>
  <si>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</si>
  <si>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</si>
  <si>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</si>
  <si>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</si>
  <si>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</si>
  <si>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</si>
  <si>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</si>
  <si>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</si>
  <si>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</si>
  <si>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</si>
  <si>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</si>
  <si>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</si>
  <si>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</si>
  <si>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</si>
  <si>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</si>
  <si>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</si>
  <si>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</si>
  <si>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</si>
  <si>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</si>
  <si>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</si>
  <si>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</si>
  <si>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</si>
  <si>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</si>
  <si>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</si>
  <si>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</si>
  <si>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</si>
  <si>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</si>
  <si>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</si>
  <si>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</si>
  <si>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</si>
  <si>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</si>
  <si>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</si>
  <si>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</si>
  <si>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</si>
  <si>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</si>
  <si>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</si>
  <si>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</si>
  <si>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</si>
  <si>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</si>
  <si>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</si>
  <si>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</si>
  <si>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</si>
  <si>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</si>
  <si>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</si>
  <si>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</si>
  <si>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</si>
  <si>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</si>
  <si>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</si>
  <si>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</si>
  <si>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</si>
  <si>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</si>
  <si>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</si>
  <si>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</si>
  <si>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</si>
  <si>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</si>
  <si>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</si>
  <si>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</si>
  <si>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</si>
  <si>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</si>
  <si>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</si>
  <si>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</si>
  <si>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</si>
  <si>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</si>
  <si>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</si>
  <si>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</si>
  <si>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</si>
  <si>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</si>
  <si>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</si>
  <si>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</si>
  <si>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</si>
  <si>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</si>
  <si>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</si>
  <si>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</si>
  <si>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</si>
  <si>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</si>
  <si>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</si>
  <si>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</si>
  <si>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</si>
  <si>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</si>
  <si>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</si>
  <si>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</si>
  <si>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</si>
  <si>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</si>
  <si>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</si>
  <si>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</si>
  <si>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</si>
  <si>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</si>
  <si>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</si>
  <si>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</si>
  <si>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</si>
  <si>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</si>
  <si>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</si>
  <si>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</si>
  <si>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</si>
  <si>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</si>
  <si>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</si>
  <si>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</si>
  <si>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</si>
  <si>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</si>
  <si>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</si>
  <si>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</si>
  <si>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</si>
  <si>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</si>
  <si>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</si>
  <si>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</si>
  <si>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</si>
  <si>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</si>
  <si>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</si>
  <si>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</si>
  <si>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Distrito Capital:  Fuentes Moviles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</si>
  <si>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1. Visitas Tecnicas de Control. Localidad ANTONIO NARIÑO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</si>
  <si>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ANTONIO NARIÑO</t>
  </si>
  <si>
    <t>2. Visitas Tecnicas de Control. Localidad BARRIOS UNIDOS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</si>
  <si>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BARRIOS UNIDOS</t>
  </si>
  <si>
    <t>3. Visitas Tecnicas de Control. Localidad BOSA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</si>
  <si>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BOSA</t>
  </si>
  <si>
    <t>4. Visitas Tecnicas de Control. Localidad CANDELARIA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</si>
  <si>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CANDELARIA</t>
  </si>
  <si>
    <t>5. Visitas Tecnicas de Control. Localidad CHAPINERO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</si>
  <si>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CHAPINERO</t>
  </si>
  <si>
    <t>6. Visitas Tecnicas de Control. Localidad CIUDAD BOLIVAR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</si>
  <si>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CIUDAD BOLIVAR</t>
  </si>
  <si>
    <t>7. Visitas Tecnicas de Control. Localidad ENGATIVA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</si>
  <si>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ENGATIVA</t>
  </si>
  <si>
    <t>8. Visitas Tecnicas de Control. Localidad FONTIBON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</si>
  <si>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FONTIBON</t>
  </si>
  <si>
    <t>9. Visitas Tecnicas de Control. Localidad KENNEDY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</si>
  <si>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KENNEDY</t>
  </si>
  <si>
    <t>10. Visitas Tecnicas de Control. Localidad MARTIRES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</si>
  <si>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MARTIRES</t>
  </si>
  <si>
    <t>11. Visitas Tecnicas de Control. Localidad PUENTE ARANDA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</si>
  <si>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PUENTE ARANDA</t>
  </si>
  <si>
    <t>12. Visitas Tecnicas de Control. Localidad RAFAEL URIBE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</si>
  <si>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RAFAEL URIBE</t>
  </si>
  <si>
    <t>13. Visitas Tecnicas de Control. Localidad SAN CRISTOBAL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</si>
  <si>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SAN CRISTOBAL</t>
  </si>
  <si>
    <t>14. Visitas Tecnicas de Control. Localidad SANTA FE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</si>
  <si>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SANTA FE</t>
  </si>
  <si>
    <t>15. Visitas Tecnicas de Control. Localidad SUBA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</si>
  <si>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SUBA</t>
  </si>
  <si>
    <t>16. Visitas Tecnicas de Control. Localidad TEUSAQUILLO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</si>
  <si>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TEUSAQUILLO</t>
  </si>
  <si>
    <t>17. Visitas Tecnicas de Control. Localidad TUNJUELITO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</si>
  <si>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TUNJUELITO</t>
  </si>
  <si>
    <t>18. Visitas Tecnicas de Control. Localidad USAQUEN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</si>
  <si>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USAQUEN</t>
  </si>
  <si>
    <t>19. Visitas Tecnicas de Control. Localidad USME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</si>
  <si>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USME</t>
  </si>
  <si>
    <r>
      <rPr>
        <b/>
        <u/>
        <sz val="10"/>
        <rFont val="Arial"/>
        <family val="2"/>
      </rPr>
      <t>ESPECIAL</t>
    </r>
    <r>
      <rPr>
        <sz val="10"/>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</si>
  <si>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</si>
  <si>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</si>
  <si>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</si>
  <si>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</si>
  <si>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</si>
  <si>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</si>
  <si>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</si>
  <si>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</si>
  <si>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</si>
  <si>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</si>
  <si>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</si>
  <si>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</si>
  <si>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</si>
  <si>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</si>
  <si>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</si>
  <si>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</si>
  <si>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</si>
  <si>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</si>
  <si>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</si>
  <si>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</si>
  <si>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</si>
  <si>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</si>
  <si>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</si>
  <si>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</si>
  <si>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</si>
  <si>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</si>
  <si>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</si>
  <si>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</si>
  <si>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</si>
  <si>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</si>
  <si>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</si>
  <si>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</si>
  <si>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</si>
  <si>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</si>
  <si>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</si>
  <si>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</si>
  <si>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</si>
  <si>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</si>
  <si>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</si>
  <si>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</si>
  <si>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EJECUTADO ACUMULADO  SEGPLAN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</si>
  <si>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</si>
  <si>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</si>
  <si>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</si>
  <si>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</si>
  <si>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</si>
  <si>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</si>
  <si>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</si>
  <si>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</si>
  <si>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</si>
  <si>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</si>
  <si>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</si>
  <si>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</si>
  <si>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</si>
  <si>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"""Sistema de Información Ambiental FOREST 
Archivos de la Dirección de Control Ambiental """
</t>
  </si>
  <si>
    <t>N.A.</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</si>
  <si>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</si>
  <si>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</si>
  <si>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Reporte de mantenimientos preventivos y correctivos: Software Gestor RMCAB http://201.245.192.252:82
Informes de calidad del aire de Bogotá: http://rmcab.ambientebogota.gov.co
Validación y análisis: Software ENVISTA RMCAB
Otros documentos: Servidor SDA - Carpeta RMCAB.</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</si>
  <si>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</si>
  <si>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</si>
  <si>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</si>
  <si>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</si>
  <si>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</si>
  <si>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</si>
  <si>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</si>
  <si>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</si>
  <si>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En la vigencia 2022, se presenta un avance en el desarrollo de 11 actuaciones técnicas correspondiente a:
El avance 2022 es: 7 visitas y 4 actuaciones de otros documentos técnicos
Total, Actuaciones acumuladas en el PDD 1.399 actuaciones.</t>
  </si>
  <si>
    <t>La evidencia esta cargada en el servidor de la SCAAV. ISOLUCION - Sistema de Información Ambiental de la Entidad FOREST.</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</si>
  <si>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</si>
  <si>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</si>
  <si>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&lt;</t>
  </si>
  <si>
    <t>1, 5. PROGRAMACIÓN INICIAL AÑO 2022</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</si>
  <si>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</si>
  <si>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</si>
  <si>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</si>
  <si>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</si>
  <si>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</si>
  <si>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</si>
  <si>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5, PONDERACIÓN HORIZONTAL AÑO: 2022</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</si>
  <si>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</si>
  <si>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</si>
  <si>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</si>
  <si>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</si>
  <si>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</si>
  <si>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</si>
  <si>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</si>
  <si>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</si>
  <si>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</si>
  <si>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</si>
  <si>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</si>
  <si>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</si>
  <si>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</si>
  <si>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Para el primer trimestre de la vigencia 2022, se han realizado los mantenimientos mensuales a todos los equipos de todas las estaciones de monitoreo de la red. 
Acumulado Trimestral 16,66 %.</t>
  </si>
  <si>
    <t>Para el primer trimestre de la vigencia 2022,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Acumulado Trimestral 24.99 %</t>
  </si>
  <si>
    <t>Para el primer trimestre de 2021, se completo el análisis de datos y la redacción del informe mensual de diciembre del 2021, el informe mensual de enero de 2022, informe mensual de febrero del 2022 y el informe trimestral octubre-diciembre 2021 , completando su elaboración y posterior publicación.
Acumulado Trimestral 23.52 %</t>
  </si>
  <si>
    <t>Para el primer trimestre de la vigencia 2022, se sigue construyendo por parte de la SDA un documento técnico en el cual se establece cuales son los beneficios de la integración de las Redes SDA-CAR y la articulación requerida.
Acumulado Trimestral 25%</t>
  </si>
  <si>
    <t>Para el primer trimestre de la vigencia 2022,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Acumulado Trimestral 25 %</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</si>
  <si>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</si>
  <si>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Marzo: Para el mes de marzo se realizó el debido seguimiento y reporte de los avances de los 41 proyectos en implementación del Plan Aire 2030, que se contemplan en el plan de acción, el cual establece las actividades y el porcentaje de avance programado en el documento de Plan Aire 2030, arrojando como resultado 37 proyectos que se encuentran con una correcta ejecución que corresponden al 90% de la ejecución del plan y los 4 proyectos restantes han presentado algún tipo de inconveniente o atrasos.</t>
  </si>
  <si>
    <t>Marzo: Durante el mes de marzo se avanzó en la metodología del segundo informe de modelación, desarrollando en primera instancia la actualización de la caracterización de los modelos y adicionalmente, la validación de la información de este, organizando la estructura general del documento y avanzando en las diferentes metodologías requeridas para el documento.</t>
  </si>
  <si>
    <t>Marzo: Durante el mes de marzo se avanzó en el Informe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</si>
  <si>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</si>
  <si>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En el primer trimestre del 2022 se han realizado la intervención mediante la generación de actuaciones técnicas, producto de visitas de Inspección, Vigilancia, Control, Operativos en Bogotá dada la declaratoria de Alerta Amarilla conforme a los datos de la RMCAB y en el ejercicio misional propio de la Entidad a las fuentes fijas de emisión. Es así como se han realizado un total de 348 actuaciones técnicas.
Avance acumulado de la actividad 24,2 %.</t>
  </si>
  <si>
    <t>Para el primer trimestre se avanzó en el control a establecimientos industriales, comerciales y/o de servicio que cuentan con fuentes fijas de emisión atmosférica, haciendo las actividades de Inspección, Vigilancia, Control y monitoreo  en un total de 164 establecimientos para el mismo numero de visitas técnicas emitiendo las correspondientes respuestas y actuaciones técnicas donde se establece el cumplimiento normativo y se determinan las acciones que deben realizar para dar cumplimento con la normatividad ambiental en materia de emisiones atmosféricas, atendiendo las solicitudes de la siguiente manera 193 DP, 35 PQR, 11 IAS y 392 radicados, generando un total de 348 actuaciones técnicas.  Avance acumulado de la actividad 16,6%.</t>
  </si>
  <si>
    <t>Primer Trimestre 2022; con el fin de construir el informe correspondiente al primer semestre de 2022, se realizaron operativos de evaluación, control y seguimiento a las fuentes móviles que transitan por el distrito capital, mediante los distintos programas desarrollados en el grupo fuentes móviles: operativos de control ambiental en vía, programa de requerimientos ambientales, programa de autorregulación ambiental, programa de control a concesionarios y/o ensambladores y programa para la certificación y seguimiento en materia de revisión de gases a CDA's.
Para lo anterior, se realizaron 2.396 pruebas de emisión a fuentes móviles.  Avance acumulado de la actividad 11,89%</t>
  </si>
  <si>
    <t>Para el primer trimestre de 2022, se realizaron nueve (09) visitas a CAD´s ; correspondiente al 13,85 % de avance de la actividad.</t>
  </si>
  <si>
    <t>En el primer trimestre del 2022, se adelanto el acompañamiento en la evaluación de estrategias alternativas de seguimiento y control a fuentes móviles. Avance de la Actividad 8,33%.</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</si>
  <si>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</si>
  <si>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primer trimestre del 2022 se llevo acabo la revisión y verificación de los documentos pertenecinetes al procedimiento PA10-PR14 en cumplimiento a lo establecudo en la ISO/IEC17025.  Avance de la activiadad 16,66 %</t>
  </si>
  <si>
    <t>Durante el primer trimestre del 2022 se verifico e instalo el software de modelación acústica para la actualización de los MER, ademas se participo en las capacitaciones del mismo y se sostuvieron reuniones con la Secretaria de Movilidad para determinar los aforos vehivulares de la ciudad.  Avance de la activiadad 25 %</t>
  </si>
  <si>
    <t>Para el primer trimestre del 2022, se ha realiado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mantenmiento.  Avance de la activiadad 16,66 %</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</si>
  <si>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</si>
  <si>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I trimestre, fueron planeadas192 y fueron ejecutadas 196 acciones: de las cuales 4 fueron en enero, 106 en febrero y 86 en marzo. diferenciadas así:  28 visitas efectivas con medición, 12 visitas efectivas sin medición relacionadas con inventarios, sensibilizaciones, visitas en atención a actos administrativos, 39 visitas efectivas para cerrar el caso y 117 visitas no efectivas objeto de reprogramación.  Avance acumulado actividad 18,28%.</t>
  </si>
  <si>
    <t>I trimestre: fueron planeadas 40 otras acciones y ejecutado fue 53.de los cuales, 9 informes de acciones populares, 4 estudios de ruido, 10 reuniones o mesas de trabajo, 3 presentaciones o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</si>
  <si>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</si>
  <si>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Se presenta retraso principalmente con los documentos de evaluación de la vigencia 2022,  donde al mes de marzo se tiene ejecutado el 27 % de lo planeado.</t>
  </si>
  <si>
    <t>Plan de choque para iniciar y solicitar el tramite y de firma a la vigencia 2022.</t>
  </si>
  <si>
    <t>NO se registra avance de esta actividad en el primer trimestre del 2022.</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</si>
  <si>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</si>
  <si>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t>
  </si>
  <si>
    <t>Del 01 de febrero al 31 de marzo de 2022 se realizaron 2.543 acciones archivísticas asociadas al proceso de organización y administración documental relacionado con el recurso aire, auditiva y visual; asi:
Apertura de expedientes: 293
Encarpetado de expedientes: 25
Asociación de radicados – Forest: 21
Ordenación de expedientes: 46
FUID: 56
Hoja de Control: 751
Inserciones Expedientes sancionatorios: 711
levantamiento Base de Datos inserciones DCA: 98
Solicitudes de préstamo: 434
Control de Calidad:49
Foliación: 9
Apoyo saneamiento Jurídico: 50.</t>
  </si>
  <si>
    <t>Del 01 de febrero al 31 de marzo de 2022 se realizaron 541 notificaciones de actos administrativos sancionatorios asociados al recurso aire, auditiva y visual.</t>
  </si>
  <si>
    <t>Del 1 de febrero al 31 de marzo de 2022 se ejecutaron las siguientes actividades asociadas al proceso de seguimiento y control al recurso aire, auditiva y visual:
Aprobación de 25 Informes Técnicos de Criterios (3852083, 3814253, 3757809, 3840673, 3831033, 4340134, 4692087, 3827186, 4399129, 3911647, 3887237, 3781674, 3826382,4239333,4040333,4625379,4129682,4013607,4569109,4351454,4684760,389723,3771205,4152194,4689832).</t>
  </si>
  <si>
    <r>
      <t>7, LOGROS CORTE A</t>
    </r>
    <r>
      <rPr>
        <b/>
        <u/>
        <sz val="10"/>
        <rFont val="Arial"/>
        <family val="2"/>
      </rPr>
      <t xml:space="preserve">  MARZO</t>
    </r>
    <r>
      <rPr>
        <b/>
        <sz val="10"/>
        <rFont val="Arial"/>
        <family val="2"/>
      </rPr>
      <t xml:space="preserve"> AÑO 2022</t>
    </r>
  </si>
  <si>
    <t>Para el primer trimestre de la vigencia 2022 , se mantiene el porcentaje de cumplimiento para este indicador del 100%. Se realizaron mantenimientos preventivos y correctivos, validación y análisis de datos, publicación de informes periódicos, se trabajó en integración SDA-CAR y se mantuvo el plan de prueba de sensores de bajo costo.Se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Aunado con lo anterior y como parte del proceso de colaboración entre la Red de Monitoreo de Calidad del Aire de Bogotá – RMCAB y los diferentes actores en el establecimiento de esta red colaborativa de sensores de bajo costo ,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</si>
  <si>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 El avance de estos, equivalen a uno (1).</t>
  </si>
  <si>
    <t>Para la vigencia 2022 y en el cumplimiento de los dos (02) informes de gestión programados para esta vigencia; se ha alcanzado un avance acumulado en la ejecución de la meta de 0,5 (del Primer Informe para el I semestre del 2022).Este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así:Enero 0,0, No se registro avance en este periodo, febrero 0,33, de avance en la ejecución de la meta,marzo 0,17, de avance en la ejecución de la meta.</t>
  </si>
  <si>
    <t>Para el 2022, se han adelantado 249 acciones. Este avance 2022 corresponde a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</si>
  <si>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</si>
  <si>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Primer Trimestre: 27 visitas de evaluación a elementos mayores.
Enero: 0 visitas
Febrero: 19 visitas
Marzo: 08 visitas.  Avance Acumulado de la actividad. 11,25%.,
 Engativá: 02 visitas en la UPZ 31 Santa Cecilia
Fontibón: 01 visitas en la UPZ 117 Aeropuerto El Dorado
Suba: 03 vistas en las UPZ 18 Britalia, 20 La Alhambra y 24 Niza
Chapinero: 01 visitas en la UPZ 97 Chico Lago
Los Mártires: 01 visitas en la UPZ 102 La Sabana</t>
  </si>
  <si>
    <t>Primer Trimestre: 1 operativo de control.
Enero: 00 operativos
Febrero: 00 operativos
Marzo: 01 operativos.  Avance de la actividad 8,33%, Barrios Unidos:01 operativo en la UPZ 21 Los Andes</t>
  </si>
  <si>
    <t xml:space="preserve">Se realizó el seguimiento al Sistema Integrado de Información de Publicación Exterior Visual – SIIPEV y se validó el cargue de la información contenida en la plataforma.
Acumulado:
Primer Trimestre: 02 cargues en el SIIPEV.
Enero: 00 cargue de información.
Febrero: 01 cargue de información.
Marzo: 01 cargue de información.  Avance de la actividad 16,66% </t>
  </si>
  <si>
    <t xml:space="preserve">Primer Trimestre: 57 visitas de evaluación a elementos mayores.
ENERO: Se realizó la evaluación de (00) solicitudes de registro dentro de la vigencia 2022 que dejaron como resultado: 00 registros y 00 requerimientos de información.
FEBRERO: Se realizó la evaluación de (12) solicitudes de registro dentro de la vigencia 2022 que dejaron como resultado: 00 registros, 12 requerimientos de información.
MARZO: Se realizó la evaluación de (45) solicitudes de registro dentro de la vigencia 2022 que dejaron como resultado: 00 registros, 45 requerimientos de información.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</si>
  <si>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</si>
  <si>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</si>
  <si>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</si>
  <si>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 xml:space="preserve">4. Realizar acciones encaminadas a la integración de las redes de monitoreo de calidad del aire de la CAR y de la RMCAB.
</t>
  </si>
  <si>
    <t xml:space="preserve">5. Apoyar técnicamente la evaluación y selección de sensores de bajo costo, útiles para el establecimiento de una red de monitoreo de exposición a la contaminación. </t>
  </si>
  <si>
    <t>6. Avance en la elaboraracion de los dos (02) Documentos de seguimiento semestral Plan Aire 2030 (I, II - 2022).</t>
  </si>
  <si>
    <t>7. Avance en la elaboración de dos (02) documentos técnicos, así; 1. Informe De Modelación De Calidad De Aire Sobre Bogotá Del 2022.
2.Inventario De Emisiones De Bogotá Contaminantes Atmosféricos Del 2022.</t>
  </si>
  <si>
    <t>8. Avance en la elaboración de dos (02) documentos técnicos de Informe semestral de gestión del SATAB (I - II - 2022).</t>
  </si>
  <si>
    <t>9. Realizar la intervención a las Fuentes Fijas  ubicadas en el Distrito Capital, a través de las acciones de evaluación, control,  seguimiento y monitoreo.</t>
  </si>
  <si>
    <t>10. Atender las solicitudes de quejas, derechos de petición, entes de control y radicados allegadas a la Entidad a través de vistas de inspección, vigilancia y control.</t>
  </si>
  <si>
    <t>11. Realizar las mediciones a los vehículos durante los operativos de evaluación, control y seguimiento a las fuentes móviles.</t>
  </si>
  <si>
    <t>12. Programar  y ejecutar las visitas técnicas del programa de auditoria a los centros de diagnóstico automotor que operan en el distrito capital.</t>
  </si>
  <si>
    <t xml:space="preserve">13. Estructurar y evaluar estrategias alternativas de seguimiento y control a fuentes móviles </t>
  </si>
  <si>
    <t>14. Realizar documentos técnicos de evaluación y seguimiento de emisión de ruido a establecimientos de comercio, industria y servicio, generados por visitas con medición/sin medición y  no efectivas.</t>
  </si>
  <si>
    <t>15. Realizar documentos técnicos: oficios evaluación de estudios de emisión de ruido conceptos técnicos aclaratorio y demás documentos relacionados que no requieren visita técnica.</t>
  </si>
  <si>
    <t>16. Asegurar la continua operación y comunicación de las estaciones de monitoreo que conforman la red de monitoreo de ruido ambiental del Distrito</t>
  </si>
  <si>
    <r>
      <t xml:space="preserve">Para el </t>
    </r>
    <r>
      <rPr>
        <sz val="10"/>
        <color rgb="FFFF0000"/>
        <rFont val="Arial"/>
        <family val="2"/>
      </rPr>
      <t xml:space="preserve">mes de marzo </t>
    </r>
    <r>
      <rPr>
        <sz val="10"/>
        <rFont val="Arial"/>
        <family val="2"/>
      </rPr>
      <t>se aseguro la continua operación de la RMRAB realizando el cronograma de mantenimiento de ls estaciones y pago de los arriendos.  Avance de la activiadad 24,99%</t>
    </r>
  </si>
  <si>
    <t>17. Gestionar los procesos relacionados con la acreditación de la metodología de medición de ruido ambiental ISO 1996 llevado a cabo por la SDA ante el IDEAM</t>
  </si>
  <si>
    <t>18. Actualizar los mapas estratégicos de ruido de todas las localidades urbanas del Distrito.</t>
  </si>
  <si>
    <t>19. Elaborar un informe técnico semestral de ruido ambiental que sirva como insumo para la identificación del porcentaje Urbano de Afectados por Ruido (%PUAR)</t>
  </si>
  <si>
    <t>20. Avance en el desarrollo de  actividades de control y sensibilización de los elementos Publicidad Exteriores Visual - PEV. Por medio de Operativos De Control Y Sensibilización.</t>
  </si>
  <si>
    <t>21 Avance en la evaluación a Vallas Tubulares , a través de la realización de visitas de control y seguimiento a los elementos mayores dentro del Distrito Capital.</t>
  </si>
  <si>
    <t>22. Avance en la elaboración de los documentos técnicos requeridos para el adecuado proceso interno de los elementos Publicidad Exteriores Visual - PEV ilegales en el Distrito Capital con la generación de Documentos De Operativos De Control.</t>
  </si>
  <si>
    <t>23. Realizar el seguimiento y actualización mensual de la información contenida en el Sistema Integrado de Información de Publicidad Exterior Visual - SIIPEV para dar cumplimiento al Acuerdo 610/2015.</t>
  </si>
  <si>
    <t>24. Evaluación técnica a las solicitudes de registro de los elementos de publicidad exterior visual. - PEV, de acuerdo con las Peticiones y Quejas que alleguen a grupo.</t>
  </si>
  <si>
    <t>25. Acoger jurídicamente los conceptos técnicos mediante la proyección de los actos administrativos ambientales de carácter sancionatorio.</t>
  </si>
  <si>
    <t>26. Realizar el proceso de organización y administración de los documentos de archivos y expedientes sancionatorios.</t>
  </si>
  <si>
    <t>27. Notificar los actos administrativos en cumplimiento de la normatividad establecida.</t>
  </si>
  <si>
    <t>28. Realizar acciones de seguimiento y control ambiental en el marco del trámite sancionatorio.</t>
  </si>
  <si>
    <t>Desarrollar las actividades de campo, en los meses de Abril  y Mayo, así como realizar plan de choque en la firma de documentos de control durante el mes de abril y mayo.</t>
  </si>
  <si>
    <t xml:space="preserve">Para el 2022, se han adelantado 249 acciones. Este avance 2022 corresponde a 196 visitas y 53 otras acciones de gestión.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
Vigencia 2021: 897 acciones, correspondientes a 761 visitas y 136 otras acciones de gestión.
Vigencia 2020: 491 acciones, correspondientes a 374 visitas y 117 otras acciones de gestión.
Con lo anterior, se lleva un avance acumulado en el cuatrienio de 1.637 acciones a marzo del 2022.
</t>
  </si>
  <si>
    <t>La Secretaría Distrital de Ambiente, en el marco de las acciones de operación, mantenimiento y monitoreo de la red de ruido realizadas, presenta el avance de la vigencia que se detalla a continuación: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vandalizadas en mayo del 2021.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t>
  </si>
  <si>
    <t xml:space="preserve">La Secretaría Distrital de Ambiente, en el marco de las acciones de operación, mantenimiento y monitoreo de la red de ruido realizadas, presenta el avance de la vigencia que se detalla a continuación: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vandalizadas en mayo del 2021.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</si>
  <si>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A marzo, se han realizado: (56) operativos de sensibilización y control, (44) visitas a elementos mayores de PEV, (09) documentos técnicos, para un total de 109 acciones de seguimiento y control.
Así mismo, se lleva un acumulado del Plan de Desarrollo en (1.098) acciones, de las cuales (195) corresponden a la vigencia 2020, (794) acciones para la vigencia 2021, y (109) para la vigencia 2022. A continuación, se detalla el avance total: (459) operativos de sensibilización y control, (215) visitas a elementos mayores de PEV y (492) documentos técnicos.</t>
  </si>
  <si>
    <t>La Secretaría Distrital de Ambiente, en el marco del cumplimiento de la meta de la concentración promedio ponderado de ciudad de material partículado PM10. Los avances a  marzo de 2022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31 de marzo: 35,6 microgramos por metro cubico.</t>
  </si>
  <si>
    <t>La Secretaría Distrital de Ambiente, en el marco del cumplimiento de la meta de la concentración promedio ponderado de ciudad de material partículado PM 2.5. Los avances a marzo de 2022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31 de marzo: 18.5 microgramos por metro cubico.</t>
  </si>
  <si>
    <t>PROGRAMACIÓN, ACTUALIZACIÓN Y SEGUIMIENTO DEL PLAN DE ACCIÓN
Actualización y seguimiento a la Territorialización</t>
  </si>
  <si>
    <t>PERIODO:</t>
  </si>
  <si>
    <t xml:space="preserve">Subdirección de Calidad del Aire, Auditiva y Visual	</t>
  </si>
  <si>
    <t xml:space="preserve">7778 - Control a los factores de deterioro de calidad del aire, acústica y visual del Distrito Capital. Bogotá	</t>
  </si>
  <si>
    <t>CORTE A  MARZO AÑO 2022</t>
  </si>
  <si>
    <t>Se presentan retrasos en las acciones de control y sensibilzación a los elementos de publicidad exterior visual programados.
Se presentan retrasos en las firmas de documentos tecnicos en control a establecimientos, debido al alto flujo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</si>
</sst>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_-[$$-240A]\ * #,##0_-;\-[$$-240A]\ * #,##0_-;_-[$$-240A]\ * &quot;-&quot;??_-;_-@_-"/>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indexed="8"/>
      <name val="Arial"/>
      <family val="2"/>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1"/>
      <color theme="1"/>
      <name val="Arial Narrow"/>
      <family val="2"/>
    </font>
    <font>
      <b/>
      <sz val="10"/>
      <name val="Calibri"/>
      <family val="2"/>
      <scheme val="minor"/>
    </font>
    <font>
      <sz val="10"/>
      <color rgb="FFFF0000"/>
      <name val="Arial"/>
      <family val="2"/>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669900"/>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s>
  <cellStyleXfs count="286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20"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20"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4" fillId="0" borderId="0"/>
    <xf numFmtId="0" fontId="73" fillId="0" borderId="0" applyNumberFormat="0" applyFill="0" applyBorder="0" applyAlignment="0" applyProtection="0"/>
    <xf numFmtId="164" fontId="20" fillId="0" borderId="0" applyFont="0" applyFill="0" applyBorder="0" applyAlignment="0" applyProtection="0"/>
  </cellStyleXfs>
  <cellXfs count="71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7" fillId="0" borderId="0" xfId="0" applyFont="1" applyFill="1"/>
    <xf numFmtId="0" fontId="29" fillId="0"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3" fillId="0" borderId="0" xfId="0" applyFont="1"/>
    <xf numFmtId="4" fontId="43" fillId="0" borderId="0" xfId="0" applyNumberFormat="1" applyFont="1"/>
    <xf numFmtId="10" fontId="3" fillId="2" borderId="0" xfId="16" applyNumberFormat="1" applyFont="1" applyFill="1" applyAlignment="1">
      <alignment vertical="center"/>
    </xf>
    <xf numFmtId="0" fontId="17" fillId="0" borderId="1" xfId="0" applyFont="1" applyFill="1" applyBorder="1" applyAlignment="1">
      <alignment horizontal="center" vertical="center"/>
    </xf>
    <xf numFmtId="180" fontId="22" fillId="0" borderId="0" xfId="0" applyNumberFormat="1" applyFont="1" applyFill="1" applyAlignment="1">
      <alignment horizontal="center" vertical="center"/>
    </xf>
    <xf numFmtId="180" fontId="0" fillId="0" borderId="0" xfId="0" applyNumberFormat="1"/>
    <xf numFmtId="0" fontId="7" fillId="0" borderId="0" xfId="0" applyFont="1" applyFill="1" applyAlignment="1">
      <alignment vertical="center"/>
    </xf>
    <xf numFmtId="0" fontId="10" fillId="0" borderId="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on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4"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2" fillId="16" borderId="1" xfId="0" applyFont="1" applyFill="1" applyBorder="1" applyAlignment="1">
      <alignment horizontal="center" vertical="center" wrapText="1"/>
    </xf>
    <xf numFmtId="42" fontId="5" fillId="0" borderId="0" xfId="2865" applyFont="1" applyFill="1" applyAlignment="1">
      <alignment horizontal="center"/>
    </xf>
    <xf numFmtId="0" fontId="0" fillId="0" borderId="0" xfId="0" applyAlignment="1">
      <alignment horizontal="center" vertical="center"/>
    </xf>
    <xf numFmtId="0" fontId="43" fillId="15" borderId="0" xfId="0" applyFont="1" applyFill="1" applyAlignment="1">
      <alignment horizontal="center" vertical="center"/>
    </xf>
    <xf numFmtId="180" fontId="5" fillId="0" borderId="0" xfId="0" applyNumberFormat="1" applyFont="1" applyFill="1" applyAlignment="1">
      <alignment horizontal="center"/>
    </xf>
    <xf numFmtId="0" fontId="28"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Fill="1" applyBorder="1" applyAlignment="1">
      <alignment horizontal="center" vertical="center"/>
    </xf>
    <xf numFmtId="181" fontId="17" fillId="0" borderId="1" xfId="9"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1" fontId="0" fillId="0" borderId="0" xfId="0" applyNumberFormat="1" applyFill="1" applyAlignment="1">
      <alignment horizontal="center" vertical="center"/>
    </xf>
    <xf numFmtId="181" fontId="22"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 fontId="17" fillId="0" borderId="1" xfId="0" applyNumberFormat="1" applyFont="1" applyFill="1" applyBorder="1" applyAlignment="1">
      <alignment horizontal="center" vertical="center"/>
    </xf>
    <xf numFmtId="181" fontId="0" fillId="0" borderId="0" xfId="0" applyNumberFormat="1"/>
    <xf numFmtId="181" fontId="22" fillId="0" borderId="0" xfId="0" applyNumberFormat="1" applyFont="1"/>
    <xf numFmtId="4" fontId="43" fillId="15" borderId="0" xfId="0" applyNumberFormat="1" applyFont="1" applyFill="1" applyAlignment="1">
      <alignment horizontal="center"/>
    </xf>
    <xf numFmtId="0" fontId="43" fillId="0" borderId="0" xfId="0" applyFont="1" applyAlignment="1">
      <alignment horizontal="center"/>
    </xf>
    <xf numFmtId="181" fontId="0" fillId="0" borderId="0" xfId="0" applyNumberFormat="1" applyAlignment="1">
      <alignment horizontal="center"/>
    </xf>
    <xf numFmtId="180" fontId="0" fillId="0" borderId="0" xfId="0" applyNumberFormat="1" applyFont="1" applyFill="1" applyAlignment="1">
      <alignment horizontal="center" vertical="center"/>
    </xf>
    <xf numFmtId="181" fontId="5" fillId="0" borderId="0" xfId="0" applyNumberFormat="1" applyFont="1" applyFill="1"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0" fontId="5" fillId="0" borderId="0" xfId="0" applyFont="1" applyFill="1" applyBorder="1" applyAlignment="1">
      <alignment horizontal="center"/>
    </xf>
    <xf numFmtId="170" fontId="5" fillId="0" borderId="0" xfId="3" applyFont="1" applyFill="1" applyBorder="1" applyAlignment="1">
      <alignment horizontal="center"/>
    </xf>
    <xf numFmtId="181"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181" fontId="59" fillId="0" borderId="1" xfId="9" applyNumberFormat="1" applyFont="1" applyFill="1" applyBorder="1" applyAlignment="1">
      <alignment horizontal="center" vertical="center"/>
    </xf>
    <xf numFmtId="180" fontId="59" fillId="0" borderId="1" xfId="9" applyNumberFormat="1" applyFont="1" applyFill="1" applyBorder="1" applyAlignment="1">
      <alignment horizontal="center" vertical="center"/>
    </xf>
    <xf numFmtId="0" fontId="59" fillId="0" borderId="1"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3"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5"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9" fillId="0" borderId="0" xfId="0" applyFont="1" applyFill="1" applyBorder="1" applyAlignment="1">
      <alignment horizontal="center" vertical="center"/>
    </xf>
    <xf numFmtId="0" fontId="55" fillId="0" borderId="0" xfId="0" applyFont="1" applyFill="1" applyBorder="1" applyAlignment="1">
      <alignment vertical="top" wrapText="1"/>
    </xf>
    <xf numFmtId="0" fontId="26" fillId="0" borderId="0" xfId="0" applyFont="1" applyFill="1" applyBorder="1" applyAlignment="1">
      <alignment horizontal="center" vertical="center" wrapText="1"/>
    </xf>
    <xf numFmtId="0" fontId="46" fillId="0" borderId="0" xfId="0" applyFont="1" applyFill="1" applyBorder="1" applyAlignment="1">
      <alignment horizontal="left" vertical="top" wrapText="1"/>
    </xf>
    <xf numFmtId="0" fontId="46" fillId="0" borderId="0" xfId="0" applyFont="1" applyFill="1" applyBorder="1" applyAlignment="1">
      <alignment horizontal="center" vertical="center" wrapText="1"/>
    </xf>
    <xf numFmtId="182" fontId="58" fillId="0" borderId="0" xfId="0" applyNumberFormat="1" applyFont="1" applyFill="1" applyBorder="1" applyAlignment="1">
      <alignment horizontal="center" vertical="center" wrapText="1"/>
    </xf>
    <xf numFmtId="2" fontId="57" fillId="0" borderId="0" xfId="0" applyNumberFormat="1" applyFont="1" applyFill="1" applyBorder="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42" fontId="58" fillId="0" borderId="1" xfId="2865" applyFont="1" applyFill="1" applyBorder="1" applyAlignment="1">
      <alignment horizontal="center" vertical="center" wrapText="1"/>
    </xf>
    <xf numFmtId="1" fontId="59" fillId="0" borderId="1" xfId="0" applyNumberFormat="1" applyFont="1" applyFill="1" applyBorder="1" applyAlignment="1">
      <alignment horizontal="center" vertical="center"/>
    </xf>
    <xf numFmtId="182" fontId="58" fillId="0" borderId="1" xfId="10" applyNumberFormat="1" applyFont="1" applyFill="1" applyBorder="1" applyAlignment="1">
      <alignment horizontal="center" vertical="center" wrapText="1"/>
    </xf>
    <xf numFmtId="180" fontId="58" fillId="0" borderId="1" xfId="0" applyNumberFormat="1" applyFont="1" applyFill="1" applyBorder="1" applyAlignment="1">
      <alignment horizontal="center" vertical="center"/>
    </xf>
    <xf numFmtId="180" fontId="58" fillId="0" borderId="1" xfId="9" applyNumberFormat="1" applyFont="1" applyFill="1" applyBorder="1" applyAlignment="1">
      <alignment horizontal="center" vertical="center"/>
    </xf>
    <xf numFmtId="180" fontId="58" fillId="0" borderId="1" xfId="2865" applyNumberFormat="1" applyFont="1" applyFill="1" applyBorder="1" applyAlignment="1">
      <alignment horizontal="center" vertical="center" wrapText="1"/>
    </xf>
    <xf numFmtId="170" fontId="58" fillId="0" borderId="1" xfId="3" applyNumberFormat="1" applyFont="1" applyFill="1" applyBorder="1" applyAlignment="1">
      <alignment horizontal="center" vertical="center"/>
    </xf>
    <xf numFmtId="1" fontId="58" fillId="0" borderId="1" xfId="2865" applyNumberFormat="1"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3" fontId="58" fillId="0" borderId="1" xfId="0" applyNumberFormat="1" applyFont="1" applyFill="1" applyBorder="1" applyAlignment="1">
      <alignment horizontal="center" vertical="center" wrapText="1"/>
    </xf>
    <xf numFmtId="4" fontId="58" fillId="0" borderId="1" xfId="0" applyNumberFormat="1" applyFont="1" applyFill="1" applyBorder="1" applyAlignment="1">
      <alignment horizontal="center" vertical="center" wrapText="1"/>
    </xf>
    <xf numFmtId="3" fontId="61"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1" fontId="4" fillId="0" borderId="1" xfId="2865" applyNumberFormat="1" applyFont="1" applyFill="1" applyBorder="1" applyAlignment="1">
      <alignment horizontal="center" vertical="center" wrapText="1"/>
    </xf>
    <xf numFmtId="0" fontId="25" fillId="0" borderId="0" xfId="0" applyFont="1" applyFill="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3" fontId="4" fillId="0" borderId="1" xfId="21"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65" fillId="0" borderId="0" xfId="0" applyFont="1" applyFill="1"/>
    <xf numFmtId="170" fontId="58" fillId="0" borderId="1" xfId="3"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 fontId="58" fillId="0" borderId="1" xfId="0" applyNumberFormat="1" applyFont="1" applyFill="1" applyBorder="1" applyAlignment="1">
      <alignment horizontal="center" vertical="center"/>
    </xf>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5" fillId="0" borderId="1" xfId="2865" applyFont="1" applyFill="1" applyBorder="1" applyAlignment="1">
      <alignment horizontal="center" vertical="center"/>
    </xf>
    <xf numFmtId="0" fontId="21" fillId="0" borderId="0" xfId="0" applyFont="1" applyFill="1" applyAlignment="1">
      <alignment horizontal="center" vertical="center"/>
    </xf>
    <xf numFmtId="180" fontId="25"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1" fillId="0" borderId="0" xfId="0" applyNumberFormat="1" applyFont="1" applyFill="1" applyAlignment="1">
      <alignment horizontal="center" vertical="center"/>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181" fontId="25" fillId="0" borderId="1" xfId="9" applyNumberFormat="1" applyFont="1" applyFill="1" applyBorder="1" applyAlignment="1">
      <alignment horizontal="center" vertical="center"/>
    </xf>
    <xf numFmtId="180" fontId="25" fillId="22" borderId="1" xfId="9" applyNumberFormat="1" applyFont="1" applyFill="1" applyBorder="1" applyAlignment="1">
      <alignment horizontal="center" vertical="center"/>
    </xf>
    <xf numFmtId="180" fontId="4" fillId="22" borderId="1" xfId="9" applyNumberFormat="1" applyFont="1" applyFill="1" applyBorder="1" applyAlignment="1">
      <alignment horizontal="center" vertical="center"/>
    </xf>
    <xf numFmtId="180" fontId="69" fillId="0" borderId="0" xfId="0" applyNumberFormat="1" applyFont="1" applyFill="1" applyAlignment="1">
      <alignment horizontal="center" vertical="center"/>
    </xf>
    <xf numFmtId="42" fontId="4" fillId="0" borderId="1" xfId="2865" applyFont="1" applyFill="1" applyBorder="1" applyAlignment="1">
      <alignment horizontal="center" vertical="center"/>
    </xf>
    <xf numFmtId="1" fontId="4" fillId="0" borderId="1" xfId="0" applyNumberFormat="1" applyFont="1" applyFill="1" applyBorder="1" applyAlignment="1">
      <alignment horizontal="center" vertical="center" wrapText="1"/>
    </xf>
    <xf numFmtId="42" fontId="33" fillId="0" borderId="1" xfId="2865"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xf>
    <xf numFmtId="9" fontId="33" fillId="0" borderId="1" xfId="21" applyFont="1" applyFill="1" applyBorder="1" applyAlignment="1">
      <alignment horizontal="center" vertical="center"/>
    </xf>
    <xf numFmtId="10" fontId="33" fillId="0" borderId="1" xfId="21" applyNumberFormat="1" applyFont="1" applyFill="1" applyBorder="1" applyAlignment="1">
      <alignment horizontal="center" vertical="center" wrapText="1"/>
    </xf>
    <xf numFmtId="0" fontId="70" fillId="0" borderId="0" xfId="16" applyFont="1" applyBorder="1" applyAlignment="1">
      <alignment vertical="center"/>
    </xf>
    <xf numFmtId="173"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2" fillId="17" borderId="1" xfId="0" applyNumberFormat="1" applyFont="1" applyFill="1" applyBorder="1" applyAlignment="1">
      <alignment vertical="center"/>
    </xf>
    <xf numFmtId="173" fontId="72" fillId="16" borderId="1" xfId="0" applyNumberFormat="1" applyFont="1" applyFill="1" applyBorder="1" applyAlignment="1">
      <alignment vertical="center"/>
    </xf>
    <xf numFmtId="173" fontId="72"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0" fontId="27" fillId="0" borderId="0" xfId="0" applyFont="1"/>
    <xf numFmtId="9" fontId="4" fillId="16" borderId="1" xfId="24" applyFont="1" applyFill="1" applyBorder="1" applyAlignment="1" applyProtection="1">
      <alignment horizontal="left" vertical="center" wrapText="1"/>
      <protection locked="0"/>
    </xf>
    <xf numFmtId="42" fontId="4" fillId="17" borderId="1" xfId="2865" applyFont="1" applyFill="1" applyBorder="1" applyAlignment="1" applyProtection="1">
      <alignment horizontal="left" vertical="center" wrapText="1"/>
      <protection locked="0"/>
    </xf>
    <xf numFmtId="4" fontId="4" fillId="16" borderId="1" xfId="0" applyNumberFormat="1" applyFont="1" applyFill="1" applyBorder="1" applyAlignment="1" applyProtection="1">
      <alignment horizontal="left" vertical="center" wrapText="1"/>
      <protection locked="0"/>
    </xf>
    <xf numFmtId="4" fontId="4" fillId="0" borderId="1" xfId="24" applyNumberFormat="1" applyFont="1" applyFill="1" applyBorder="1" applyAlignment="1">
      <alignment horizontal="center" vertical="center" wrapText="1"/>
    </xf>
    <xf numFmtId="9" fontId="2" fillId="16" borderId="1" xfId="24" applyFont="1" applyFill="1" applyBorder="1" applyAlignment="1" applyProtection="1">
      <alignment horizontal="left" vertical="center" wrapText="1"/>
      <protection locked="0"/>
    </xf>
    <xf numFmtId="42" fontId="2" fillId="17" borderId="1" xfId="2865" applyFont="1" applyFill="1" applyBorder="1" applyAlignment="1" applyProtection="1">
      <alignment horizontal="left" vertical="center" wrapText="1"/>
      <protection locked="0"/>
    </xf>
    <xf numFmtId="0" fontId="21" fillId="0" borderId="0" xfId="0" applyFont="1" applyAlignment="1">
      <alignment horizontal="center" vertical="center"/>
    </xf>
    <xf numFmtId="10" fontId="4" fillId="0" borderId="1" xfId="21" applyNumberFormat="1" applyFont="1" applyFill="1" applyBorder="1" applyAlignment="1">
      <alignment horizontal="center" vertical="center" wrapText="1"/>
    </xf>
    <xf numFmtId="180" fontId="0" fillId="0" borderId="0" xfId="0" applyNumberFormat="1" applyFill="1" applyAlignment="1">
      <alignment horizontal="center"/>
    </xf>
    <xf numFmtId="180" fontId="25" fillId="22" borderId="1" xfId="0" applyNumberFormat="1" applyFont="1" applyFill="1" applyBorder="1" applyAlignment="1">
      <alignment horizontal="center" vertical="center"/>
    </xf>
    <xf numFmtId="184" fontId="4" fillId="0" borderId="1" xfId="3" applyNumberFormat="1" applyFont="1" applyFill="1" applyBorder="1" applyAlignment="1">
      <alignment horizontal="center" vertical="center"/>
    </xf>
    <xf numFmtId="9" fontId="59" fillId="0" borderId="1" xfId="21" applyFont="1" applyFill="1" applyBorder="1" applyAlignment="1">
      <alignment horizontal="center" vertical="center"/>
    </xf>
    <xf numFmtId="9" fontId="58" fillId="0" borderId="1" xfId="21" applyFont="1" applyFill="1" applyBorder="1" applyAlignment="1">
      <alignment horizontal="center" vertical="center" wrapText="1"/>
    </xf>
    <xf numFmtId="9" fontId="58" fillId="0" borderId="1" xfId="21" applyFont="1" applyFill="1" applyBorder="1" applyAlignment="1">
      <alignment horizontal="center" vertical="center"/>
    </xf>
    <xf numFmtId="180" fontId="0" fillId="0" borderId="0" xfId="0" applyNumberFormat="1" applyFill="1"/>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54" fillId="17" borderId="1" xfId="0" applyFont="1" applyFill="1" applyBorder="1" applyAlignment="1">
      <alignment horizontal="center" vertical="center"/>
    </xf>
    <xf numFmtId="185" fontId="54" fillId="18" borderId="1" xfId="5" applyNumberFormat="1" applyFont="1" applyFill="1" applyBorder="1" applyAlignment="1">
      <alignment horizontal="center" vertical="center" wrapText="1"/>
    </xf>
    <xf numFmtId="0" fontId="33" fillId="0" borderId="1" xfId="0" applyFont="1" applyBorder="1" applyAlignment="1">
      <alignment horizontal="center" vertical="center" wrapText="1"/>
    </xf>
    <xf numFmtId="164" fontId="33" fillId="0" borderId="1" xfId="2868" applyFont="1" applyBorder="1" applyAlignment="1">
      <alignment horizontal="center" vertical="center"/>
    </xf>
    <xf numFmtId="0" fontId="33" fillId="0" borderId="0" xfId="0" applyFont="1" applyAlignment="1">
      <alignment horizontal="center" vertical="center"/>
    </xf>
    <xf numFmtId="0" fontId="33" fillId="0" borderId="5" xfId="0" applyFont="1" applyBorder="1" applyAlignment="1">
      <alignment horizontal="center" vertical="center" wrapText="1"/>
    </xf>
    <xf numFmtId="9" fontId="33" fillId="0" borderId="1" xfId="24" applyFont="1" applyBorder="1" applyAlignment="1">
      <alignment horizontal="center" vertical="center"/>
    </xf>
    <xf numFmtId="0" fontId="21" fillId="0" borderId="1" xfId="0" applyFont="1" applyBorder="1" applyAlignment="1">
      <alignment horizontal="center" vertical="center" wrapText="1"/>
    </xf>
    <xf numFmtId="164" fontId="21" fillId="0" borderId="1" xfId="2868" applyFont="1" applyFill="1" applyBorder="1" applyAlignment="1">
      <alignment horizontal="center" vertical="center"/>
    </xf>
    <xf numFmtId="164" fontId="76" fillId="0" borderId="1" xfId="2868" applyFont="1" applyFill="1" applyBorder="1" applyAlignment="1">
      <alignment horizontal="center" vertical="center"/>
    </xf>
    <xf numFmtId="9" fontId="33" fillId="0" borderId="1" xfId="0" applyNumberFormat="1" applyFont="1" applyBorder="1" applyAlignment="1">
      <alignment horizontal="center" vertical="center" wrapText="1"/>
    </xf>
    <xf numFmtId="0" fontId="33" fillId="0" borderId="0" xfId="0" applyFont="1" applyAlignment="1">
      <alignment horizontal="center" vertical="center" wrapText="1"/>
    </xf>
    <xf numFmtId="4" fontId="33" fillId="0" borderId="1"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0" borderId="0" xfId="0" applyFont="1"/>
    <xf numFmtId="1" fontId="33" fillId="0" borderId="1" xfId="0" applyNumberFormat="1" applyFont="1" applyBorder="1" applyAlignment="1">
      <alignment horizontal="center" vertical="center" wrapText="1"/>
    </xf>
    <xf numFmtId="0" fontId="33" fillId="0" borderId="1" xfId="0" applyFont="1" applyBorder="1" applyAlignment="1">
      <alignment horizontal="left" wrapText="1"/>
    </xf>
    <xf numFmtId="0" fontId="33" fillId="0" borderId="38" xfId="0" applyFont="1" applyBorder="1" applyAlignment="1">
      <alignment horizontal="left" wrapText="1"/>
    </xf>
    <xf numFmtId="0" fontId="33" fillId="0" borderId="1" xfId="0" applyFont="1" applyBorder="1" applyAlignment="1">
      <alignment horizontal="left" vertical="top" wrapText="1"/>
    </xf>
    <xf numFmtId="0" fontId="0" fillId="0" borderId="1" xfId="0" applyBorder="1" applyAlignment="1">
      <alignment wrapText="1"/>
    </xf>
    <xf numFmtId="9" fontId="33" fillId="0" borderId="7" xfId="24" applyFont="1" applyBorder="1" applyAlignment="1">
      <alignment horizontal="center" vertical="center"/>
    </xf>
    <xf numFmtId="4" fontId="33"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21" applyFont="1" applyBorder="1" applyAlignment="1">
      <alignment horizontal="center" vertical="center"/>
    </xf>
    <xf numFmtId="42" fontId="21" fillId="0" borderId="1" xfId="2865" applyFont="1" applyFill="1" applyBorder="1" applyAlignment="1">
      <alignment horizontal="center" vertical="center"/>
    </xf>
    <xf numFmtId="42" fontId="76" fillId="0" borderId="1" xfId="2865" applyFont="1" applyFill="1" applyBorder="1" applyAlignment="1">
      <alignment horizontal="center" vertic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43" fillId="0" borderId="0" xfId="0" applyFont="1" applyAlignment="1">
      <alignment horizontal="center" vertical="center"/>
    </xf>
    <xf numFmtId="0" fontId="18" fillId="0" borderId="0" xfId="0" applyFont="1" applyAlignment="1">
      <alignment horizontal="center" vertical="center" wrapText="1"/>
    </xf>
    <xf numFmtId="4" fontId="4" fillId="0" borderId="1" xfId="0" applyNumberFormat="1" applyFont="1" applyFill="1" applyBorder="1" applyAlignment="1">
      <alignment horizontal="center" vertical="center"/>
    </xf>
    <xf numFmtId="1" fontId="33" fillId="0" borderId="1" xfId="0" applyNumberFormat="1" applyFont="1" applyFill="1" applyBorder="1" applyAlignment="1">
      <alignment horizontal="center" vertical="center" wrapText="1"/>
    </xf>
    <xf numFmtId="9" fontId="33" fillId="0" borderId="1"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4" fontId="33"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11" fillId="16"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3" fontId="10" fillId="0" borderId="0" xfId="0" applyNumberFormat="1" applyFont="1" applyFill="1" applyBorder="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180" fontId="2" fillId="22" borderId="1" xfId="0" applyNumberFormat="1" applyFont="1" applyFill="1" applyBorder="1" applyAlignment="1">
      <alignment horizontal="center" vertical="center" wrapText="1"/>
    </xf>
    <xf numFmtId="180" fontId="4" fillId="2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9"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42" fontId="0" fillId="0" borderId="0" xfId="2865" applyFont="1" applyAlignment="1">
      <alignment horizontal="center" vertical="center"/>
    </xf>
    <xf numFmtId="42" fontId="33" fillId="0" borderId="0" xfId="2865" applyFont="1" applyAlignment="1">
      <alignment horizontal="center" vertical="center"/>
    </xf>
    <xf numFmtId="42" fontId="0" fillId="0" borderId="0" xfId="2865" applyFont="1"/>
    <xf numFmtId="42" fontId="54" fillId="18" borderId="1" xfId="2865" applyFont="1" applyFill="1" applyBorder="1" applyAlignment="1">
      <alignment horizontal="center" vertical="center" wrapText="1"/>
    </xf>
    <xf numFmtId="42" fontId="33" fillId="0" borderId="1" xfId="2865" applyFont="1" applyBorder="1" applyAlignment="1">
      <alignment horizontal="center" vertical="center" wrapText="1"/>
    </xf>
    <xf numFmtId="42" fontId="33" fillId="0" borderId="1" xfId="2865" applyFont="1" applyBorder="1" applyAlignment="1">
      <alignment horizontal="center" vertical="center"/>
    </xf>
    <xf numFmtId="42" fontId="0" fillId="0" borderId="1" xfId="2865" applyFont="1" applyBorder="1"/>
    <xf numFmtId="42" fontId="33" fillId="0" borderId="0" xfId="2865" applyFont="1" applyBorder="1" applyAlignment="1">
      <alignment horizontal="center" vertical="center"/>
    </xf>
    <xf numFmtId="0" fontId="33" fillId="0" borderId="1"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0" fillId="0" borderId="1" xfId="0" applyFill="1" applyBorder="1" applyAlignment="1">
      <alignment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0" fillId="3" borderId="0" xfId="0" applyFill="1" applyAlignment="1">
      <alignment vertical="top"/>
    </xf>
    <xf numFmtId="0" fontId="0" fillId="0" borderId="0" xfId="0" applyFill="1" applyAlignment="1">
      <alignment vertical="top"/>
    </xf>
    <xf numFmtId="9" fontId="21" fillId="0" borderId="38" xfId="21" applyFont="1" applyFill="1" applyBorder="1" applyAlignment="1">
      <alignment horizontal="center" vertical="center"/>
    </xf>
    <xf numFmtId="0" fontId="0" fillId="0" borderId="1" xfId="0" applyNumberFormat="1" applyBorder="1"/>
    <xf numFmtId="10" fontId="5" fillId="0" borderId="0" xfId="21" applyNumberFormat="1" applyFont="1" applyFill="1" applyAlignment="1">
      <alignment horizontal="center"/>
    </xf>
    <xf numFmtId="10" fontId="33" fillId="17" borderId="1" xfId="16"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0" xfId="0" applyAlignment="1">
      <alignment horizontal="center"/>
    </xf>
    <xf numFmtId="0" fontId="0" fillId="0" borderId="1" xfId="0" applyBorder="1" applyAlignment="1">
      <alignment horizontal="center" vertical="center"/>
    </xf>
    <xf numFmtId="9" fontId="4" fillId="0" borderId="1" xfId="2865" applyNumberFormat="1" applyFont="1" applyFill="1" applyBorder="1" applyAlignment="1">
      <alignment horizontal="center" vertical="center"/>
    </xf>
    <xf numFmtId="186" fontId="4" fillId="0" borderId="1" xfId="2865" applyNumberFormat="1" applyFont="1" applyFill="1" applyBorder="1" applyAlignment="1">
      <alignment horizontal="center" vertical="center"/>
    </xf>
    <xf numFmtId="187" fontId="4" fillId="0" borderId="1" xfId="10" applyNumberFormat="1" applyFont="1" applyFill="1" applyBorder="1" applyAlignment="1">
      <alignment horizontal="center" vertical="center"/>
    </xf>
    <xf numFmtId="10" fontId="33" fillId="0" borderId="1" xfId="16" applyNumberFormat="1" applyFont="1" applyFill="1" applyBorder="1" applyAlignment="1">
      <alignment horizontal="center" vertical="center" wrapText="1"/>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0" fontId="11" fillId="16"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Fill="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79" fillId="0" borderId="0" xfId="0" applyFont="1" applyFill="1" applyAlignment="1">
      <alignment horizontal="center" vertical="center"/>
    </xf>
    <xf numFmtId="0" fontId="12" fillId="16" borderId="1" xfId="0" applyFont="1" applyFill="1" applyBorder="1" applyAlignment="1" applyProtection="1">
      <alignment horizontal="left" vertical="center" wrapText="1"/>
      <protection locked="0"/>
    </xf>
    <xf numFmtId="181" fontId="12" fillId="17" borderId="1" xfId="0" applyNumberFormat="1" applyFont="1" applyFill="1" applyBorder="1" applyAlignment="1" applyProtection="1">
      <alignment horizontal="left" vertical="center" wrapText="1"/>
      <protection locked="0"/>
    </xf>
    <xf numFmtId="181" fontId="12" fillId="20" borderId="1" xfId="0" applyNumberFormat="1" applyFont="1" applyFill="1" applyBorder="1" applyAlignment="1" applyProtection="1">
      <alignment horizontal="left" vertical="center" wrapText="1"/>
      <protection locked="0"/>
    </xf>
    <xf numFmtId="180" fontId="25" fillId="23" borderId="1" xfId="9" applyNumberFormat="1" applyFont="1" applyFill="1" applyBorder="1" applyAlignment="1">
      <alignment horizontal="center" vertical="center"/>
    </xf>
    <xf numFmtId="183" fontId="4" fillId="0" borderId="1" xfId="2865" applyNumberFormat="1" applyFont="1" applyFill="1" applyBorder="1" applyAlignment="1">
      <alignment horizontal="center" vertical="center" wrapText="1"/>
    </xf>
    <xf numFmtId="0" fontId="21" fillId="3" borderId="0" xfId="0" applyFont="1" applyFill="1"/>
    <xf numFmtId="0" fontId="21" fillId="0" borderId="0" xfId="0" applyFont="1" applyFill="1"/>
    <xf numFmtId="42" fontId="76" fillId="0" borderId="1" xfId="2865" applyFont="1" applyFill="1" applyBorder="1" applyAlignment="1">
      <alignment horizontal="center" vertical="center" wrapText="1"/>
    </xf>
    <xf numFmtId="0" fontId="0" fillId="0" borderId="0" xfId="0" applyBorder="1"/>
    <xf numFmtId="0" fontId="0" fillId="0" borderId="1" xfId="0" applyBorder="1" applyAlignment="1">
      <alignment horizontal="left" vertical="top" wrapText="1"/>
    </xf>
    <xf numFmtId="9" fontId="33" fillId="0" borderId="1" xfId="0" applyNumberFormat="1" applyFont="1" applyBorder="1" applyAlignment="1">
      <alignment horizontal="center" vertical="center" wrapText="1"/>
    </xf>
    <xf numFmtId="0" fontId="11" fillId="16"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Fill="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wrapText="1"/>
    </xf>
    <xf numFmtId="182" fontId="4" fillId="0" borderId="1" xfId="0" applyNumberFormat="1" applyFont="1" applyFill="1" applyBorder="1" applyAlignment="1">
      <alignment horizontal="center" vertical="center" wrapText="1"/>
    </xf>
    <xf numFmtId="9" fontId="71" fillId="0" borderId="1" xfId="21" applyFont="1" applyFill="1" applyBorder="1" applyAlignment="1">
      <alignment horizontal="center" vertical="center" wrapText="1"/>
    </xf>
    <xf numFmtId="0" fontId="18" fillId="16" borderId="1" xfId="0" applyFont="1" applyFill="1" applyBorder="1" applyAlignment="1">
      <alignment horizontal="left"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9" fontId="4" fillId="0" borderId="5" xfId="24"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42" fontId="0" fillId="0" borderId="0" xfId="2865" applyFont="1" applyBorder="1"/>
    <xf numFmtId="0" fontId="0" fillId="0" borderId="2" xfId="0" applyBorder="1"/>
    <xf numFmtId="0" fontId="0" fillId="0" borderId="43" xfId="0" applyBorder="1"/>
    <xf numFmtId="0" fontId="2" fillId="16" borderId="4" xfId="16" applyFont="1" applyFill="1" applyBorder="1" applyAlignment="1">
      <alignment horizontal="center" vertical="center" wrapText="1"/>
    </xf>
    <xf numFmtId="0" fontId="33" fillId="0" borderId="1" xfId="0" applyFont="1" applyFill="1" applyBorder="1" applyAlignment="1">
      <alignment horizontal="center" vertical="center"/>
    </xf>
    <xf numFmtId="0" fontId="4"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42" fontId="80" fillId="0" borderId="1" xfId="2865" applyFont="1" applyFill="1" applyBorder="1" applyAlignment="1">
      <alignment horizontal="center" vertical="center" wrapText="1"/>
    </xf>
    <xf numFmtId="164" fontId="33" fillId="0" borderId="1" xfId="2868" applyFont="1" applyFill="1" applyBorder="1" applyAlignment="1">
      <alignment horizontal="center" vertical="center"/>
    </xf>
    <xf numFmtId="9" fontId="33" fillId="0" borderId="1" xfId="24" applyFont="1" applyFill="1" applyBorder="1" applyAlignment="1">
      <alignment horizontal="center" vertical="center"/>
    </xf>
    <xf numFmtId="0" fontId="33" fillId="0"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4" borderId="1" xfId="0" applyFont="1" applyFill="1" applyBorder="1" applyAlignment="1">
      <alignment horizontal="center" vertical="center"/>
    </xf>
    <xf numFmtId="4" fontId="4" fillId="0" borderId="1"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left" vertical="top" wrapText="1"/>
    </xf>
    <xf numFmtId="0" fontId="82" fillId="0" borderId="1" xfId="2867" applyFont="1" applyFill="1" applyBorder="1" applyAlignment="1">
      <alignment horizontal="center" vertical="center" wrapText="1"/>
    </xf>
    <xf numFmtId="0" fontId="74" fillId="0" borderId="1" xfId="2867" applyFont="1" applyFill="1" applyBorder="1" applyAlignment="1">
      <alignment horizontal="center" vertical="center" wrapText="1"/>
    </xf>
    <xf numFmtId="0" fontId="11" fillId="16" borderId="1" xfId="0" applyFont="1" applyFill="1" applyBorder="1" applyAlignment="1">
      <alignment horizontal="center" vertical="center" wrapText="1"/>
    </xf>
    <xf numFmtId="0" fontId="61" fillId="20" borderId="1" xfId="0" applyFont="1" applyFill="1" applyBorder="1" applyAlignment="1">
      <alignment horizontal="center" vertical="center"/>
    </xf>
    <xf numFmtId="0" fontId="61" fillId="16" borderId="1" xfId="0" applyFont="1" applyFill="1" applyBorder="1" applyAlignment="1">
      <alignment horizontal="center"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0" fillId="16" borderId="39"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29" fillId="0" borderId="13" xfId="0" applyFont="1" applyFill="1" applyBorder="1" applyAlignment="1">
      <alignment horizontal="center"/>
    </xf>
    <xf numFmtId="0" fontId="29" fillId="0" borderId="3" xfId="0" applyFont="1" applyFill="1" applyBorder="1" applyAlignment="1">
      <alignment horizontal="center"/>
    </xf>
    <xf numFmtId="0" fontId="29" fillId="0" borderId="14" xfId="0" applyFont="1" applyFill="1" applyBorder="1" applyAlignment="1">
      <alignment horizontal="center"/>
    </xf>
    <xf numFmtId="0" fontId="29" fillId="0" borderId="1" xfId="0" applyFont="1" applyFill="1" applyBorder="1" applyAlignment="1">
      <alignment horizontal="center"/>
    </xf>
    <xf numFmtId="0" fontId="66" fillId="16" borderId="3" xfId="0" applyFont="1" applyFill="1" applyBorder="1" applyAlignment="1">
      <alignment horizontal="center" vertical="center" wrapText="1"/>
    </xf>
    <xf numFmtId="0" fontId="66" fillId="16" borderId="10" xfId="0" applyFont="1" applyFill="1" applyBorder="1" applyAlignment="1">
      <alignment horizontal="center" vertical="center" wrapText="1"/>
    </xf>
    <xf numFmtId="0" fontId="67" fillId="16" borderId="1" xfId="0" applyFont="1" applyFill="1" applyBorder="1" applyAlignment="1">
      <alignment horizontal="center"/>
    </xf>
    <xf numFmtId="0" fontId="67" fillId="16" borderId="11" xfId="0" applyFont="1" applyFill="1" applyBorder="1" applyAlignment="1">
      <alignment horizontal="center"/>
    </xf>
    <xf numFmtId="0" fontId="28" fillId="3" borderId="1" xfId="0" applyFont="1" applyFill="1" applyBorder="1" applyAlignment="1">
      <alignment vertical="center" wrapText="1"/>
    </xf>
    <xf numFmtId="0" fontId="28" fillId="3" borderId="1"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Fill="1" applyBorder="1" applyAlignment="1">
      <alignment horizontal="center" vertical="center"/>
    </xf>
    <xf numFmtId="0" fontId="4" fillId="0" borderId="1" xfId="0" applyFont="1" applyFill="1" applyBorder="1" applyAlignment="1">
      <alignment horizontal="center" vertical="center" wrapText="1"/>
    </xf>
    <xf numFmtId="0" fontId="21" fillId="0" borderId="0" xfId="0" applyFont="1" applyFill="1" applyBorder="1" applyAlignment="1">
      <alignment horizontal="center" vertical="center"/>
    </xf>
    <xf numFmtId="180" fontId="4" fillId="16" borderId="1" xfId="0" applyNumberFormat="1" applyFont="1" applyFill="1" applyBorder="1" applyAlignment="1" applyProtection="1">
      <alignment horizontal="center" vertical="center" wrapText="1"/>
      <protection locked="0"/>
    </xf>
    <xf numFmtId="0" fontId="3" fillId="16" borderId="1" xfId="0" applyFont="1" applyFill="1" applyBorder="1" applyAlignment="1">
      <alignment horizontal="center" vertical="center" wrapText="1"/>
    </xf>
    <xf numFmtId="0" fontId="21" fillId="0" borderId="13" xfId="0" applyFont="1" applyFill="1" applyBorder="1" applyAlignment="1">
      <alignment horizontal="center"/>
    </xf>
    <xf numFmtId="0" fontId="21" fillId="0" borderId="3" xfId="0" applyFont="1" applyFill="1" applyBorder="1" applyAlignment="1">
      <alignment horizontal="center"/>
    </xf>
    <xf numFmtId="0" fontId="21" fillId="0" borderId="14" xfId="0" applyFont="1" applyFill="1" applyBorder="1" applyAlignment="1">
      <alignment horizontal="center"/>
    </xf>
    <xf numFmtId="0" fontId="21" fillId="0" borderId="1" xfId="0" applyFont="1" applyFill="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6" borderId="10"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28" fillId="0" borderId="1" xfId="0" applyFont="1" applyFill="1" applyBorder="1" applyAlignment="1">
      <alignment horizontal="left" vertical="center"/>
    </xf>
    <xf numFmtId="0" fontId="3" fillId="20" borderId="1" xfId="0" applyFont="1" applyFill="1" applyBorder="1" applyAlignment="1">
      <alignment horizontal="center" vertical="center"/>
    </xf>
    <xf numFmtId="0" fontId="28" fillId="0" borderId="11" xfId="0" applyFont="1" applyFill="1" applyBorder="1" applyAlignment="1">
      <alignment horizontal="left" vertical="center"/>
    </xf>
    <xf numFmtId="0" fontId="10" fillId="0" borderId="4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1" xfId="0" applyFont="1" applyFill="1" applyBorder="1" applyAlignment="1">
      <alignment horizontal="left" vertical="center" wrapText="1"/>
    </xf>
    <xf numFmtId="180" fontId="21" fillId="16" borderId="1" xfId="0" applyNumberFormat="1" applyFont="1" applyFill="1" applyBorder="1" applyAlignment="1">
      <alignment horizontal="center" wrapText="1"/>
    </xf>
    <xf numFmtId="10"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7" fillId="0" borderId="16" xfId="0" applyFont="1" applyFill="1" applyBorder="1" applyAlignment="1">
      <alignment horizontal="center"/>
    </xf>
    <xf numFmtId="0" fontId="27" fillId="0" borderId="17" xfId="0" applyFont="1" applyFill="1" applyBorder="1" applyAlignment="1">
      <alignment horizontal="center"/>
    </xf>
    <xf numFmtId="0" fontId="27" fillId="0" borderId="18" xfId="0" applyFont="1" applyFill="1" applyBorder="1" applyAlignment="1">
      <alignment horizontal="center"/>
    </xf>
    <xf numFmtId="0" fontId="27" fillId="0" borderId="0" xfId="0" applyFont="1" applyFill="1" applyBorder="1" applyAlignment="1">
      <alignment horizontal="center"/>
    </xf>
    <xf numFmtId="0" fontId="27" fillId="0" borderId="20" xfId="0" applyFont="1" applyFill="1" applyBorder="1" applyAlignment="1">
      <alignment horizontal="center"/>
    </xf>
    <xf numFmtId="0" fontId="27" fillId="0" borderId="21" xfId="0" applyFont="1" applyFill="1" applyBorder="1" applyAlignment="1">
      <alignment horizontal="center"/>
    </xf>
    <xf numFmtId="0" fontId="28" fillId="16" borderId="13" xfId="0" applyFont="1" applyFill="1" applyBorder="1" applyAlignment="1">
      <alignment horizontal="center" vertical="center" wrapText="1"/>
    </xf>
    <xf numFmtId="0" fontId="70" fillId="16" borderId="14" xfId="0" applyFont="1" applyFill="1" applyBorder="1" applyAlignment="1">
      <alignment horizontal="left" vertical="center" wrapText="1"/>
    </xf>
    <xf numFmtId="0" fontId="70" fillId="16" borderId="1" xfId="0" applyFont="1" applyFill="1" applyBorder="1" applyAlignment="1">
      <alignment horizontal="left" vertical="center" wrapText="1"/>
    </xf>
    <xf numFmtId="0" fontId="70" fillId="16" borderId="11" xfId="0" applyFont="1" applyFill="1" applyBorder="1" applyAlignment="1">
      <alignment horizontal="left"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9" xfId="16" applyFont="1" applyFill="1" applyBorder="1" applyAlignment="1">
      <alignment horizontal="center" vertical="center" wrapText="1"/>
    </xf>
    <xf numFmtId="0" fontId="28" fillId="3" borderId="29" xfId="0" applyFont="1" applyFill="1" applyBorder="1" applyAlignment="1">
      <alignment horizontal="left" vertical="center" wrapText="1"/>
    </xf>
    <xf numFmtId="0" fontId="28" fillId="3" borderId="22"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4" fillId="0" borderId="1" xfId="16" applyFill="1" applyBorder="1" applyAlignment="1">
      <alignment horizontal="center" vertical="center" wrapText="1"/>
    </xf>
    <xf numFmtId="0" fontId="4" fillId="0" borderId="1" xfId="16" applyFill="1" applyBorder="1" applyAlignment="1">
      <alignment horizontal="justify" vertical="center" wrapText="1"/>
    </xf>
    <xf numFmtId="0" fontId="2" fillId="16" borderId="1" xfId="16"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56" fillId="16" borderId="1" xfId="0" applyFont="1" applyFill="1" applyBorder="1" applyAlignment="1">
      <alignment horizontal="center" vertical="center"/>
    </xf>
    <xf numFmtId="0" fontId="28" fillId="16" borderId="2" xfId="0" applyFont="1" applyFill="1" applyBorder="1" applyAlignment="1">
      <alignment horizontal="center" vertical="center" wrapText="1"/>
    </xf>
    <xf numFmtId="0" fontId="11" fillId="15" borderId="16"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11" fillId="15" borderId="26" xfId="0" applyFont="1" applyFill="1" applyBorder="1" applyAlignment="1">
      <alignment horizontal="left" vertical="center" wrapText="1"/>
    </xf>
    <xf numFmtId="0" fontId="10" fillId="3" borderId="37" xfId="0" applyFont="1" applyFill="1" applyBorder="1" applyAlignment="1">
      <alignment horizontal="left" vertical="center"/>
    </xf>
    <xf numFmtId="0" fontId="10" fillId="3" borderId="34" xfId="0" applyFont="1" applyFill="1" applyBorder="1" applyAlignment="1">
      <alignment horizontal="left" vertical="center"/>
    </xf>
    <xf numFmtId="0" fontId="10" fillId="3" borderId="35" xfId="0" applyFont="1" applyFill="1" applyBorder="1" applyAlignment="1">
      <alignment horizontal="left" vertical="center"/>
    </xf>
    <xf numFmtId="0" fontId="10" fillId="3" borderId="37"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34" xfId="0" applyFont="1" applyFill="1" applyBorder="1" applyAlignment="1">
      <alignment horizontal="left" vertical="center" wrapText="1"/>
    </xf>
    <xf numFmtId="0" fontId="11" fillId="15" borderId="35" xfId="0" applyFont="1" applyFill="1" applyBorder="1" applyAlignment="1">
      <alignment horizontal="left" vertical="center" wrapText="1"/>
    </xf>
    <xf numFmtId="0" fontId="30" fillId="0" borderId="16" xfId="19" applyFont="1" applyBorder="1" applyAlignment="1">
      <alignment horizontal="center" vertical="center" wrapText="1"/>
    </xf>
    <xf numFmtId="0" fontId="30" fillId="0" borderId="17" xfId="19" applyFont="1" applyBorder="1" applyAlignment="1">
      <alignment horizontal="center" vertical="center" wrapText="1"/>
    </xf>
    <xf numFmtId="0" fontId="30" fillId="0" borderId="26" xfId="19" applyFont="1" applyBorder="1" applyAlignment="1">
      <alignment horizontal="center" vertical="center" wrapText="1"/>
    </xf>
    <xf numFmtId="0" fontId="2" fillId="20" borderId="1"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1" xfId="0" applyFont="1" applyFill="1" applyBorder="1" applyAlignment="1">
      <alignment horizontal="center" vertical="center"/>
    </xf>
    <xf numFmtId="3" fontId="16" fillId="0" borderId="5"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5" xfId="0" applyNumberFormat="1" applyFont="1" applyFill="1" applyBorder="1" applyAlignment="1">
      <alignment vertical="center" wrapText="1"/>
    </xf>
    <xf numFmtId="3" fontId="16" fillId="0" borderId="1" xfId="0" applyNumberFormat="1" applyFont="1" applyFill="1" applyBorder="1" applyAlignment="1">
      <alignment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vertical="center" wrapText="1"/>
    </xf>
    <xf numFmtId="3" fontId="16" fillId="0" borderId="2" xfId="0" applyNumberFormat="1" applyFont="1" applyFill="1" applyBorder="1" applyAlignment="1">
      <alignment horizontal="center" vertical="center" wrapText="1"/>
    </xf>
    <xf numFmtId="3" fontId="16" fillId="0" borderId="15" xfId="0" applyNumberFormat="1" applyFont="1" applyFill="1" applyBorder="1" applyAlignment="1">
      <alignment horizontal="center" vertical="center" wrapText="1"/>
    </xf>
    <xf numFmtId="0" fontId="15" fillId="16" borderId="1" xfId="0" applyFont="1" applyFill="1" applyBorder="1" applyAlignment="1">
      <alignment horizontal="center" vertical="center" wrapText="1"/>
    </xf>
    <xf numFmtId="9" fontId="33" fillId="0" borderId="1" xfId="0" applyNumberFormat="1" applyFont="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33" fillId="0" borderId="1" xfId="0" applyFont="1" applyBorder="1" applyAlignment="1">
      <alignment horizontal="center" vertical="center" wrapText="1"/>
    </xf>
    <xf numFmtId="0" fontId="53" fillId="17" borderId="8" xfId="0" applyFont="1" applyFill="1" applyBorder="1" applyAlignment="1">
      <alignment horizontal="center"/>
    </xf>
    <xf numFmtId="0" fontId="53" fillId="17" borderId="6" xfId="0" applyFont="1" applyFill="1" applyBorder="1" applyAlignment="1">
      <alignment horizontal="center"/>
    </xf>
    <xf numFmtId="0" fontId="53" fillId="17" borderId="7" xfId="0" applyFont="1" applyFill="1" applyBorder="1" applyAlignment="1">
      <alignment horizontal="center"/>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15" xfId="0" applyFont="1" applyBorder="1" applyAlignment="1">
      <alignment horizontal="center" vertical="center"/>
    </xf>
    <xf numFmtId="0" fontId="33" fillId="0" borderId="5" xfId="0" applyFont="1" applyBorder="1" applyAlignment="1">
      <alignment horizontal="center" vertical="center"/>
    </xf>
    <xf numFmtId="0" fontId="0" fillId="0" borderId="1" xfId="0" applyBorder="1" applyAlignment="1">
      <alignment horizontal="center" vertical="center"/>
    </xf>
    <xf numFmtId="0" fontId="33" fillId="0" borderId="2"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5" xfId="0" applyFont="1" applyBorder="1" applyAlignment="1">
      <alignment horizontal="center" vertical="center" wrapText="1"/>
    </xf>
    <xf numFmtId="0" fontId="53" fillId="17" borderId="8" xfId="0" applyFont="1" applyFill="1" applyBorder="1" applyAlignment="1">
      <alignment horizontal="center" vertical="center"/>
    </xf>
    <xf numFmtId="0" fontId="53" fillId="17" borderId="6" xfId="0" applyFont="1" applyFill="1" applyBorder="1" applyAlignment="1">
      <alignment horizontal="center" vertical="center"/>
    </xf>
    <xf numFmtId="0" fontId="53" fillId="17" borderId="7" xfId="0" applyFont="1" applyFill="1" applyBorder="1" applyAlignment="1">
      <alignment horizontal="center" vertical="center"/>
    </xf>
    <xf numFmtId="0" fontId="0" fillId="0" borderId="1" xfId="0" applyBorder="1" applyAlignment="1">
      <alignment horizontal="center" vertical="center" wrapText="1"/>
    </xf>
    <xf numFmtId="0" fontId="53" fillId="17" borderId="1" xfId="0" applyFont="1" applyFill="1" applyBorder="1" applyAlignment="1">
      <alignment horizontal="center" vertical="center"/>
    </xf>
    <xf numFmtId="0" fontId="0" fillId="0" borderId="1" xfId="0" applyBorder="1" applyAlignment="1">
      <alignment horizontal="center"/>
    </xf>
    <xf numFmtId="0" fontId="49"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50" fillId="16" borderId="1" xfId="0" applyFont="1" applyFill="1" applyBorder="1" applyAlignment="1">
      <alignment horizontal="center" vertical="center"/>
    </xf>
    <xf numFmtId="0" fontId="51" fillId="0" borderId="1" xfId="0" applyFont="1" applyBorder="1" applyAlignment="1">
      <alignment horizontal="center"/>
    </xf>
    <xf numFmtId="0" fontId="50" fillId="0" borderId="1" xfId="0" applyFont="1" applyBorder="1" applyAlignment="1">
      <alignment horizontal="center"/>
    </xf>
    <xf numFmtId="0" fontId="75" fillId="16" borderId="1" xfId="0" applyFont="1" applyFill="1" applyBorder="1" applyAlignment="1">
      <alignment horizontal="left" vertical="center"/>
    </xf>
    <xf numFmtId="0" fontId="75" fillId="0" borderId="1" xfId="0" applyFont="1" applyBorder="1" applyAlignment="1">
      <alignment horizontal="left" vertical="top"/>
    </xf>
    <xf numFmtId="42" fontId="76" fillId="0" borderId="2" xfId="2865" applyFont="1" applyFill="1" applyBorder="1" applyAlignment="1">
      <alignment horizontal="center" vertical="center" wrapText="1"/>
    </xf>
    <xf numFmtId="42" fontId="76" fillId="0" borderId="15" xfId="2865" applyFont="1" applyFill="1" applyBorder="1" applyAlignment="1">
      <alignment horizontal="center" vertical="center" wrapText="1"/>
    </xf>
    <xf numFmtId="42" fontId="76" fillId="0" borderId="5" xfId="2865" applyFont="1" applyFill="1" applyBorder="1" applyAlignment="1">
      <alignment horizontal="center" vertical="center" wrapText="1"/>
    </xf>
    <xf numFmtId="42" fontId="80" fillId="0" borderId="2" xfId="2865" applyFont="1" applyFill="1" applyBorder="1" applyAlignment="1">
      <alignment horizontal="center" vertical="center" wrapText="1"/>
    </xf>
    <xf numFmtId="42" fontId="80" fillId="0" borderId="15" xfId="2865" applyFont="1" applyFill="1" applyBorder="1" applyAlignment="1">
      <alignment horizontal="center" vertical="center" wrapText="1"/>
    </xf>
    <xf numFmtId="42" fontId="80" fillId="0" borderId="5" xfId="2865"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0" fillId="0" borderId="42" xfId="0" applyBorder="1" applyAlignment="1">
      <alignment horizontal="center" vertical="center"/>
    </xf>
    <xf numFmtId="0" fontId="0" fillId="0" borderId="9" xfId="0" applyBorder="1" applyAlignment="1">
      <alignment horizontal="center" vertical="center"/>
    </xf>
    <xf numFmtId="0" fontId="0" fillId="0" borderId="44" xfId="0" applyBorder="1" applyAlignment="1">
      <alignment horizontal="center" vertical="center"/>
    </xf>
    <xf numFmtId="0" fontId="33" fillId="0" borderId="36" xfId="0" applyFont="1" applyBorder="1" applyAlignment="1">
      <alignment horizontal="center" vertical="center"/>
    </xf>
    <xf numFmtId="0" fontId="33" fillId="0" borderId="38" xfId="0" applyFont="1" applyBorder="1" applyAlignment="1">
      <alignment horizontal="center" vertical="center"/>
    </xf>
    <xf numFmtId="0" fontId="4" fillId="0" borderId="1" xfId="16" applyFill="1" applyBorder="1" applyAlignment="1">
      <alignment horizontal="left" vertical="top" wrapText="1"/>
    </xf>
    <xf numFmtId="0" fontId="2"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10" fontId="4" fillId="0" borderId="1" xfId="16" applyNumberFormat="1" applyFill="1" applyBorder="1" applyAlignment="1">
      <alignment horizontal="center" vertical="center" wrapText="1"/>
    </xf>
    <xf numFmtId="10" fontId="4" fillId="0" borderId="1" xfId="16" applyNumberFormat="1"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4" fillId="0" borderId="1" xfId="16" applyFont="1" applyFill="1" applyBorder="1" applyAlignment="1">
      <alignment horizontal="left" vertical="top" wrapText="1"/>
    </xf>
    <xf numFmtId="0" fontId="33" fillId="0" borderId="1" xfId="16" applyFont="1" applyFill="1" applyBorder="1" applyAlignment="1">
      <alignment horizontal="left" vertical="top" wrapText="1"/>
    </xf>
    <xf numFmtId="0" fontId="33" fillId="0" borderId="1" xfId="16" applyFont="1" applyFill="1" applyBorder="1" applyAlignment="1">
      <alignment horizontal="justify" vertical="top" wrapText="1"/>
    </xf>
    <xf numFmtId="0" fontId="33" fillId="0" borderId="1" xfId="16" applyFont="1" applyFill="1" applyBorder="1" applyAlignment="1">
      <alignment horizontal="justify" vertical="top"/>
    </xf>
    <xf numFmtId="0" fontId="33" fillId="0" borderId="1" xfId="16" applyFont="1" applyFill="1" applyBorder="1" applyAlignment="1">
      <alignment horizontal="left" vertical="top"/>
    </xf>
    <xf numFmtId="0" fontId="4" fillId="0" borderId="1" xfId="16" applyFont="1" applyFill="1" applyBorder="1" applyAlignment="1">
      <alignment horizontal="justify" vertical="top" wrapText="1"/>
    </xf>
    <xf numFmtId="0" fontId="4" fillId="0" borderId="1" xfId="16" applyFont="1" applyFill="1" applyBorder="1" applyAlignment="1">
      <alignment horizontal="justify" vertical="top"/>
    </xf>
    <xf numFmtId="0" fontId="4" fillId="0" borderId="2" xfId="16" applyFont="1" applyFill="1" applyBorder="1" applyAlignment="1">
      <alignment horizontal="justify" vertical="top" wrapText="1"/>
    </xf>
    <xf numFmtId="0" fontId="4" fillId="0" borderId="5" xfId="16" applyFont="1" applyFill="1" applyBorder="1" applyAlignment="1">
      <alignment horizontal="justify" vertical="top" wrapText="1"/>
    </xf>
    <xf numFmtId="0" fontId="4" fillId="0" borderId="1" xfId="16" applyFont="1" applyFill="1" applyBorder="1" applyAlignment="1">
      <alignment horizontal="left" vertical="top"/>
    </xf>
    <xf numFmtId="0" fontId="0" fillId="0" borderId="1" xfId="0" applyFill="1" applyBorder="1"/>
    <xf numFmtId="42" fontId="0" fillId="0" borderId="1" xfId="2865" applyFont="1" applyFill="1" applyBorder="1"/>
    <xf numFmtId="0" fontId="34" fillId="0" borderId="1" xfId="0" applyFont="1" applyFill="1" applyBorder="1" applyAlignment="1">
      <alignment horizontal="left" vertical="top" wrapText="1"/>
    </xf>
    <xf numFmtId="0" fontId="34"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47" fillId="0" borderId="1" xfId="0" applyFont="1" applyFill="1" applyBorder="1" applyAlignment="1">
      <alignment horizontal="center" vertical="center" wrapText="1"/>
    </xf>
    <xf numFmtId="0" fontId="4" fillId="0" borderId="2" xfId="0" applyFont="1" applyFill="1" applyBorder="1" applyAlignment="1">
      <alignment horizontal="left" vertical="top" wrapText="1"/>
    </xf>
    <xf numFmtId="0" fontId="33" fillId="0" borderId="1" xfId="0" applyFont="1" applyFill="1" applyBorder="1" applyAlignment="1">
      <alignment horizontal="center" vertical="center" wrapText="1"/>
    </xf>
    <xf numFmtId="0" fontId="4" fillId="0" borderId="15" xfId="0" applyFont="1" applyFill="1" applyBorder="1" applyAlignment="1">
      <alignment horizontal="left" vertical="top" wrapText="1"/>
    </xf>
    <xf numFmtId="0" fontId="10" fillId="17" borderId="45" xfId="0" applyFont="1" applyFill="1" applyBorder="1" applyAlignment="1">
      <alignment horizontal="center" vertical="center" wrapText="1"/>
    </xf>
    <xf numFmtId="0" fontId="10" fillId="20" borderId="45" xfId="0" applyFont="1" applyFill="1" applyBorder="1" applyAlignment="1">
      <alignment horizontal="center" vertical="center" wrapText="1"/>
    </xf>
    <xf numFmtId="0" fontId="10" fillId="24" borderId="45" xfId="0" applyFont="1" applyFill="1" applyBorder="1" applyAlignment="1">
      <alignment horizontal="center" vertical="center" wrapText="1"/>
    </xf>
    <xf numFmtId="0" fontId="61" fillId="20" borderId="16" xfId="0" applyFont="1" applyFill="1" applyBorder="1" applyAlignment="1">
      <alignment horizontal="center" vertical="center" wrapText="1"/>
    </xf>
    <xf numFmtId="0" fontId="10" fillId="17" borderId="46" xfId="0" applyFont="1" applyFill="1" applyBorder="1" applyAlignment="1">
      <alignment horizontal="center" vertical="center" wrapText="1"/>
    </xf>
    <xf numFmtId="0" fontId="10" fillId="20" borderId="46" xfId="0" applyFont="1" applyFill="1" applyBorder="1" applyAlignment="1">
      <alignment horizontal="center" vertical="center" wrapText="1"/>
    </xf>
    <xf numFmtId="0" fontId="10" fillId="24" borderId="46" xfId="0" applyFont="1" applyFill="1" applyBorder="1" applyAlignment="1">
      <alignment horizontal="center" vertical="center" wrapText="1"/>
    </xf>
    <xf numFmtId="0" fontId="61" fillId="20" borderId="18"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20" borderId="47" xfId="0" applyFont="1" applyFill="1" applyBorder="1" applyAlignment="1">
      <alignment horizontal="center" vertical="center" wrapText="1"/>
    </xf>
    <xf numFmtId="0" fontId="10" fillId="24" borderId="47" xfId="0" applyFont="1" applyFill="1" applyBorder="1" applyAlignment="1">
      <alignment horizontal="center" vertical="center" wrapText="1"/>
    </xf>
    <xf numFmtId="0" fontId="61" fillId="20" borderId="20" xfId="0" applyFont="1" applyFill="1" applyBorder="1" applyAlignment="1">
      <alignment horizontal="center" vertical="center" wrapText="1"/>
    </xf>
    <xf numFmtId="0" fontId="10" fillId="17" borderId="26"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27" xfId="0" applyFont="1" applyFill="1" applyBorder="1" applyAlignment="1">
      <alignment horizontal="center" vertical="center" wrapText="1"/>
    </xf>
    <xf numFmtId="0" fontId="12" fillId="16" borderId="5" xfId="0" applyFont="1" applyFill="1" applyBorder="1" applyAlignment="1" applyProtection="1">
      <alignment horizontal="left" vertical="center" wrapText="1"/>
      <protection locked="0"/>
    </xf>
    <xf numFmtId="9" fontId="4" fillId="0" borderId="5" xfId="2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79" fontId="4" fillId="0" borderId="5" xfId="0"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0" fontId="3" fillId="16" borderId="13"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3" fillId="16" borderId="3" xfId="0" applyFont="1" applyFill="1" applyBorder="1" applyAlignment="1">
      <alignment horizontal="center" vertical="center"/>
    </xf>
    <xf numFmtId="0" fontId="3" fillId="16" borderId="10" xfId="0" applyFont="1" applyFill="1" applyBorder="1" applyAlignment="1">
      <alignment horizontal="center" vertical="center"/>
    </xf>
    <xf numFmtId="0" fontId="3" fillId="16" borderId="14" xfId="0" applyFont="1" applyFill="1" applyBorder="1" applyAlignment="1">
      <alignment horizontal="center" vertical="center" wrapText="1"/>
    </xf>
    <xf numFmtId="0" fontId="3" fillId="20" borderId="11" xfId="0" applyFont="1" applyFill="1" applyBorder="1" applyAlignment="1">
      <alignment horizontal="center" vertical="center"/>
    </xf>
    <xf numFmtId="0" fontId="4" fillId="16" borderId="39"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3" fillId="20" borderId="4"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3" fillId="21" borderId="4" xfId="0" applyFont="1" applyFill="1" applyBorder="1" applyAlignment="1">
      <alignment horizontal="center" vertical="center" wrapText="1"/>
    </xf>
    <xf numFmtId="0" fontId="3" fillId="19" borderId="4" xfId="0" applyFont="1" applyFill="1" applyBorder="1" applyAlignment="1">
      <alignment horizontal="center" vertical="center" wrapText="1"/>
    </xf>
    <xf numFmtId="0" fontId="11" fillId="20" borderId="4" xfId="0" applyFont="1" applyFill="1" applyBorder="1" applyAlignment="1">
      <alignment horizontal="center" vertical="center" wrapText="1"/>
    </xf>
    <xf numFmtId="0" fontId="11" fillId="19" borderId="4"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3" fillId="16" borderId="12" xfId="0" applyFont="1" applyFill="1" applyBorder="1" applyAlignment="1">
      <alignment horizontal="center" vertical="center" wrapText="1"/>
    </xf>
    <xf numFmtId="9" fontId="33" fillId="0" borderId="1" xfId="21" applyFont="1" applyFill="1" applyBorder="1" applyAlignment="1">
      <alignment horizontal="center" vertical="center" wrapText="1"/>
    </xf>
    <xf numFmtId="42" fontId="47" fillId="0" borderId="0" xfId="2865" applyFont="1" applyFill="1"/>
    <xf numFmtId="181" fontId="12" fillId="17" borderId="8" xfId="0" applyNumberFormat="1" applyFont="1" applyFill="1" applyBorder="1" applyAlignment="1" applyProtection="1">
      <alignment horizontal="left" vertical="center" wrapText="1"/>
      <protection locked="0"/>
    </xf>
    <xf numFmtId="0" fontId="34" fillId="0" borderId="7" xfId="0" applyFont="1" applyFill="1" applyBorder="1" applyAlignment="1">
      <alignment horizontal="left" vertical="top" wrapText="1"/>
    </xf>
    <xf numFmtId="9" fontId="4" fillId="0" borderId="2" xfId="21" applyFont="1" applyFill="1" applyBorder="1" applyAlignment="1">
      <alignment horizontal="center" vertical="center" wrapText="1"/>
    </xf>
    <xf numFmtId="9" fontId="4" fillId="0" borderId="2" xfId="24"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1" fontId="4" fillId="0" borderId="2" xfId="2865" applyNumberFormat="1" applyFont="1" applyFill="1" applyBorder="1" applyAlignment="1">
      <alignment horizontal="center" vertical="center" wrapText="1"/>
    </xf>
    <xf numFmtId="4" fontId="4" fillId="23" borderId="2" xfId="10" applyNumberFormat="1" applyFont="1" applyFill="1" applyBorder="1" applyAlignment="1">
      <alignment horizontal="center" vertical="center" wrapText="1"/>
    </xf>
    <xf numFmtId="4" fontId="4" fillId="23" borderId="2" xfId="0" applyNumberFormat="1" applyFont="1" applyFill="1" applyBorder="1" applyAlignment="1">
      <alignment horizontal="center" vertical="center" wrapText="1"/>
    </xf>
    <xf numFmtId="170" fontId="4" fillId="23" borderId="2" xfId="3" applyNumberFormat="1" applyFont="1" applyFill="1" applyBorder="1" applyAlignment="1">
      <alignment horizontal="center" vertical="center"/>
    </xf>
    <xf numFmtId="1" fontId="4" fillId="23" borderId="2" xfId="2865" applyNumberFormat="1" applyFont="1" applyFill="1" applyBorder="1" applyAlignment="1">
      <alignment horizontal="center" vertical="center" wrapText="1"/>
    </xf>
    <xf numFmtId="9" fontId="33" fillId="0" borderId="2" xfId="21" applyFont="1" applyFill="1" applyBorder="1" applyAlignment="1">
      <alignment horizontal="center" vertical="center"/>
    </xf>
    <xf numFmtId="10" fontId="33" fillId="0" borderId="2" xfId="21" applyNumberFormat="1" applyFont="1" applyFill="1" applyBorder="1" applyAlignment="1">
      <alignment horizontal="center" vertical="center" wrapText="1"/>
    </xf>
    <xf numFmtId="183" fontId="4" fillId="0" borderId="5" xfId="21"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83" fontId="4" fillId="0" borderId="5" xfId="2865" applyNumberFormat="1" applyFont="1" applyFill="1" applyBorder="1" applyAlignment="1">
      <alignment horizontal="center" vertical="center" wrapText="1"/>
    </xf>
    <xf numFmtId="9" fontId="33" fillId="0" borderId="5" xfId="21" applyFont="1" applyFill="1" applyBorder="1" applyAlignment="1">
      <alignment horizontal="center" vertical="center"/>
    </xf>
    <xf numFmtId="10" fontId="33" fillId="0" borderId="5" xfId="21" applyNumberFormat="1" applyFont="1" applyFill="1" applyBorder="1" applyAlignment="1">
      <alignment horizontal="center" vertical="center" wrapText="1"/>
    </xf>
    <xf numFmtId="42" fontId="25" fillId="4" borderId="48" xfId="2865" applyFont="1" applyFill="1" applyBorder="1" applyAlignment="1">
      <alignment horizontal="center" vertical="center"/>
    </xf>
    <xf numFmtId="42" fontId="25" fillId="4" borderId="34" xfId="2865" applyFont="1" applyFill="1" applyBorder="1" applyAlignment="1">
      <alignment horizontal="center" vertical="center"/>
    </xf>
    <xf numFmtId="42" fontId="4" fillId="4" borderId="34" xfId="2865" applyFont="1" applyFill="1" applyBorder="1" applyAlignment="1">
      <alignment horizontal="center" vertical="center" wrapText="1"/>
    </xf>
    <xf numFmtId="42" fontId="4" fillId="4" borderId="34" xfId="2865" applyFont="1" applyFill="1" applyBorder="1" applyAlignment="1">
      <alignment horizontal="center" vertical="center"/>
    </xf>
    <xf numFmtId="181" fontId="25" fillId="4" borderId="34" xfId="9" applyNumberFormat="1" applyFont="1" applyFill="1" applyBorder="1" applyAlignment="1">
      <alignment horizontal="center" vertical="center"/>
    </xf>
    <xf numFmtId="3" fontId="4" fillId="4" borderId="34" xfId="0" applyNumberFormat="1" applyFont="1" applyFill="1" applyBorder="1" applyAlignment="1">
      <alignment horizontal="center" vertical="center" wrapText="1"/>
    </xf>
    <xf numFmtId="180" fontId="25" fillId="4" borderId="34" xfId="9" applyNumberFormat="1" applyFont="1" applyFill="1" applyBorder="1" applyAlignment="1">
      <alignment horizontal="center" vertical="center"/>
    </xf>
    <xf numFmtId="180" fontId="4" fillId="4" borderId="34" xfId="9" applyNumberFormat="1" applyFont="1" applyFill="1" applyBorder="1" applyAlignment="1">
      <alignment horizontal="center" vertical="center"/>
    </xf>
    <xf numFmtId="9" fontId="33" fillId="4" borderId="34" xfId="21" applyFont="1" applyFill="1" applyBorder="1" applyAlignment="1">
      <alignment horizontal="center" vertical="center"/>
    </xf>
    <xf numFmtId="10" fontId="33" fillId="4" borderId="34" xfId="21" applyNumberFormat="1" applyFont="1" applyFill="1" applyBorder="1" applyAlignment="1">
      <alignment horizontal="center" vertical="center" wrapText="1"/>
    </xf>
    <xf numFmtId="10" fontId="33" fillId="4" borderId="35" xfId="21" applyNumberFormat="1" applyFont="1" applyFill="1" applyBorder="1" applyAlignment="1">
      <alignment horizontal="center" vertical="center" wrapText="1"/>
    </xf>
    <xf numFmtId="4" fontId="4" fillId="0" borderId="2" xfId="21" applyNumberFormat="1" applyFont="1" applyFill="1" applyBorder="1" applyAlignment="1">
      <alignment horizontal="center" vertical="center" wrapText="1"/>
    </xf>
    <xf numFmtId="183" fontId="4" fillId="0" borderId="2" xfId="21" applyNumberFormat="1" applyFont="1" applyFill="1" applyBorder="1" applyAlignment="1">
      <alignment horizontal="center" vertical="center" wrapText="1"/>
    </xf>
    <xf numFmtId="4" fontId="4" fillId="0" borderId="2" xfId="2865" applyNumberFormat="1" applyFont="1" applyFill="1" applyBorder="1" applyAlignment="1">
      <alignment horizontal="center" vertical="center" wrapText="1"/>
    </xf>
    <xf numFmtId="4" fontId="2" fillId="0" borderId="2" xfId="10" applyNumberFormat="1" applyFont="1" applyFill="1" applyBorder="1" applyAlignment="1">
      <alignment horizontal="center" vertical="center" wrapText="1"/>
    </xf>
    <xf numFmtId="170" fontId="4" fillId="0" borderId="2" xfId="3" applyNumberFormat="1" applyFont="1" applyFill="1" applyBorder="1" applyAlignment="1">
      <alignment horizontal="center" vertical="center"/>
    </xf>
    <xf numFmtId="2" fontId="4" fillId="0" borderId="5" xfId="21" applyNumberFormat="1" applyFont="1" applyFill="1" applyBorder="1" applyAlignment="1">
      <alignment horizontal="center" vertical="center" wrapText="1"/>
    </xf>
    <xf numFmtId="4" fontId="58" fillId="0" borderId="5" xfId="0" applyNumberFormat="1" applyFont="1" applyFill="1" applyBorder="1" applyAlignment="1">
      <alignment horizontal="center" vertical="center" wrapText="1"/>
    </xf>
    <xf numFmtId="3" fontId="58" fillId="0" borderId="5"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1" fontId="58" fillId="0" borderId="5" xfId="2865" applyNumberFormat="1" applyFont="1" applyFill="1" applyBorder="1" applyAlignment="1">
      <alignment horizontal="center" vertical="center" wrapText="1"/>
    </xf>
    <xf numFmtId="42" fontId="33" fillId="4" borderId="34" xfId="2865" applyFont="1" applyFill="1" applyBorder="1" applyAlignment="1">
      <alignment horizontal="center" vertical="center" wrapText="1"/>
    </xf>
    <xf numFmtId="181" fontId="68" fillId="4" borderId="34" xfId="9" applyNumberFormat="1" applyFont="1" applyFill="1" applyBorder="1" applyAlignment="1">
      <alignment horizontal="center" vertical="center"/>
    </xf>
    <xf numFmtId="0" fontId="4" fillId="0" borderId="7" xfId="0" applyFont="1" applyFill="1" applyBorder="1" applyAlignment="1">
      <alignment horizontal="left" vertical="top" wrapText="1"/>
    </xf>
    <xf numFmtId="4" fontId="10" fillId="0" borderId="2" xfId="10" applyNumberFormat="1" applyFont="1" applyFill="1" applyBorder="1" applyAlignment="1">
      <alignment horizontal="center" vertical="center" wrapText="1"/>
    </xf>
    <xf numFmtId="4" fontId="58" fillId="0" borderId="2" xfId="0" applyNumberFormat="1" applyFont="1" applyFill="1" applyBorder="1" applyAlignment="1">
      <alignment horizontal="center" vertical="center" wrapText="1"/>
    </xf>
    <xf numFmtId="170" fontId="58" fillId="0" borderId="2" xfId="3" applyNumberFormat="1" applyFont="1" applyFill="1" applyBorder="1" applyAlignment="1">
      <alignment horizontal="center" vertical="center"/>
    </xf>
    <xf numFmtId="1" fontId="58"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181" fontId="30" fillId="4" borderId="34" xfId="9" applyNumberFormat="1" applyFont="1" applyFill="1" applyBorder="1" applyAlignment="1">
      <alignment horizontal="center" vertical="center"/>
    </xf>
    <xf numFmtId="3" fontId="58" fillId="4" borderId="34" xfId="0" applyNumberFormat="1" applyFont="1" applyFill="1" applyBorder="1" applyAlignment="1">
      <alignment horizontal="center" vertical="center" wrapText="1"/>
    </xf>
    <xf numFmtId="180" fontId="59" fillId="4" borderId="34" xfId="9" applyNumberFormat="1" applyFont="1" applyFill="1" applyBorder="1" applyAlignment="1">
      <alignment horizontal="center" vertical="center"/>
    </xf>
    <xf numFmtId="180" fontId="58" fillId="4" borderId="34" xfId="9" applyNumberFormat="1" applyFont="1" applyFill="1" applyBorder="1" applyAlignment="1">
      <alignment horizontal="center" vertical="center"/>
    </xf>
    <xf numFmtId="9" fontId="16" fillId="0" borderId="5" xfId="21" applyFont="1" applyFill="1" applyBorder="1" applyAlignment="1">
      <alignment horizontal="center" vertical="center" wrapText="1"/>
    </xf>
    <xf numFmtId="9" fontId="10" fillId="0" borderId="5" xfId="21" applyFont="1" applyFill="1" applyBorder="1" applyAlignment="1">
      <alignment horizontal="center" vertical="center" wrapText="1"/>
    </xf>
    <xf numFmtId="9" fontId="61" fillId="0" borderId="5" xfId="21" applyFont="1" applyFill="1" applyBorder="1" applyAlignment="1">
      <alignment horizontal="center" vertical="center" wrapText="1"/>
    </xf>
    <xf numFmtId="0" fontId="4" fillId="0" borderId="44" xfId="0" applyFont="1" applyFill="1" applyBorder="1" applyAlignment="1">
      <alignment horizontal="left" vertical="top" wrapText="1"/>
    </xf>
    <xf numFmtId="3" fontId="18" fillId="0" borderId="2" xfId="10" applyNumberFormat="1"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182" fontId="58" fillId="0" borderId="2" xfId="0" applyNumberFormat="1" applyFont="1" applyFill="1" applyBorder="1" applyAlignment="1">
      <alignment horizontal="center" vertical="center" wrapText="1"/>
    </xf>
    <xf numFmtId="182"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19" fillId="4" borderId="34"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9" fillId="0" borderId="5" xfId="21" applyFont="1" applyFill="1" applyBorder="1" applyAlignment="1">
      <alignment horizontal="center" vertical="center"/>
    </xf>
    <xf numFmtId="9" fontId="30" fillId="0" borderId="5" xfId="21" applyFont="1" applyFill="1" applyBorder="1" applyAlignment="1">
      <alignment horizontal="center" vertical="center"/>
    </xf>
    <xf numFmtId="9" fontId="58" fillId="0" borderId="5" xfId="21" applyFont="1" applyFill="1" applyBorder="1" applyAlignment="1">
      <alignment horizontal="center" vertical="center" wrapText="1"/>
    </xf>
    <xf numFmtId="9" fontId="30" fillId="0" borderId="2" xfId="21" applyFont="1" applyFill="1" applyBorder="1" applyAlignment="1">
      <alignment horizontal="center" vertical="center"/>
    </xf>
    <xf numFmtId="9" fontId="58" fillId="0" borderId="2" xfId="21" applyFont="1" applyFill="1" applyBorder="1" applyAlignment="1">
      <alignment horizontal="center" vertical="center" wrapText="1"/>
    </xf>
    <xf numFmtId="9" fontId="58" fillId="0" borderId="2" xfId="21" applyFont="1" applyFill="1" applyBorder="1" applyAlignment="1">
      <alignment horizontal="center" vertical="center"/>
    </xf>
    <xf numFmtId="180" fontId="4" fillId="22" borderId="5" xfId="10" applyNumberFormat="1" applyFont="1" applyFill="1" applyBorder="1" applyAlignment="1">
      <alignment horizontal="center" vertical="center" wrapText="1"/>
    </xf>
    <xf numFmtId="180" fontId="21" fillId="16" borderId="5" xfId="0" applyNumberFormat="1" applyFont="1" applyFill="1" applyBorder="1" applyAlignment="1">
      <alignment horizontal="center" wrapText="1"/>
    </xf>
    <xf numFmtId="180" fontId="12" fillId="16" borderId="8" xfId="0" applyNumberFormat="1" applyFont="1" applyFill="1" applyBorder="1" applyAlignment="1" applyProtection="1">
      <alignment horizontal="left" vertical="top" wrapText="1"/>
      <protection locked="0"/>
    </xf>
    <xf numFmtId="180" fontId="12" fillId="17" borderId="8" xfId="0" applyNumberFormat="1" applyFont="1" applyFill="1" applyBorder="1" applyAlignment="1" applyProtection="1">
      <alignment horizontal="left" vertical="top" wrapText="1"/>
      <protection locked="0"/>
    </xf>
    <xf numFmtId="180" fontId="4" fillId="22" borderId="44" xfId="10" applyNumberFormat="1" applyFont="1" applyFill="1" applyBorder="1" applyAlignment="1">
      <alignment horizontal="center" vertical="center" wrapText="1"/>
    </xf>
    <xf numFmtId="180" fontId="25" fillId="22" borderId="7" xfId="9" applyNumberFormat="1" applyFont="1" applyFill="1" applyBorder="1" applyAlignment="1">
      <alignment horizontal="center" vertical="center"/>
    </xf>
    <xf numFmtId="180" fontId="2" fillId="22" borderId="7" xfId="0" applyNumberFormat="1" applyFont="1" applyFill="1" applyBorder="1" applyAlignment="1">
      <alignment horizontal="center" vertical="center" wrapText="1"/>
    </xf>
    <xf numFmtId="180" fontId="4" fillId="23" borderId="13" xfId="10" applyNumberFormat="1" applyFont="1" applyFill="1" applyBorder="1" applyAlignment="1">
      <alignment horizontal="center" vertical="center" wrapText="1"/>
    </xf>
    <xf numFmtId="180" fontId="4" fillId="23" borderId="3" xfId="10" applyNumberFormat="1" applyFont="1" applyFill="1" applyBorder="1" applyAlignment="1">
      <alignment horizontal="center" vertical="center" wrapText="1"/>
    </xf>
    <xf numFmtId="42" fontId="25" fillId="23" borderId="3" xfId="2865" applyFont="1" applyFill="1" applyBorder="1" applyAlignment="1">
      <alignment horizontal="center" vertical="center"/>
    </xf>
    <xf numFmtId="180" fontId="4" fillId="23" borderId="10" xfId="10" applyNumberFormat="1" applyFont="1" applyFill="1" applyBorder="1" applyAlignment="1">
      <alignment horizontal="center" vertical="center" wrapText="1"/>
    </xf>
    <xf numFmtId="180" fontId="25" fillId="23" borderId="14" xfId="9" applyNumberFormat="1" applyFont="1" applyFill="1" applyBorder="1" applyAlignment="1">
      <alignment horizontal="center" vertical="center"/>
    </xf>
    <xf numFmtId="42" fontId="25" fillId="23" borderId="1" xfId="2865" applyFont="1" applyFill="1" applyBorder="1" applyAlignment="1">
      <alignment horizontal="center" vertical="center"/>
    </xf>
    <xf numFmtId="180" fontId="25" fillId="23" borderId="11" xfId="9" applyNumberFormat="1" applyFont="1" applyFill="1" applyBorder="1" applyAlignment="1">
      <alignment horizontal="center" vertical="center"/>
    </xf>
    <xf numFmtId="180" fontId="4" fillId="23" borderId="39" xfId="0" applyNumberFormat="1" applyFont="1" applyFill="1" applyBorder="1" applyAlignment="1">
      <alignment horizontal="center" vertical="center" wrapText="1"/>
    </xf>
    <xf numFmtId="180" fontId="4" fillId="23" borderId="4" xfId="0" applyNumberFormat="1" applyFont="1" applyFill="1" applyBorder="1" applyAlignment="1">
      <alignment horizontal="center" vertical="center" wrapText="1"/>
    </xf>
    <xf numFmtId="180" fontId="4" fillId="23" borderId="12" xfId="0" applyNumberFormat="1" applyFont="1" applyFill="1" applyBorder="1" applyAlignment="1">
      <alignment horizontal="center" vertical="center" wrapText="1"/>
    </xf>
    <xf numFmtId="10" fontId="22" fillId="4" borderId="8" xfId="0" applyNumberFormat="1" applyFont="1" applyFill="1" applyBorder="1" applyAlignment="1">
      <alignment horizontal="center" vertical="center" wrapText="1"/>
    </xf>
    <xf numFmtId="10" fontId="22" fillId="4" borderId="6" xfId="0" applyNumberFormat="1" applyFont="1" applyFill="1" applyBorder="1" applyAlignment="1">
      <alignment horizontal="center" vertical="center" wrapText="1"/>
    </xf>
    <xf numFmtId="10" fontId="22" fillId="4" borderId="7" xfId="0" applyNumberFormat="1" applyFont="1" applyFill="1" applyBorder="1" applyAlignment="1">
      <alignment horizontal="center" vertical="center" wrapText="1"/>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0" fontId="11" fillId="15" borderId="31" xfId="0" applyFont="1" applyFill="1" applyBorder="1" applyAlignment="1">
      <alignment horizontal="center" vertical="center"/>
    </xf>
    <xf numFmtId="0" fontId="11" fillId="15" borderId="32" xfId="0" applyFont="1" applyFill="1" applyBorder="1" applyAlignment="1">
      <alignment horizontal="center" vertical="center"/>
    </xf>
    <xf numFmtId="0" fontId="11" fillId="15" borderId="33" xfId="0" applyFont="1" applyFill="1" applyBorder="1" applyAlignment="1">
      <alignment horizontal="center" vertical="center"/>
    </xf>
    <xf numFmtId="0" fontId="11" fillId="15" borderId="31" xfId="0" applyFont="1" applyFill="1" applyBorder="1" applyAlignment="1">
      <alignment vertical="center"/>
    </xf>
    <xf numFmtId="0" fontId="11" fillId="15" borderId="32" xfId="0" applyFont="1" applyFill="1" applyBorder="1" applyAlignment="1">
      <alignment vertical="center"/>
    </xf>
    <xf numFmtId="0" fontId="11" fillId="16" borderId="31" xfId="0" applyFont="1" applyFill="1" applyBorder="1" applyAlignment="1">
      <alignment horizontal="left" vertical="center"/>
    </xf>
    <xf numFmtId="0" fontId="11" fillId="16" borderId="32" xfId="0" applyFont="1" applyFill="1" applyBorder="1" applyAlignment="1">
      <alignment horizontal="left" vertical="center"/>
    </xf>
    <xf numFmtId="0" fontId="11" fillId="16" borderId="33" xfId="0" applyFont="1" applyFill="1" applyBorder="1" applyAlignment="1">
      <alignment horizontal="left" vertical="center"/>
    </xf>
    <xf numFmtId="0" fontId="11" fillId="16" borderId="31" xfId="0" applyFont="1" applyFill="1" applyBorder="1" applyAlignment="1">
      <alignment horizontal="left" vertical="center" wrapText="1"/>
    </xf>
    <xf numFmtId="0" fontId="11" fillId="16" borderId="32" xfId="0" applyFont="1" applyFill="1" applyBorder="1" applyAlignment="1">
      <alignment horizontal="left" vertical="center" wrapText="1"/>
    </xf>
    <xf numFmtId="0" fontId="11" fillId="16" borderId="33" xfId="0" applyFont="1" applyFill="1" applyBorder="1" applyAlignment="1">
      <alignment horizontal="left" vertical="center" wrapText="1"/>
    </xf>
    <xf numFmtId="0" fontId="57" fillId="16" borderId="20" xfId="19" applyFont="1" applyFill="1" applyBorder="1" applyAlignment="1">
      <alignment horizontal="left" vertical="center" wrapText="1"/>
    </xf>
    <xf numFmtId="0" fontId="57" fillId="16" borderId="21" xfId="19" applyFont="1" applyFill="1" applyBorder="1" applyAlignment="1">
      <alignment horizontal="left" vertical="center" wrapText="1"/>
    </xf>
    <xf numFmtId="0" fontId="57" fillId="16" borderId="27" xfId="19" applyFont="1" applyFill="1" applyBorder="1" applyAlignment="1">
      <alignment horizontal="left" vertical="center" wrapText="1"/>
    </xf>
    <xf numFmtId="42" fontId="4" fillId="16" borderId="1" xfId="0" applyNumberFormat="1" applyFont="1" applyFill="1" applyBorder="1" applyAlignment="1">
      <alignment horizontal="center" vertical="center" wrapText="1"/>
    </xf>
    <xf numFmtId="42" fontId="4" fillId="16"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1" fontId="4" fillId="0" borderId="1" xfId="3" applyNumberFormat="1" applyFont="1" applyFill="1" applyBorder="1" applyAlignment="1">
      <alignment horizontal="center" vertical="center"/>
    </xf>
    <xf numFmtId="0" fontId="4" fillId="0" borderId="0" xfId="0" applyFont="1" applyFill="1" applyAlignment="1">
      <alignment horizontal="center" vertical="center"/>
    </xf>
    <xf numFmtId="9" fontId="4" fillId="0" borderId="1" xfId="0" applyNumberFormat="1" applyFont="1" applyFill="1" applyBorder="1" applyAlignment="1">
      <alignment horizontal="center" vertical="center"/>
    </xf>
    <xf numFmtId="37" fontId="4" fillId="0" borderId="1" xfId="9" applyNumberFormat="1" applyFont="1" applyFill="1" applyBorder="1" applyAlignment="1">
      <alignment horizontal="center" vertical="center"/>
    </xf>
    <xf numFmtId="10" fontId="4" fillId="0" borderId="1" xfId="24" applyNumberFormat="1" applyFont="1" applyFill="1" applyBorder="1" applyAlignment="1">
      <alignment horizontal="center" vertical="center" wrapText="1"/>
    </xf>
    <xf numFmtId="184" fontId="4" fillId="0" borderId="1" xfId="0" applyNumberFormat="1" applyFont="1" applyFill="1" applyBorder="1" applyAlignment="1">
      <alignment horizontal="center" vertical="center"/>
    </xf>
    <xf numFmtId="0" fontId="4" fillId="0" borderId="1" xfId="0" applyFont="1" applyFill="1" applyBorder="1" applyAlignment="1">
      <alignment horizontal="left" wrapText="1"/>
    </xf>
    <xf numFmtId="0" fontId="4" fillId="0" borderId="1" xfId="0" applyFont="1" applyFill="1" applyBorder="1" applyAlignment="1">
      <alignment horizont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25B1F56D-B9D1-2C49-A661-7EFB3AEF3E04}"/>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FF2600"/>
      <color rgb="FF0099FF"/>
      <color rgb="FF0066FF"/>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0</xdr:row>
      <xdr:rowOff>90487</xdr:rowOff>
    </xdr:from>
    <xdr:to>
      <xdr:col>3</xdr:col>
      <xdr:colOff>2476500</xdr:colOff>
      <xdr:row>2</xdr:row>
      <xdr:rowOff>197643</xdr:rowOff>
    </xdr:to>
    <xdr:pic>
      <xdr:nvPicPr>
        <xdr:cNvPr id="2" name="Imagen 1">
          <a:extLst>
            <a:ext uri="{FF2B5EF4-FFF2-40B4-BE49-F238E27FC236}">
              <a16:creationId xmlns:a16="http://schemas.microsoft.com/office/drawing/2014/main" id="{5749864B-4E62-41C5-BFB9-CD014794FEFB}"/>
            </a:ext>
          </a:extLst>
        </xdr:cNvPr>
        <xdr:cNvPicPr>
          <a:picLocks noChangeAspect="1"/>
        </xdr:cNvPicPr>
      </xdr:nvPicPr>
      <xdr:blipFill>
        <a:blip xmlns:r="http://schemas.openxmlformats.org/officeDocument/2006/relationships" r:embed="rId1"/>
        <a:stretch>
          <a:fillRect/>
        </a:stretch>
      </xdr:blipFill>
      <xdr:spPr>
        <a:xfrm>
          <a:off x="552450" y="90487"/>
          <a:ext cx="3295650" cy="640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186358</xdr:rowOff>
    </xdr:from>
    <xdr:to>
      <xdr:col>2</xdr:col>
      <xdr:colOff>1691396</xdr:colOff>
      <xdr:row>2</xdr:row>
      <xdr:rowOff>223804</xdr:rowOff>
    </xdr:to>
    <xdr:pic>
      <xdr:nvPicPr>
        <xdr:cNvPr id="2" name="Imagen 1">
          <a:extLst>
            <a:ext uri="{FF2B5EF4-FFF2-40B4-BE49-F238E27FC236}">
              <a16:creationId xmlns:a16="http://schemas.microsoft.com/office/drawing/2014/main" id="{98C7300B-9A99-3CE8-C71D-F613D4F504FF}"/>
            </a:ext>
          </a:extLst>
        </xdr:cNvPr>
        <xdr:cNvPicPr>
          <a:picLocks noChangeAspect="1"/>
        </xdr:cNvPicPr>
      </xdr:nvPicPr>
      <xdr:blipFill>
        <a:blip xmlns:r="http://schemas.openxmlformats.org/officeDocument/2006/relationships" r:embed="rId1"/>
        <a:stretch>
          <a:fillRect/>
        </a:stretch>
      </xdr:blipFill>
      <xdr:spPr>
        <a:xfrm>
          <a:off x="0" y="186358"/>
          <a:ext cx="3147391" cy="865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360795</xdr:colOff>
      <xdr:row>0</xdr:row>
      <xdr:rowOff>317499</xdr:rowOff>
    </xdr:from>
    <xdr:to>
      <xdr:col>2</xdr:col>
      <xdr:colOff>2222500</xdr:colOff>
      <xdr:row>2</xdr:row>
      <xdr:rowOff>245138</xdr:rowOff>
    </xdr:to>
    <xdr:pic>
      <xdr:nvPicPr>
        <xdr:cNvPr id="2" name="Imagen 1">
          <a:extLst>
            <a:ext uri="{FF2B5EF4-FFF2-40B4-BE49-F238E27FC236}">
              <a16:creationId xmlns:a16="http://schemas.microsoft.com/office/drawing/2014/main" id="{69BBF73F-9A91-5D2E-3AB7-1EAC446F71B7}"/>
            </a:ext>
          </a:extLst>
        </xdr:cNvPr>
        <xdr:cNvPicPr>
          <a:picLocks noChangeAspect="1"/>
        </xdr:cNvPicPr>
      </xdr:nvPicPr>
      <xdr:blipFill>
        <a:blip xmlns:r="http://schemas.openxmlformats.org/officeDocument/2006/relationships" r:embed="rId1"/>
        <a:stretch>
          <a:fillRect/>
        </a:stretch>
      </xdr:blipFill>
      <xdr:spPr>
        <a:xfrm>
          <a:off x="360795" y="317499"/>
          <a:ext cx="3333750" cy="8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303068</xdr:rowOff>
    </xdr:from>
    <xdr:to>
      <xdr:col>2</xdr:col>
      <xdr:colOff>1083437</xdr:colOff>
      <xdr:row>1</xdr:row>
      <xdr:rowOff>791239</xdr:rowOff>
    </xdr:to>
    <xdr:pic>
      <xdr:nvPicPr>
        <xdr:cNvPr id="2" name="Imagen 1">
          <a:extLst>
            <a:ext uri="{FF2B5EF4-FFF2-40B4-BE49-F238E27FC236}">
              <a16:creationId xmlns:a16="http://schemas.microsoft.com/office/drawing/2014/main" id="{5184E680-9788-15BD-2AB3-75AF19BE1B81}"/>
            </a:ext>
          </a:extLst>
        </xdr:cNvPr>
        <xdr:cNvPicPr>
          <a:picLocks noChangeAspect="1"/>
        </xdr:cNvPicPr>
      </xdr:nvPicPr>
      <xdr:blipFill>
        <a:blip xmlns:r="http://schemas.openxmlformats.org/officeDocument/2006/relationships" r:embed="rId1"/>
        <a:stretch>
          <a:fillRect/>
        </a:stretch>
      </xdr:blipFill>
      <xdr:spPr>
        <a:xfrm>
          <a:off x="0" y="303068"/>
          <a:ext cx="3334801" cy="8657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2247566</xdr:colOff>
      <xdr:row>2</xdr:row>
      <xdr:rowOff>100263</xdr:rowOff>
    </xdr:to>
    <xdr:pic>
      <xdr:nvPicPr>
        <xdr:cNvPr id="2" name="Imagen 1">
          <a:extLst>
            <a:ext uri="{FF2B5EF4-FFF2-40B4-BE49-F238E27FC236}">
              <a16:creationId xmlns:a16="http://schemas.microsoft.com/office/drawing/2014/main" id="{8C84C0D8-1C48-40A4-87A6-4ED14DB4B51D}"/>
            </a:ext>
          </a:extLst>
        </xdr:cNvPr>
        <xdr:cNvPicPr>
          <a:picLocks noChangeAspect="1"/>
        </xdr:cNvPicPr>
      </xdr:nvPicPr>
      <xdr:blipFill>
        <a:blip xmlns:r="http://schemas.openxmlformats.org/officeDocument/2006/relationships" r:embed="rId1"/>
        <a:stretch>
          <a:fillRect/>
        </a:stretch>
      </xdr:blipFill>
      <xdr:spPr>
        <a:xfrm>
          <a:off x="0" y="0"/>
          <a:ext cx="3333750" cy="7352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69" zoomScaleNormal="69" zoomScaleSheetLayoutView="70" zoomScalePageLayoutView="60" workbookViewId="0">
      <selection sqref="A1:F3"/>
    </sheetView>
  </sheetViews>
  <sheetFormatPr baseColWidth="10" defaultColWidth="10.7109375" defaultRowHeight="20.25" customHeight="1" x14ac:dyDescent="0.25"/>
  <cols>
    <col min="1" max="1" width="5.5703125" style="1" customWidth="1"/>
    <col min="2" max="2" width="8.42578125" style="1" customWidth="1"/>
    <col min="3" max="3" width="6.28515625" style="1" customWidth="1"/>
    <col min="4" max="4" width="47.85546875" style="1" customWidth="1"/>
    <col min="5" max="5" width="7.28515625" style="1" customWidth="1"/>
    <col min="6" max="6" width="29.85546875" style="1" customWidth="1"/>
    <col min="7" max="7" width="15.140625" style="1" customWidth="1"/>
    <col min="8" max="8" width="20.85546875" style="1" customWidth="1"/>
    <col min="9" max="9" width="10.140625" style="13" customWidth="1"/>
    <col min="10" max="10" width="20.7109375" style="17" hidden="1" customWidth="1"/>
    <col min="11" max="24" width="15.7109375" style="17" hidden="1" customWidth="1"/>
    <col min="25" max="26" width="20.7109375" style="17" hidden="1" customWidth="1"/>
    <col min="27" max="27" width="15.7109375" style="17" hidden="1" customWidth="1"/>
    <col min="28" max="28" width="16.5703125" style="17" customWidth="1"/>
    <col min="29" max="29" width="14.42578125" style="17" customWidth="1"/>
    <col min="30" max="30" width="20.7109375" style="17" hidden="1" customWidth="1"/>
    <col min="31" max="47" width="15.7109375" style="17" hidden="1" customWidth="1"/>
    <col min="48" max="48" width="12.7109375" style="17" hidden="1" customWidth="1"/>
    <col min="49" max="49" width="12.28515625" style="17" hidden="1" customWidth="1"/>
    <col min="50" max="50" width="15" style="17" hidden="1" customWidth="1"/>
    <col min="51" max="51" width="11" style="17" hidden="1" customWidth="1"/>
    <col min="52" max="52" width="16" style="17" hidden="1" customWidth="1"/>
    <col min="53" max="54" width="15.7109375" style="17" hidden="1" customWidth="1"/>
    <col min="55" max="57" width="20.7109375" style="17" hidden="1" customWidth="1"/>
    <col min="58" max="58" width="20.7109375" style="17" customWidth="1"/>
    <col min="59" max="59" width="17.42578125" style="17" customWidth="1"/>
    <col min="60" max="60" width="17.5703125" style="17" customWidth="1"/>
    <col min="61" max="84" width="15.7109375" style="17" customWidth="1"/>
    <col min="85" max="90" width="20.7109375" style="17" customWidth="1"/>
    <col min="91" max="114" width="15.7109375" style="17" hidden="1" customWidth="1"/>
    <col min="115" max="119" width="20.7109375" style="17" hidden="1" customWidth="1"/>
    <col min="120" max="120" width="20.7109375" style="17" customWidth="1"/>
    <col min="121" max="144" width="15.7109375" style="17" hidden="1" customWidth="1"/>
    <col min="145" max="149" width="20.7109375" style="17" hidden="1" customWidth="1"/>
    <col min="150" max="154" width="20.7109375" style="1" customWidth="1"/>
    <col min="155" max="155" width="69.7109375" style="1" customWidth="1"/>
    <col min="156" max="156" width="24.28515625" style="1" customWidth="1"/>
    <col min="157" max="157" width="25.140625" style="1" customWidth="1"/>
    <col min="158" max="158" width="47.42578125" style="1" customWidth="1"/>
    <col min="159" max="159" width="33.140625" style="1" customWidth="1"/>
    <col min="160" max="16384" width="10.7109375" style="1"/>
  </cols>
  <sheetData>
    <row r="1" spans="1:159" s="19" customFormat="1" ht="20.25" customHeight="1" x14ac:dyDescent="0.5">
      <c r="A1" s="341"/>
      <c r="B1" s="342"/>
      <c r="C1" s="342"/>
      <c r="D1" s="342"/>
      <c r="E1" s="342"/>
      <c r="F1" s="342"/>
      <c r="G1" s="345" t="s">
        <v>38</v>
      </c>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345"/>
      <c r="DK1" s="345"/>
      <c r="DL1" s="345"/>
      <c r="DM1" s="345"/>
      <c r="DN1" s="345"/>
      <c r="DO1" s="345"/>
      <c r="DP1" s="345"/>
      <c r="DQ1" s="345"/>
      <c r="DR1" s="345"/>
      <c r="DS1" s="345"/>
      <c r="DT1" s="345"/>
      <c r="DU1" s="345"/>
      <c r="DV1" s="345"/>
      <c r="DW1" s="345"/>
      <c r="DX1" s="345"/>
      <c r="DY1" s="345"/>
      <c r="DZ1" s="345"/>
      <c r="EA1" s="345"/>
      <c r="EB1" s="345"/>
      <c r="EC1" s="345"/>
      <c r="ED1" s="345"/>
      <c r="EE1" s="345"/>
      <c r="EF1" s="345"/>
      <c r="EG1" s="345"/>
      <c r="EH1" s="345"/>
      <c r="EI1" s="345"/>
      <c r="EJ1" s="345"/>
      <c r="EK1" s="345"/>
      <c r="EL1" s="345"/>
      <c r="EM1" s="345"/>
      <c r="EN1" s="345"/>
      <c r="EO1" s="345"/>
      <c r="EP1" s="345"/>
      <c r="EQ1" s="345"/>
      <c r="ER1" s="345"/>
      <c r="ES1" s="345"/>
      <c r="ET1" s="345"/>
      <c r="EU1" s="345"/>
      <c r="EV1" s="345"/>
      <c r="EW1" s="345"/>
      <c r="EX1" s="345"/>
      <c r="EY1" s="345"/>
      <c r="EZ1" s="345"/>
      <c r="FA1" s="345"/>
      <c r="FB1" s="345"/>
      <c r="FC1" s="346"/>
    </row>
    <row r="2" spans="1:159" s="19" customFormat="1" ht="20.25" customHeight="1" x14ac:dyDescent="0.6">
      <c r="A2" s="343"/>
      <c r="B2" s="344"/>
      <c r="C2" s="344"/>
      <c r="D2" s="344"/>
      <c r="E2" s="344"/>
      <c r="F2" s="344"/>
      <c r="G2" s="347" t="s">
        <v>254</v>
      </c>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47"/>
      <c r="BW2" s="347"/>
      <c r="BX2" s="347"/>
      <c r="BY2" s="347"/>
      <c r="BZ2" s="347"/>
      <c r="CA2" s="347"/>
      <c r="CB2" s="347"/>
      <c r="CC2" s="347"/>
      <c r="CD2" s="347"/>
      <c r="CE2" s="347"/>
      <c r="CF2" s="347"/>
      <c r="CG2" s="347"/>
      <c r="CH2" s="347"/>
      <c r="CI2" s="347"/>
      <c r="CJ2" s="347"/>
      <c r="CK2" s="347"/>
      <c r="CL2" s="347"/>
      <c r="CM2" s="347"/>
      <c r="CN2" s="347"/>
      <c r="CO2" s="347"/>
      <c r="CP2" s="347"/>
      <c r="CQ2" s="347"/>
      <c r="CR2" s="347"/>
      <c r="CS2" s="347"/>
      <c r="CT2" s="347"/>
      <c r="CU2" s="347"/>
      <c r="CV2" s="347"/>
      <c r="CW2" s="347"/>
      <c r="CX2" s="347"/>
      <c r="CY2" s="347"/>
      <c r="CZ2" s="347"/>
      <c r="DA2" s="347"/>
      <c r="DB2" s="347"/>
      <c r="DC2" s="347"/>
      <c r="DD2" s="347"/>
      <c r="DE2" s="347"/>
      <c r="DF2" s="347"/>
      <c r="DG2" s="347"/>
      <c r="DH2" s="347"/>
      <c r="DI2" s="347"/>
      <c r="DJ2" s="347"/>
      <c r="DK2" s="347"/>
      <c r="DL2" s="347"/>
      <c r="DM2" s="347"/>
      <c r="DN2" s="347"/>
      <c r="DO2" s="347"/>
      <c r="DP2" s="347"/>
      <c r="DQ2" s="347"/>
      <c r="DR2" s="347"/>
      <c r="DS2" s="347"/>
      <c r="DT2" s="347"/>
      <c r="DU2" s="347"/>
      <c r="DV2" s="347"/>
      <c r="DW2" s="347"/>
      <c r="DX2" s="347"/>
      <c r="DY2" s="347"/>
      <c r="DZ2" s="347"/>
      <c r="EA2" s="347"/>
      <c r="EB2" s="347"/>
      <c r="EC2" s="347"/>
      <c r="ED2" s="347"/>
      <c r="EE2" s="347"/>
      <c r="EF2" s="347"/>
      <c r="EG2" s="347"/>
      <c r="EH2" s="347"/>
      <c r="EI2" s="347"/>
      <c r="EJ2" s="347"/>
      <c r="EK2" s="347"/>
      <c r="EL2" s="347"/>
      <c r="EM2" s="347"/>
      <c r="EN2" s="347"/>
      <c r="EO2" s="347"/>
      <c r="EP2" s="347"/>
      <c r="EQ2" s="347"/>
      <c r="ER2" s="347"/>
      <c r="ES2" s="347"/>
      <c r="ET2" s="347"/>
      <c r="EU2" s="347"/>
      <c r="EV2" s="347"/>
      <c r="EW2" s="347"/>
      <c r="EX2" s="347"/>
      <c r="EY2" s="347"/>
      <c r="EZ2" s="347"/>
      <c r="FA2" s="347"/>
      <c r="FB2" s="347"/>
      <c r="FC2" s="348"/>
    </row>
    <row r="3" spans="1:159" s="18" customFormat="1" ht="20.25" customHeight="1" x14ac:dyDescent="0.4">
      <c r="A3" s="343"/>
      <c r="B3" s="344"/>
      <c r="C3" s="344"/>
      <c r="D3" s="344"/>
      <c r="E3" s="344"/>
      <c r="F3" s="344"/>
      <c r="G3" s="349" t="s">
        <v>47</v>
      </c>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49"/>
      <c r="CC3" s="349"/>
      <c r="CD3" s="349"/>
      <c r="CE3" s="349"/>
      <c r="CF3" s="349"/>
      <c r="CG3" s="349"/>
      <c r="CH3" s="349"/>
      <c r="CI3" s="349"/>
      <c r="CJ3" s="349"/>
      <c r="CK3" s="349"/>
      <c r="CL3" s="349"/>
      <c r="CM3" s="349"/>
      <c r="CN3" s="349"/>
      <c r="CO3" s="349"/>
      <c r="CP3" s="349"/>
      <c r="CQ3" s="349"/>
      <c r="CR3" s="349"/>
      <c r="CS3" s="349"/>
      <c r="CT3" s="349"/>
      <c r="CU3" s="349"/>
      <c r="CV3" s="349"/>
      <c r="CW3" s="349"/>
      <c r="CX3" s="349"/>
      <c r="CY3" s="349"/>
      <c r="CZ3" s="349"/>
      <c r="DA3" s="349"/>
      <c r="DB3" s="349"/>
      <c r="DC3" s="349"/>
      <c r="DD3" s="349"/>
      <c r="DE3" s="349"/>
      <c r="DF3" s="349"/>
      <c r="DG3" s="349"/>
      <c r="DH3" s="349"/>
      <c r="DI3" s="349"/>
      <c r="DJ3" s="349"/>
      <c r="DK3" s="349"/>
      <c r="DL3" s="349"/>
      <c r="DM3" s="349"/>
      <c r="DN3" s="349"/>
      <c r="DO3" s="349"/>
      <c r="DP3" s="349"/>
      <c r="DQ3" s="349"/>
      <c r="DR3" s="349"/>
      <c r="DS3" s="349"/>
      <c r="DT3" s="349"/>
      <c r="DU3" s="349"/>
      <c r="DV3" s="349"/>
      <c r="DW3" s="349"/>
      <c r="DX3" s="349"/>
      <c r="DY3" s="349"/>
      <c r="DZ3" s="349"/>
      <c r="EA3" s="349"/>
      <c r="EB3" s="349"/>
      <c r="EC3" s="349"/>
      <c r="ED3" s="349"/>
      <c r="EE3" s="349"/>
      <c r="EF3" s="349"/>
      <c r="EG3" s="349"/>
      <c r="EH3" s="349"/>
      <c r="EI3" s="349"/>
      <c r="EJ3" s="349"/>
      <c r="EK3" s="349"/>
      <c r="EL3" s="349"/>
      <c r="EM3" s="349"/>
      <c r="EN3" s="349"/>
      <c r="EO3" s="349"/>
      <c r="EP3" s="349"/>
      <c r="EQ3" s="349"/>
      <c r="ER3" s="349"/>
      <c r="ES3" s="349"/>
      <c r="ET3" s="350" t="s">
        <v>240</v>
      </c>
      <c r="EU3" s="350"/>
      <c r="EV3" s="350"/>
      <c r="EW3" s="350"/>
      <c r="EX3" s="350"/>
      <c r="EY3" s="350"/>
      <c r="EZ3" s="350"/>
      <c r="FA3" s="350"/>
      <c r="FB3" s="350"/>
      <c r="FC3" s="351"/>
    </row>
    <row r="4" spans="1:159" ht="20.25" customHeight="1" x14ac:dyDescent="0.25">
      <c r="A4" s="333" t="s">
        <v>0</v>
      </c>
      <c r="B4" s="334"/>
      <c r="C4" s="334"/>
      <c r="D4" s="334"/>
      <c r="E4" s="334"/>
      <c r="F4" s="334"/>
      <c r="G4" s="337" t="s">
        <v>259</v>
      </c>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7"/>
      <c r="DL4" s="337"/>
      <c r="DM4" s="337"/>
      <c r="DN4" s="337"/>
      <c r="DO4" s="337"/>
      <c r="DP4" s="337"/>
      <c r="DQ4" s="337"/>
      <c r="DR4" s="337"/>
      <c r="DS4" s="337"/>
      <c r="DT4" s="337"/>
      <c r="DU4" s="337"/>
      <c r="DV4" s="337"/>
      <c r="DW4" s="337"/>
      <c r="DX4" s="337"/>
      <c r="DY4" s="337"/>
      <c r="DZ4" s="337"/>
      <c r="EA4" s="337"/>
      <c r="EB4" s="337"/>
      <c r="EC4" s="337"/>
      <c r="ED4" s="337"/>
      <c r="EE4" s="337"/>
      <c r="EF4" s="337"/>
      <c r="EG4" s="337"/>
      <c r="EH4" s="337"/>
      <c r="EI4" s="337"/>
      <c r="EJ4" s="337"/>
      <c r="EK4" s="337"/>
      <c r="EL4" s="337"/>
      <c r="EM4" s="337"/>
      <c r="EN4" s="337"/>
      <c r="EO4" s="337"/>
      <c r="EP4" s="337"/>
      <c r="EQ4" s="337"/>
      <c r="ER4" s="337"/>
      <c r="ES4" s="337"/>
      <c r="ET4" s="337"/>
      <c r="EU4" s="337"/>
      <c r="EV4" s="337"/>
      <c r="EW4" s="337"/>
      <c r="EX4" s="337"/>
      <c r="EY4" s="337"/>
      <c r="EZ4" s="337"/>
      <c r="FA4" s="337"/>
      <c r="FB4" s="337"/>
      <c r="FC4" s="338"/>
    </row>
    <row r="5" spans="1:159" ht="20.25" customHeight="1" x14ac:dyDescent="0.25">
      <c r="A5" s="333" t="s">
        <v>2</v>
      </c>
      <c r="B5" s="334"/>
      <c r="C5" s="334"/>
      <c r="D5" s="334"/>
      <c r="E5" s="334"/>
      <c r="F5" s="334"/>
      <c r="G5" s="337" t="s">
        <v>260</v>
      </c>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8"/>
    </row>
    <row r="6" spans="1:159" ht="20.25" customHeight="1" x14ac:dyDescent="0.25">
      <c r="A6" s="333" t="s">
        <v>55</v>
      </c>
      <c r="B6" s="334"/>
      <c r="C6" s="334"/>
      <c r="D6" s="334"/>
      <c r="E6" s="334"/>
      <c r="F6" s="334"/>
      <c r="G6" s="337" t="s">
        <v>261</v>
      </c>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7"/>
      <c r="DL6" s="337"/>
      <c r="DM6" s="337"/>
      <c r="DN6" s="337"/>
      <c r="DO6" s="337"/>
      <c r="DP6" s="337"/>
      <c r="DQ6" s="337"/>
      <c r="DR6" s="337"/>
      <c r="DS6" s="337"/>
      <c r="DT6" s="337"/>
      <c r="DU6" s="337"/>
      <c r="DV6" s="337"/>
      <c r="DW6" s="337"/>
      <c r="DX6" s="337"/>
      <c r="DY6" s="337"/>
      <c r="DZ6" s="337"/>
      <c r="EA6" s="337"/>
      <c r="EB6" s="337"/>
      <c r="EC6" s="337"/>
      <c r="ED6" s="337"/>
      <c r="EE6" s="337"/>
      <c r="EF6" s="337"/>
      <c r="EG6" s="337"/>
      <c r="EH6" s="337"/>
      <c r="EI6" s="337"/>
      <c r="EJ6" s="337"/>
      <c r="EK6" s="337"/>
      <c r="EL6" s="337"/>
      <c r="EM6" s="337"/>
      <c r="EN6" s="337"/>
      <c r="EO6" s="337"/>
      <c r="EP6" s="337"/>
      <c r="EQ6" s="337"/>
      <c r="ER6" s="337"/>
      <c r="ES6" s="337"/>
      <c r="ET6" s="337"/>
      <c r="EU6" s="337"/>
      <c r="EV6" s="337"/>
      <c r="EW6" s="337"/>
      <c r="EX6" s="337"/>
      <c r="EY6" s="337"/>
      <c r="EZ6" s="337"/>
      <c r="FA6" s="337"/>
      <c r="FB6" s="337"/>
      <c r="FC6" s="338"/>
    </row>
    <row r="7" spans="1:159" ht="20.25" customHeight="1" thickBot="1" x14ac:dyDescent="0.3">
      <c r="A7" s="335" t="s">
        <v>1</v>
      </c>
      <c r="B7" s="336"/>
      <c r="C7" s="336"/>
      <c r="D7" s="336"/>
      <c r="E7" s="336"/>
      <c r="F7" s="336"/>
      <c r="G7" s="339" t="s">
        <v>262</v>
      </c>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339"/>
      <c r="CI7" s="339"/>
      <c r="CJ7" s="339"/>
      <c r="CK7" s="339"/>
      <c r="CL7" s="339"/>
      <c r="CM7" s="339"/>
      <c r="CN7" s="339"/>
      <c r="CO7" s="339"/>
      <c r="CP7" s="339"/>
      <c r="CQ7" s="339"/>
      <c r="CR7" s="339"/>
      <c r="CS7" s="339"/>
      <c r="CT7" s="339"/>
      <c r="CU7" s="339"/>
      <c r="CV7" s="339"/>
      <c r="CW7" s="339"/>
      <c r="CX7" s="339"/>
      <c r="CY7" s="339"/>
      <c r="CZ7" s="339"/>
      <c r="DA7" s="339"/>
      <c r="DB7" s="339"/>
      <c r="DC7" s="339"/>
      <c r="DD7" s="339"/>
      <c r="DE7" s="339"/>
      <c r="DF7" s="339"/>
      <c r="DG7" s="339"/>
      <c r="DH7" s="339"/>
      <c r="DI7" s="339"/>
      <c r="DJ7" s="339"/>
      <c r="DK7" s="339"/>
      <c r="DL7" s="339"/>
      <c r="DM7" s="339"/>
      <c r="DN7" s="339"/>
      <c r="DO7" s="339"/>
      <c r="DP7" s="339"/>
      <c r="DQ7" s="339"/>
      <c r="DR7" s="339"/>
      <c r="DS7" s="339"/>
      <c r="DT7" s="339"/>
      <c r="DU7" s="339"/>
      <c r="DV7" s="339"/>
      <c r="DW7" s="339"/>
      <c r="DX7" s="339"/>
      <c r="DY7" s="339"/>
      <c r="DZ7" s="339"/>
      <c r="EA7" s="339"/>
      <c r="EB7" s="339"/>
      <c r="EC7" s="339"/>
      <c r="ED7" s="339"/>
      <c r="EE7" s="339"/>
      <c r="EF7" s="339"/>
      <c r="EG7" s="339"/>
      <c r="EH7" s="339"/>
      <c r="EI7" s="339"/>
      <c r="EJ7" s="339"/>
      <c r="EK7" s="339"/>
      <c r="EL7" s="339"/>
      <c r="EM7" s="339"/>
      <c r="EN7" s="339"/>
      <c r="EO7" s="339"/>
      <c r="EP7" s="339"/>
      <c r="EQ7" s="339"/>
      <c r="ER7" s="339"/>
      <c r="ES7" s="339"/>
      <c r="ET7" s="339"/>
      <c r="EU7" s="339"/>
      <c r="EV7" s="339"/>
      <c r="EW7" s="339"/>
      <c r="EX7" s="339"/>
      <c r="EY7" s="339"/>
      <c r="EZ7" s="339"/>
      <c r="FA7" s="339"/>
      <c r="FB7" s="339"/>
      <c r="FC7" s="340"/>
    </row>
    <row r="8" spans="1:159" ht="20.25" customHeight="1" x14ac:dyDescent="0.25">
      <c r="A8" s="37"/>
      <c r="B8" s="36"/>
      <c r="C8" s="36"/>
      <c r="D8" s="36"/>
      <c r="E8" s="36"/>
      <c r="F8" s="36"/>
      <c r="G8" s="36"/>
      <c r="H8" s="36"/>
      <c r="I8" s="36"/>
      <c r="J8" s="36"/>
      <c r="K8" s="36"/>
      <c r="L8" s="36"/>
      <c r="M8" s="36"/>
      <c r="N8" s="36"/>
      <c r="O8" s="36"/>
      <c r="P8" s="36"/>
      <c r="Q8" s="36"/>
      <c r="R8" s="36"/>
      <c r="S8" s="36"/>
      <c r="T8" s="36"/>
      <c r="U8" s="220"/>
      <c r="V8" s="36"/>
      <c r="W8" s="36"/>
      <c r="X8" s="36"/>
      <c r="Y8" s="220"/>
      <c r="Z8" s="36"/>
      <c r="AA8" s="36"/>
      <c r="AB8" s="36"/>
      <c r="AC8" s="36"/>
      <c r="AD8" s="36"/>
      <c r="AE8" s="36"/>
      <c r="AF8" s="36"/>
      <c r="AG8" s="36"/>
      <c r="AH8" s="36"/>
      <c r="AI8" s="36"/>
      <c r="AJ8" s="36"/>
      <c r="AK8" s="36"/>
      <c r="AL8" s="36"/>
      <c r="AM8" s="36"/>
      <c r="AN8" s="36"/>
      <c r="AO8" s="36"/>
      <c r="AP8" s="221"/>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row>
    <row r="9" spans="1:159" s="2" customFormat="1" ht="20.25" customHeight="1" x14ac:dyDescent="0.2">
      <c r="A9" s="332" t="s">
        <v>69</v>
      </c>
      <c r="B9" s="332"/>
      <c r="C9" s="332"/>
      <c r="D9" s="332"/>
      <c r="E9" s="332"/>
      <c r="F9" s="332"/>
      <c r="G9" s="332"/>
      <c r="H9" s="332"/>
      <c r="I9" s="332"/>
      <c r="J9" s="332" t="s">
        <v>228</v>
      </c>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332"/>
      <c r="DL9" s="332"/>
      <c r="DM9" s="332"/>
      <c r="DN9" s="332"/>
      <c r="DO9" s="332"/>
      <c r="DP9" s="332"/>
      <c r="DQ9" s="332"/>
      <c r="DR9" s="332"/>
      <c r="DS9" s="332"/>
      <c r="DT9" s="332"/>
      <c r="DU9" s="332"/>
      <c r="DV9" s="332"/>
      <c r="DW9" s="332"/>
      <c r="DX9" s="332"/>
      <c r="DY9" s="332"/>
      <c r="DZ9" s="332"/>
      <c r="EA9" s="332"/>
      <c r="EB9" s="332"/>
      <c r="EC9" s="332"/>
      <c r="ED9" s="332"/>
      <c r="EE9" s="332"/>
      <c r="EF9" s="332"/>
      <c r="EG9" s="332"/>
      <c r="EH9" s="332"/>
      <c r="EI9" s="332"/>
      <c r="EJ9" s="332"/>
      <c r="EK9" s="332"/>
      <c r="EL9" s="332"/>
      <c r="EM9" s="332"/>
      <c r="EN9" s="332"/>
      <c r="EO9" s="332"/>
      <c r="EP9" s="332"/>
      <c r="EQ9" s="332"/>
      <c r="ER9" s="332"/>
      <c r="ES9" s="332"/>
      <c r="ET9" s="330" t="s">
        <v>220</v>
      </c>
      <c r="EU9" s="330" t="s">
        <v>221</v>
      </c>
      <c r="EV9" s="330" t="s">
        <v>222</v>
      </c>
      <c r="EW9" s="330" t="s">
        <v>279</v>
      </c>
      <c r="EX9" s="330" t="s">
        <v>244</v>
      </c>
      <c r="EY9" s="330" t="s">
        <v>245</v>
      </c>
      <c r="EZ9" s="330" t="s">
        <v>246</v>
      </c>
      <c r="FA9" s="330" t="s">
        <v>247</v>
      </c>
      <c r="FB9" s="330" t="s">
        <v>249</v>
      </c>
      <c r="FC9" s="330" t="s">
        <v>248</v>
      </c>
    </row>
    <row r="10" spans="1:159" s="2" customFormat="1" ht="20.25" customHeight="1" x14ac:dyDescent="0.2">
      <c r="A10" s="332" t="s">
        <v>79</v>
      </c>
      <c r="B10" s="332"/>
      <c r="C10" s="332"/>
      <c r="D10" s="332"/>
      <c r="E10" s="332"/>
      <c r="F10" s="332"/>
      <c r="G10" s="332"/>
      <c r="H10" s="332"/>
      <c r="I10" s="332"/>
      <c r="J10" s="331" t="s">
        <v>48</v>
      </c>
      <c r="K10" s="331"/>
      <c r="L10" s="331"/>
      <c r="M10" s="331"/>
      <c r="N10" s="331"/>
      <c r="O10" s="331"/>
      <c r="P10" s="331"/>
      <c r="Q10" s="331"/>
      <c r="R10" s="331"/>
      <c r="S10" s="331"/>
      <c r="T10" s="331"/>
      <c r="U10" s="331"/>
      <c r="V10" s="331"/>
      <c r="W10" s="331"/>
      <c r="X10" s="331"/>
      <c r="Y10" s="331"/>
      <c r="Z10" s="331"/>
      <c r="AA10" s="331"/>
      <c r="AB10" s="331"/>
      <c r="AC10" s="331"/>
      <c r="AD10" s="331" t="s">
        <v>49</v>
      </c>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t="s">
        <v>61</v>
      </c>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t="s">
        <v>62</v>
      </c>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t="s">
        <v>63</v>
      </c>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0"/>
      <c r="EU10" s="330"/>
      <c r="EV10" s="330"/>
      <c r="EW10" s="330"/>
      <c r="EX10" s="330"/>
      <c r="EY10" s="330"/>
      <c r="EZ10" s="330"/>
      <c r="FA10" s="330"/>
      <c r="FB10" s="330"/>
      <c r="FC10" s="330"/>
    </row>
    <row r="11" spans="1:159" s="2" customFormat="1" ht="110.25" customHeight="1" x14ac:dyDescent="0.2">
      <c r="A11" s="218" t="s">
        <v>70</v>
      </c>
      <c r="B11" s="218" t="s">
        <v>71</v>
      </c>
      <c r="C11" s="218" t="s">
        <v>72</v>
      </c>
      <c r="D11" s="218" t="s">
        <v>73</v>
      </c>
      <c r="E11" s="218" t="s">
        <v>74</v>
      </c>
      <c r="F11" s="218" t="s">
        <v>75</v>
      </c>
      <c r="G11" s="218" t="s">
        <v>76</v>
      </c>
      <c r="H11" s="218" t="s">
        <v>77</v>
      </c>
      <c r="I11" s="219" t="s">
        <v>78</v>
      </c>
      <c r="J11" s="219" t="s">
        <v>237</v>
      </c>
      <c r="K11" s="222" t="s">
        <v>209</v>
      </c>
      <c r="L11" s="218" t="s">
        <v>218</v>
      </c>
      <c r="M11" s="222" t="s">
        <v>210</v>
      </c>
      <c r="N11" s="218" t="s">
        <v>57</v>
      </c>
      <c r="O11" s="222" t="s">
        <v>211</v>
      </c>
      <c r="P11" s="218" t="s">
        <v>58</v>
      </c>
      <c r="Q11" s="222" t="s">
        <v>212</v>
      </c>
      <c r="R11" s="218" t="s">
        <v>59</v>
      </c>
      <c r="S11" s="222" t="s">
        <v>213</v>
      </c>
      <c r="T11" s="218" t="s">
        <v>60</v>
      </c>
      <c r="U11" s="222" t="s">
        <v>214</v>
      </c>
      <c r="V11" s="218" t="s">
        <v>50</v>
      </c>
      <c r="W11" s="222" t="s">
        <v>215</v>
      </c>
      <c r="X11" s="218" t="s">
        <v>219</v>
      </c>
      <c r="Y11" s="217" t="s">
        <v>217</v>
      </c>
      <c r="Z11" s="223" t="s">
        <v>250</v>
      </c>
      <c r="AA11" s="216" t="s">
        <v>251</v>
      </c>
      <c r="AB11" s="224" t="s">
        <v>252</v>
      </c>
      <c r="AC11" s="216" t="s">
        <v>253</v>
      </c>
      <c r="AD11" s="219" t="s">
        <v>237</v>
      </c>
      <c r="AE11" s="222" t="s">
        <v>204</v>
      </c>
      <c r="AF11" s="218" t="s">
        <v>51</v>
      </c>
      <c r="AG11" s="222" t="s">
        <v>205</v>
      </c>
      <c r="AH11" s="218" t="s">
        <v>52</v>
      </c>
      <c r="AI11" s="222" t="s">
        <v>206</v>
      </c>
      <c r="AJ11" s="218" t="s">
        <v>53</v>
      </c>
      <c r="AK11" s="222" t="s">
        <v>207</v>
      </c>
      <c r="AL11" s="218" t="s">
        <v>54</v>
      </c>
      <c r="AM11" s="222" t="s">
        <v>208</v>
      </c>
      <c r="AN11" s="218" t="s">
        <v>56</v>
      </c>
      <c r="AO11" s="222" t="s">
        <v>209</v>
      </c>
      <c r="AP11" s="218" t="s">
        <v>218</v>
      </c>
      <c r="AQ11" s="222" t="s">
        <v>210</v>
      </c>
      <c r="AR11" s="218" t="s">
        <v>57</v>
      </c>
      <c r="AS11" s="222" t="s">
        <v>211</v>
      </c>
      <c r="AT11" s="218" t="s">
        <v>58</v>
      </c>
      <c r="AU11" s="222" t="s">
        <v>212</v>
      </c>
      <c r="AV11" s="218" t="s">
        <v>59</v>
      </c>
      <c r="AW11" s="222" t="s">
        <v>213</v>
      </c>
      <c r="AX11" s="218" t="s">
        <v>60</v>
      </c>
      <c r="AY11" s="222" t="s">
        <v>214</v>
      </c>
      <c r="AZ11" s="218" t="s">
        <v>50</v>
      </c>
      <c r="BA11" s="222" t="s">
        <v>215</v>
      </c>
      <c r="BB11" s="218" t="s">
        <v>219</v>
      </c>
      <c r="BC11" s="217" t="s">
        <v>217</v>
      </c>
      <c r="BD11" s="223" t="s">
        <v>243</v>
      </c>
      <c r="BE11" s="216" t="s">
        <v>242</v>
      </c>
      <c r="BF11" s="224" t="s">
        <v>241</v>
      </c>
      <c r="BG11" s="272" t="s">
        <v>561</v>
      </c>
      <c r="BH11" s="219" t="s">
        <v>237</v>
      </c>
      <c r="BI11" s="224" t="s">
        <v>204</v>
      </c>
      <c r="BJ11" s="321" t="s">
        <v>51</v>
      </c>
      <c r="BK11" s="224" t="s">
        <v>205</v>
      </c>
      <c r="BL11" s="321" t="s">
        <v>52</v>
      </c>
      <c r="BM11" s="224" t="s">
        <v>206</v>
      </c>
      <c r="BN11" s="321" t="s">
        <v>53</v>
      </c>
      <c r="BO11" s="224" t="s">
        <v>207</v>
      </c>
      <c r="BP11" s="321" t="s">
        <v>54</v>
      </c>
      <c r="BQ11" s="224" t="s">
        <v>208</v>
      </c>
      <c r="BR11" s="321" t="s">
        <v>56</v>
      </c>
      <c r="BS11" s="224" t="s">
        <v>209</v>
      </c>
      <c r="BT11" s="321" t="s">
        <v>218</v>
      </c>
      <c r="BU11" s="224" t="s">
        <v>210</v>
      </c>
      <c r="BV11" s="321" t="s">
        <v>57</v>
      </c>
      <c r="BW11" s="224" t="s">
        <v>211</v>
      </c>
      <c r="BX11" s="321" t="s">
        <v>58</v>
      </c>
      <c r="BY11" s="224" t="s">
        <v>212</v>
      </c>
      <c r="BZ11" s="321" t="s">
        <v>59</v>
      </c>
      <c r="CA11" s="224" t="s">
        <v>213</v>
      </c>
      <c r="CB11" s="321" t="s">
        <v>60</v>
      </c>
      <c r="CC11" s="224" t="s">
        <v>214</v>
      </c>
      <c r="CD11" s="321" t="s">
        <v>50</v>
      </c>
      <c r="CE11" s="224" t="s">
        <v>215</v>
      </c>
      <c r="CF11" s="321" t="s">
        <v>219</v>
      </c>
      <c r="CG11" s="217" t="s">
        <v>217</v>
      </c>
      <c r="CH11" s="224" t="s">
        <v>223</v>
      </c>
      <c r="CI11" s="321" t="s">
        <v>224</v>
      </c>
      <c r="CJ11" s="224" t="s">
        <v>225</v>
      </c>
      <c r="CK11" s="292" t="s">
        <v>226</v>
      </c>
      <c r="CL11" s="219" t="s">
        <v>237</v>
      </c>
      <c r="CM11" s="222" t="s">
        <v>204</v>
      </c>
      <c r="CN11" s="218" t="s">
        <v>51</v>
      </c>
      <c r="CO11" s="222" t="s">
        <v>205</v>
      </c>
      <c r="CP11" s="218" t="s">
        <v>52</v>
      </c>
      <c r="CQ11" s="222" t="s">
        <v>206</v>
      </c>
      <c r="CR11" s="218" t="s">
        <v>53</v>
      </c>
      <c r="CS11" s="222" t="s">
        <v>207</v>
      </c>
      <c r="CT11" s="218" t="s">
        <v>54</v>
      </c>
      <c r="CU11" s="222" t="s">
        <v>208</v>
      </c>
      <c r="CV11" s="218" t="s">
        <v>56</v>
      </c>
      <c r="CW11" s="222" t="s">
        <v>209</v>
      </c>
      <c r="CX11" s="218" t="s">
        <v>218</v>
      </c>
      <c r="CY11" s="222" t="s">
        <v>210</v>
      </c>
      <c r="CZ11" s="218" t="s">
        <v>57</v>
      </c>
      <c r="DA11" s="222" t="s">
        <v>211</v>
      </c>
      <c r="DB11" s="218" t="s">
        <v>58</v>
      </c>
      <c r="DC11" s="222" t="s">
        <v>212</v>
      </c>
      <c r="DD11" s="218" t="s">
        <v>59</v>
      </c>
      <c r="DE11" s="222" t="s">
        <v>213</v>
      </c>
      <c r="DF11" s="218" t="s">
        <v>60</v>
      </c>
      <c r="DG11" s="222" t="s">
        <v>214</v>
      </c>
      <c r="DH11" s="218" t="s">
        <v>50</v>
      </c>
      <c r="DI11" s="222" t="s">
        <v>215</v>
      </c>
      <c r="DJ11" s="218" t="s">
        <v>219</v>
      </c>
      <c r="DK11" s="217" t="s">
        <v>217</v>
      </c>
      <c r="DL11" s="223" t="s">
        <v>229</v>
      </c>
      <c r="DM11" s="216" t="s">
        <v>230</v>
      </c>
      <c r="DN11" s="223" t="s">
        <v>231</v>
      </c>
      <c r="DO11" s="216" t="s">
        <v>232</v>
      </c>
      <c r="DP11" s="219" t="s">
        <v>237</v>
      </c>
      <c r="DQ11" s="222" t="s">
        <v>204</v>
      </c>
      <c r="DR11" s="218" t="s">
        <v>51</v>
      </c>
      <c r="DS11" s="222" t="s">
        <v>205</v>
      </c>
      <c r="DT11" s="218" t="s">
        <v>52</v>
      </c>
      <c r="DU11" s="222" t="s">
        <v>206</v>
      </c>
      <c r="DV11" s="218" t="s">
        <v>53</v>
      </c>
      <c r="DW11" s="222" t="s">
        <v>207</v>
      </c>
      <c r="DX11" s="218" t="s">
        <v>54</v>
      </c>
      <c r="DY11" s="222" t="s">
        <v>208</v>
      </c>
      <c r="DZ11" s="218" t="s">
        <v>56</v>
      </c>
      <c r="EA11" s="222" t="s">
        <v>209</v>
      </c>
      <c r="EB11" s="218" t="s">
        <v>218</v>
      </c>
      <c r="EC11" s="222" t="s">
        <v>210</v>
      </c>
      <c r="ED11" s="218" t="s">
        <v>57</v>
      </c>
      <c r="EE11" s="222" t="s">
        <v>211</v>
      </c>
      <c r="EF11" s="218" t="s">
        <v>58</v>
      </c>
      <c r="EG11" s="222" t="s">
        <v>212</v>
      </c>
      <c r="EH11" s="218" t="s">
        <v>59</v>
      </c>
      <c r="EI11" s="222" t="s">
        <v>213</v>
      </c>
      <c r="EJ11" s="218" t="s">
        <v>60</v>
      </c>
      <c r="EK11" s="222" t="s">
        <v>214</v>
      </c>
      <c r="EL11" s="218" t="s">
        <v>50</v>
      </c>
      <c r="EM11" s="222" t="s">
        <v>215</v>
      </c>
      <c r="EN11" s="218" t="s">
        <v>219</v>
      </c>
      <c r="EO11" s="217" t="s">
        <v>217</v>
      </c>
      <c r="EP11" s="223" t="s">
        <v>233</v>
      </c>
      <c r="EQ11" s="216" t="s">
        <v>234</v>
      </c>
      <c r="ER11" s="223" t="s">
        <v>235</v>
      </c>
      <c r="ES11" s="216" t="s">
        <v>236</v>
      </c>
      <c r="ET11" s="330"/>
      <c r="EU11" s="330"/>
      <c r="EV11" s="330"/>
      <c r="EW11" s="330"/>
      <c r="EX11" s="330"/>
      <c r="EY11" s="330"/>
      <c r="EZ11" s="330"/>
      <c r="FA11" s="330"/>
      <c r="FB11" s="330"/>
      <c r="FC11" s="330"/>
    </row>
    <row r="12" spans="1:159" s="113" customFormat="1" ht="120" customHeight="1" x14ac:dyDescent="0.2">
      <c r="A12" s="53">
        <v>2</v>
      </c>
      <c r="B12" s="53">
        <v>35</v>
      </c>
      <c r="C12" s="53">
        <v>268</v>
      </c>
      <c r="D12" s="322" t="s">
        <v>263</v>
      </c>
      <c r="E12" s="53">
        <v>285</v>
      </c>
      <c r="F12" s="322" t="s">
        <v>264</v>
      </c>
      <c r="G12" s="53" t="s">
        <v>265</v>
      </c>
      <c r="H12" s="53" t="s">
        <v>266</v>
      </c>
      <c r="I12" s="103">
        <f>+AC12+BG12+BH12+CL12+DP12</f>
        <v>4000</v>
      </c>
      <c r="J12" s="103">
        <v>234</v>
      </c>
      <c r="K12" s="103"/>
      <c r="L12" s="103"/>
      <c r="M12" s="103"/>
      <c r="N12" s="103"/>
      <c r="O12" s="103"/>
      <c r="P12" s="103"/>
      <c r="Q12" s="103"/>
      <c r="R12" s="103"/>
      <c r="S12" s="103"/>
      <c r="T12" s="103"/>
      <c r="U12" s="103"/>
      <c r="V12" s="103"/>
      <c r="W12" s="103">
        <f>234</f>
        <v>234</v>
      </c>
      <c r="X12" s="103">
        <v>195</v>
      </c>
      <c r="Y12" s="701">
        <v>234</v>
      </c>
      <c r="Z12" s="702">
        <v>234</v>
      </c>
      <c r="AA12" s="702">
        <v>195</v>
      </c>
      <c r="AB12" s="702">
        <v>195</v>
      </c>
      <c r="AC12" s="702">
        <v>195</v>
      </c>
      <c r="AD12" s="103">
        <v>798</v>
      </c>
      <c r="AE12" s="103">
        <v>37</v>
      </c>
      <c r="AF12" s="53">
        <v>38</v>
      </c>
      <c r="AG12" s="107">
        <v>65</v>
      </c>
      <c r="AH12" s="53">
        <v>10</v>
      </c>
      <c r="AI12" s="103">
        <v>69</v>
      </c>
      <c r="AJ12" s="53">
        <v>33</v>
      </c>
      <c r="AK12" s="103">
        <v>72</v>
      </c>
      <c r="AL12" s="53">
        <v>44</v>
      </c>
      <c r="AM12" s="103">
        <v>72</v>
      </c>
      <c r="AN12" s="53">
        <v>58</v>
      </c>
      <c r="AO12" s="103">
        <v>104</v>
      </c>
      <c r="AP12" s="53">
        <v>93</v>
      </c>
      <c r="AQ12" s="103">
        <v>62</v>
      </c>
      <c r="AR12" s="53">
        <v>229</v>
      </c>
      <c r="AS12" s="103">
        <v>72</v>
      </c>
      <c r="AT12" s="103">
        <v>110</v>
      </c>
      <c r="AU12" s="103">
        <v>71</v>
      </c>
      <c r="AV12" s="103">
        <v>54</v>
      </c>
      <c r="AW12" s="103">
        <v>70</v>
      </c>
      <c r="AX12" s="103">
        <v>70</v>
      </c>
      <c r="AY12" s="103">
        <v>65</v>
      </c>
      <c r="AZ12" s="103">
        <v>24</v>
      </c>
      <c r="BA12" s="103">
        <v>39</v>
      </c>
      <c r="BB12" s="103">
        <v>31</v>
      </c>
      <c r="BC12" s="138">
        <f>BA12+AY12+AW12+AU12+AS12+AQ12+AO12+AM12+AK12+AI12+AG12+AE12</f>
        <v>798</v>
      </c>
      <c r="BD12" s="138">
        <f>+AE12+AG12+AI12+AK12+AM12+AO12+AQ12+AS12+AU12+AW12+AY12+BA12</f>
        <v>798</v>
      </c>
      <c r="BE12" s="138">
        <f>+AF12+AH12+AJ12+AL12+AN12+AP12+AR12+AT12+AV12+AX12+AZ12+BB12</f>
        <v>794</v>
      </c>
      <c r="BF12" s="138">
        <f>BA12+AY12+AW12+AU12+AS12+AQ12+AO12+AM12+AK12+AI12+AG12+AE12</f>
        <v>798</v>
      </c>
      <c r="BG12" s="138">
        <f>AF12+AH12+AJ12+AL12+AN12+AP12+AR12+AT12+AV12+AX12+AZ12+BB12</f>
        <v>794</v>
      </c>
      <c r="BH12" s="103">
        <f>1097+4</f>
        <v>1101</v>
      </c>
      <c r="BI12" s="103">
        <f>67+4</f>
        <v>71</v>
      </c>
      <c r="BJ12" s="703">
        <v>0</v>
      </c>
      <c r="BK12" s="103">
        <v>92</v>
      </c>
      <c r="BL12" s="703">
        <v>49</v>
      </c>
      <c r="BM12" s="103">
        <v>97</v>
      </c>
      <c r="BN12" s="703">
        <v>60</v>
      </c>
      <c r="BO12" s="103">
        <v>102</v>
      </c>
      <c r="BP12" s="703"/>
      <c r="BQ12" s="103">
        <v>102</v>
      </c>
      <c r="BR12" s="703"/>
      <c r="BS12" s="103">
        <v>92</v>
      </c>
      <c r="BT12" s="703"/>
      <c r="BU12" s="103">
        <v>63</v>
      </c>
      <c r="BV12" s="703"/>
      <c r="BW12" s="103">
        <v>88</v>
      </c>
      <c r="BX12" s="703"/>
      <c r="BY12" s="103">
        <v>102</v>
      </c>
      <c r="BZ12" s="703"/>
      <c r="CA12" s="103">
        <v>102</v>
      </c>
      <c r="CB12" s="703"/>
      <c r="CC12" s="103">
        <v>102</v>
      </c>
      <c r="CD12" s="103"/>
      <c r="CE12" s="103">
        <v>88</v>
      </c>
      <c r="CF12" s="103"/>
      <c r="CG12" s="103">
        <f>BI12+BK12+BM12+BO12+BQ12+BS12+BU12+BW12+BY12+CA12+CC12+CE12</f>
        <v>1101</v>
      </c>
      <c r="CH12" s="103">
        <f>+BI12+BK12+BM12</f>
        <v>260</v>
      </c>
      <c r="CI12" s="103">
        <f>+BJ12+BL12+BN12</f>
        <v>109</v>
      </c>
      <c r="CJ12" s="103">
        <f>BI12+BK12+BM12+BO12+BQ12+BS12+BU12+BW12+BY12+CA12+CC12+CE12</f>
        <v>1101</v>
      </c>
      <c r="CK12" s="103">
        <f>BJ12+BL12+BN12+BP12+BR12+BT12+BV12+BX12+BZ12+CB12+CD12+CF12</f>
        <v>109</v>
      </c>
      <c r="CL12" s="103">
        <v>1428</v>
      </c>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v>482</v>
      </c>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116">
        <f>+BN12/BM12</f>
        <v>0.61855670103092786</v>
      </c>
      <c r="EU12" s="116">
        <f>CI12/CH12</f>
        <v>0.41923076923076924</v>
      </c>
      <c r="EV12" s="164">
        <f>CK12/CJ12</f>
        <v>9.9000908265213447E-2</v>
      </c>
      <c r="EW12" s="164">
        <f>+(AC12+BG12+CI12)/(AB12+BF12+CH12)</f>
        <v>0.87629688747007184</v>
      </c>
      <c r="EX12" s="164">
        <f>+(AC12+BG12+CK12)/I12</f>
        <v>0.27450000000000002</v>
      </c>
      <c r="EY12" s="708" t="s">
        <v>688</v>
      </c>
      <c r="EZ12" s="709" t="s">
        <v>696</v>
      </c>
      <c r="FA12" s="709" t="s">
        <v>684</v>
      </c>
      <c r="FB12" s="708" t="s">
        <v>338</v>
      </c>
      <c r="FC12" s="327" t="s">
        <v>339</v>
      </c>
    </row>
    <row r="13" spans="1:159" s="113" customFormat="1" ht="109.5" customHeight="1" x14ac:dyDescent="0.2">
      <c r="A13" s="53">
        <v>2</v>
      </c>
      <c r="B13" s="53">
        <v>35</v>
      </c>
      <c r="C13" s="53">
        <v>269</v>
      </c>
      <c r="D13" s="322" t="s">
        <v>611</v>
      </c>
      <c r="E13" s="53">
        <v>286</v>
      </c>
      <c r="F13" s="322" t="s">
        <v>264</v>
      </c>
      <c r="G13" s="53" t="s">
        <v>265</v>
      </c>
      <c r="H13" s="53" t="s">
        <v>266</v>
      </c>
      <c r="I13" s="103">
        <f>+AC13+BG13+BH13+CL13+DP13</f>
        <v>4700</v>
      </c>
      <c r="J13" s="103">
        <v>426</v>
      </c>
      <c r="K13" s="103"/>
      <c r="L13" s="103"/>
      <c r="M13" s="103"/>
      <c r="N13" s="103"/>
      <c r="O13" s="103"/>
      <c r="P13" s="103"/>
      <c r="Q13" s="103"/>
      <c r="R13" s="103"/>
      <c r="S13" s="103"/>
      <c r="T13" s="103"/>
      <c r="U13" s="103"/>
      <c r="V13" s="103"/>
      <c r="W13" s="103">
        <f>426+65</f>
        <v>491</v>
      </c>
      <c r="X13" s="103">
        <v>491</v>
      </c>
      <c r="Y13" s="701">
        <v>491</v>
      </c>
      <c r="Z13" s="702">
        <v>491</v>
      </c>
      <c r="AA13" s="702">
        <v>491</v>
      </c>
      <c r="AB13" s="702">
        <v>491</v>
      </c>
      <c r="AC13" s="702">
        <v>491</v>
      </c>
      <c r="AD13" s="103">
        <v>893</v>
      </c>
      <c r="AE13" s="103">
        <v>15</v>
      </c>
      <c r="AF13" s="53">
        <v>36</v>
      </c>
      <c r="AG13" s="107">
        <v>18</v>
      </c>
      <c r="AH13" s="53">
        <v>16</v>
      </c>
      <c r="AI13" s="103">
        <v>90</v>
      </c>
      <c r="AJ13" s="53">
        <v>104</v>
      </c>
      <c r="AK13" s="103">
        <v>97</v>
      </c>
      <c r="AL13" s="53">
        <v>116</v>
      </c>
      <c r="AM13" s="103">
        <v>97</v>
      </c>
      <c r="AN13" s="53">
        <v>76</v>
      </c>
      <c r="AO13" s="103">
        <v>97</v>
      </c>
      <c r="AP13" s="53">
        <v>115</v>
      </c>
      <c r="AQ13" s="103">
        <v>97</v>
      </c>
      <c r="AR13" s="53">
        <v>96</v>
      </c>
      <c r="AS13" s="103">
        <v>97</v>
      </c>
      <c r="AT13" s="103">
        <v>102</v>
      </c>
      <c r="AU13" s="103">
        <v>97</v>
      </c>
      <c r="AV13" s="103">
        <v>96</v>
      </c>
      <c r="AW13" s="103">
        <v>97</v>
      </c>
      <c r="AX13" s="103">
        <v>69</v>
      </c>
      <c r="AY13" s="103">
        <v>91</v>
      </c>
      <c r="AZ13" s="103">
        <v>65</v>
      </c>
      <c r="BA13" s="103">
        <v>4</v>
      </c>
      <c r="BB13" s="103">
        <v>6</v>
      </c>
      <c r="BC13" s="138">
        <f>BA13+AY13+AW13+AU13+AS13+AQ13+AO13+AM13+AK13+AI13+AG13+AE13</f>
        <v>897</v>
      </c>
      <c r="BD13" s="138">
        <f>+AE13+AG13+AI13+AK13+AM13+AO13+AQ13+AS13+AU13+AW13+AY13+BA13</f>
        <v>897</v>
      </c>
      <c r="BE13" s="138">
        <f>+AF13+AH13+AJ13+AL13+AN13+AP13+AR13+AT13+AV13+AX13+AZ13+BB13</f>
        <v>897</v>
      </c>
      <c r="BF13" s="138">
        <f>BA13+AY13+AW13+AU13+AS13+AQ13+AO13+AM13+AK13+AI13+AG13+AE13</f>
        <v>897</v>
      </c>
      <c r="BG13" s="138">
        <f>AF13+AH13+AJ13+AL13+AN13+AP13+AR13+AT13+AV13+AX13+AZ13+BB13</f>
        <v>897</v>
      </c>
      <c r="BH13" s="103">
        <v>1272</v>
      </c>
      <c r="BI13" s="138">
        <v>0</v>
      </c>
      <c r="BJ13" s="138">
        <v>11</v>
      </c>
      <c r="BK13" s="138">
        <v>102</v>
      </c>
      <c r="BL13" s="138">
        <v>129</v>
      </c>
      <c r="BM13" s="138">
        <v>130</v>
      </c>
      <c r="BN13" s="138">
        <v>109</v>
      </c>
      <c r="BO13" s="138">
        <v>130</v>
      </c>
      <c r="BP13" s="138"/>
      <c r="BQ13" s="138">
        <v>130</v>
      </c>
      <c r="BR13" s="138"/>
      <c r="BS13" s="138">
        <v>130</v>
      </c>
      <c r="BT13" s="138"/>
      <c r="BU13" s="138">
        <v>130</v>
      </c>
      <c r="BV13" s="138"/>
      <c r="BW13" s="138">
        <v>130</v>
      </c>
      <c r="BX13" s="138"/>
      <c r="BY13" s="138">
        <v>130</v>
      </c>
      <c r="BZ13" s="138"/>
      <c r="CA13" s="138">
        <v>130</v>
      </c>
      <c r="CB13" s="138"/>
      <c r="CC13" s="138">
        <v>130</v>
      </c>
      <c r="CD13" s="138"/>
      <c r="CE13" s="138">
        <v>0</v>
      </c>
      <c r="CF13" s="138"/>
      <c r="CG13" s="103">
        <f>BI13+BK13+BM13+BO13+BQ13+BS13+BU13+BW13+BY13+CA13+CC13+CE13</f>
        <v>1272</v>
      </c>
      <c r="CH13" s="103">
        <f>+BI13+BK13+BM13</f>
        <v>232</v>
      </c>
      <c r="CI13" s="103">
        <f>+BJ13+BL13+BN13</f>
        <v>249</v>
      </c>
      <c r="CJ13" s="103">
        <f>BI13+BK13+BM13+BO13+BQ13+BS13+BU13+BW13+BY13+CA13+CC13+CE13</f>
        <v>1272</v>
      </c>
      <c r="CK13" s="103">
        <f>BJ13+BL13+BN13+BP13+BR13+BT13+BV13+BX13+BZ13+CB13+CD13+CF13</f>
        <v>249</v>
      </c>
      <c r="CL13" s="103">
        <v>1585</v>
      </c>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v>455</v>
      </c>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116">
        <f>+BN13/BM13</f>
        <v>0.83846153846153848</v>
      </c>
      <c r="EU13" s="116">
        <f>CI13/CH13</f>
        <v>1.0732758620689655</v>
      </c>
      <c r="EV13" s="164">
        <f>CK13/CJ13</f>
        <v>0.19575471698113209</v>
      </c>
      <c r="EW13" s="164">
        <f t="shared" ref="EW13:EW14" si="0">+(AC13+BG13+CI13)/(AB13+BF13+CH13)</f>
        <v>1.0104938271604937</v>
      </c>
      <c r="EX13" s="164">
        <f t="shared" ref="EX13:EX14" si="1">+(AC13+BG13+CK13)/I13</f>
        <v>0.34829787234042553</v>
      </c>
      <c r="EY13" s="708" t="s">
        <v>685</v>
      </c>
      <c r="EZ13" s="709" t="s">
        <v>329</v>
      </c>
      <c r="FA13" s="709" t="s">
        <v>329</v>
      </c>
      <c r="FB13" s="709" t="s">
        <v>340</v>
      </c>
      <c r="FC13" s="322" t="s">
        <v>341</v>
      </c>
    </row>
    <row r="14" spans="1:159" s="113" customFormat="1" ht="88.5" customHeight="1" x14ac:dyDescent="0.2">
      <c r="A14" s="53">
        <v>2</v>
      </c>
      <c r="B14" s="53">
        <v>35</v>
      </c>
      <c r="C14" s="53">
        <v>270</v>
      </c>
      <c r="D14" s="322" t="s">
        <v>268</v>
      </c>
      <c r="E14" s="53">
        <v>287</v>
      </c>
      <c r="F14" s="322" t="s">
        <v>269</v>
      </c>
      <c r="G14" s="53" t="s">
        <v>270</v>
      </c>
      <c r="H14" s="53" t="s">
        <v>271</v>
      </c>
      <c r="I14" s="104">
        <f>+J14</f>
        <v>1</v>
      </c>
      <c r="J14" s="104">
        <v>1</v>
      </c>
      <c r="K14" s="104"/>
      <c r="L14" s="104"/>
      <c r="M14" s="104"/>
      <c r="N14" s="104"/>
      <c r="O14" s="104"/>
      <c r="P14" s="104"/>
      <c r="Q14" s="104"/>
      <c r="R14" s="104"/>
      <c r="S14" s="104"/>
      <c r="T14" s="104"/>
      <c r="U14" s="104"/>
      <c r="V14" s="104"/>
      <c r="W14" s="104">
        <v>1</v>
      </c>
      <c r="X14" s="104">
        <v>1</v>
      </c>
      <c r="Y14" s="704">
        <v>1</v>
      </c>
      <c r="Z14" s="704">
        <v>1</v>
      </c>
      <c r="AA14" s="704">
        <v>1</v>
      </c>
      <c r="AB14" s="704">
        <v>1</v>
      </c>
      <c r="AC14" s="704">
        <v>1</v>
      </c>
      <c r="AD14" s="104">
        <v>1</v>
      </c>
      <c r="AE14" s="104">
        <v>1</v>
      </c>
      <c r="AF14" s="104">
        <v>1</v>
      </c>
      <c r="AG14" s="104">
        <v>1</v>
      </c>
      <c r="AH14" s="104">
        <v>1</v>
      </c>
      <c r="AI14" s="104">
        <v>1</v>
      </c>
      <c r="AJ14" s="104">
        <v>1</v>
      </c>
      <c r="AK14" s="104">
        <v>1</v>
      </c>
      <c r="AL14" s="104">
        <v>1</v>
      </c>
      <c r="AM14" s="104">
        <v>1</v>
      </c>
      <c r="AN14" s="116">
        <v>1</v>
      </c>
      <c r="AO14" s="104">
        <v>1</v>
      </c>
      <c r="AP14" s="116">
        <v>1</v>
      </c>
      <c r="AQ14" s="104">
        <v>1</v>
      </c>
      <c r="AR14" s="116">
        <v>1</v>
      </c>
      <c r="AS14" s="104">
        <v>1</v>
      </c>
      <c r="AT14" s="116">
        <v>1</v>
      </c>
      <c r="AU14" s="104">
        <v>1</v>
      </c>
      <c r="AV14" s="116">
        <v>1</v>
      </c>
      <c r="AW14" s="104">
        <v>1</v>
      </c>
      <c r="AX14" s="116">
        <v>1</v>
      </c>
      <c r="AY14" s="104">
        <v>1</v>
      </c>
      <c r="AZ14" s="116">
        <v>1</v>
      </c>
      <c r="BA14" s="104">
        <v>1</v>
      </c>
      <c r="BB14" s="116">
        <v>1</v>
      </c>
      <c r="BC14" s="114">
        <f>+AD14</f>
        <v>1</v>
      </c>
      <c r="BD14" s="114">
        <f>+BA14</f>
        <v>1</v>
      </c>
      <c r="BE14" s="114">
        <f>+BB14</f>
        <v>1</v>
      </c>
      <c r="BF14" s="114">
        <f>+AD14</f>
        <v>1</v>
      </c>
      <c r="BG14" s="114">
        <f>+BB14</f>
        <v>1</v>
      </c>
      <c r="BH14" s="104">
        <v>1</v>
      </c>
      <c r="BI14" s="104">
        <v>1</v>
      </c>
      <c r="BJ14" s="104">
        <v>1</v>
      </c>
      <c r="BK14" s="104">
        <v>1</v>
      </c>
      <c r="BL14" s="104">
        <v>1</v>
      </c>
      <c r="BM14" s="104">
        <v>1</v>
      </c>
      <c r="BN14" s="104">
        <v>1</v>
      </c>
      <c r="BO14" s="104">
        <v>1</v>
      </c>
      <c r="BP14" s="104"/>
      <c r="BQ14" s="104">
        <v>1</v>
      </c>
      <c r="BR14" s="104"/>
      <c r="BS14" s="104">
        <v>1</v>
      </c>
      <c r="BT14" s="104"/>
      <c r="BU14" s="104">
        <v>1</v>
      </c>
      <c r="BV14" s="104"/>
      <c r="BW14" s="104">
        <v>1</v>
      </c>
      <c r="BX14" s="104"/>
      <c r="BY14" s="104">
        <v>1</v>
      </c>
      <c r="BZ14" s="104"/>
      <c r="CA14" s="104">
        <v>1</v>
      </c>
      <c r="CB14" s="104"/>
      <c r="CC14" s="104">
        <v>1</v>
      </c>
      <c r="CD14" s="104"/>
      <c r="CE14" s="104">
        <v>1</v>
      </c>
      <c r="CF14" s="104"/>
      <c r="CG14" s="104">
        <f>+BH14</f>
        <v>1</v>
      </c>
      <c r="CH14" s="104">
        <f t="shared" ref="CH14:CI16" si="2">+BM14</f>
        <v>1</v>
      </c>
      <c r="CI14" s="104">
        <f t="shared" si="2"/>
        <v>1</v>
      </c>
      <c r="CJ14" s="104">
        <f>+BH14</f>
        <v>1</v>
      </c>
      <c r="CK14" s="104">
        <f>+BL14</f>
        <v>1</v>
      </c>
      <c r="CL14" s="104">
        <v>1</v>
      </c>
      <c r="CM14" s="104">
        <v>1</v>
      </c>
      <c r="CN14" s="104">
        <v>1</v>
      </c>
      <c r="CO14" s="104">
        <v>1</v>
      </c>
      <c r="CP14" s="104">
        <v>1</v>
      </c>
      <c r="CQ14" s="104">
        <v>1</v>
      </c>
      <c r="CR14" s="104">
        <v>1</v>
      </c>
      <c r="CS14" s="104">
        <v>1</v>
      </c>
      <c r="CT14" s="104">
        <v>1</v>
      </c>
      <c r="CU14" s="104">
        <v>1</v>
      </c>
      <c r="CV14" s="104">
        <v>1</v>
      </c>
      <c r="CW14" s="104">
        <v>1</v>
      </c>
      <c r="CX14" s="104">
        <v>1</v>
      </c>
      <c r="CY14" s="104">
        <v>1</v>
      </c>
      <c r="CZ14" s="104">
        <v>1</v>
      </c>
      <c r="DA14" s="104">
        <v>1</v>
      </c>
      <c r="DB14" s="104">
        <v>1</v>
      </c>
      <c r="DC14" s="104">
        <v>1</v>
      </c>
      <c r="DD14" s="104">
        <v>1</v>
      </c>
      <c r="DE14" s="104">
        <v>1</v>
      </c>
      <c r="DF14" s="104">
        <v>1</v>
      </c>
      <c r="DG14" s="104">
        <v>1</v>
      </c>
      <c r="DH14" s="104">
        <v>1</v>
      </c>
      <c r="DI14" s="104">
        <v>1</v>
      </c>
      <c r="DJ14" s="104">
        <v>1</v>
      </c>
      <c r="DK14" s="104">
        <v>1</v>
      </c>
      <c r="DL14" s="104">
        <v>1</v>
      </c>
      <c r="DM14" s="104">
        <v>1</v>
      </c>
      <c r="DN14" s="104">
        <v>1</v>
      </c>
      <c r="DO14" s="104">
        <v>1</v>
      </c>
      <c r="DP14" s="104">
        <v>1</v>
      </c>
      <c r="DQ14" s="324"/>
      <c r="DR14" s="324"/>
      <c r="DS14" s="324"/>
      <c r="DT14" s="324"/>
      <c r="DU14" s="324"/>
      <c r="DV14" s="324"/>
      <c r="DW14" s="324"/>
      <c r="DX14" s="324"/>
      <c r="DY14" s="324"/>
      <c r="DZ14" s="324"/>
      <c r="EA14" s="324"/>
      <c r="EB14" s="324"/>
      <c r="EC14" s="324"/>
      <c r="ED14" s="324"/>
      <c r="EE14" s="324"/>
      <c r="EF14" s="324"/>
      <c r="EG14" s="324"/>
      <c r="EH14" s="324"/>
      <c r="EI14" s="67"/>
      <c r="EJ14" s="67"/>
      <c r="EK14" s="67"/>
      <c r="EL14" s="67"/>
      <c r="EM14" s="67"/>
      <c r="EN14" s="67"/>
      <c r="EO14" s="67"/>
      <c r="EP14" s="67"/>
      <c r="EQ14" s="67"/>
      <c r="ER14" s="67"/>
      <c r="ES14" s="67"/>
      <c r="ET14" s="116">
        <f>+BN14/BM14</f>
        <v>1</v>
      </c>
      <c r="EU14" s="116">
        <f>CI14/CH14</f>
        <v>1</v>
      </c>
      <c r="EV14" s="164">
        <f>CK14/CJ14</f>
        <v>1</v>
      </c>
      <c r="EW14" s="164">
        <f t="shared" si="0"/>
        <v>1</v>
      </c>
      <c r="EX14" s="164">
        <f>+(AC14+BG14+CK14)/500%</f>
        <v>0.6</v>
      </c>
      <c r="EY14" s="708" t="s">
        <v>686</v>
      </c>
      <c r="EZ14" s="709" t="s">
        <v>329</v>
      </c>
      <c r="FA14" s="709" t="s">
        <v>329</v>
      </c>
      <c r="FB14" s="709" t="s">
        <v>342</v>
      </c>
      <c r="FC14" s="322" t="s">
        <v>343</v>
      </c>
    </row>
    <row r="15" spans="1:159" s="113" customFormat="1" ht="85.5" customHeight="1" x14ac:dyDescent="0.2">
      <c r="A15" s="53">
        <v>2</v>
      </c>
      <c r="B15" s="53">
        <v>35</v>
      </c>
      <c r="C15" s="53">
        <v>272</v>
      </c>
      <c r="D15" s="322" t="s">
        <v>612</v>
      </c>
      <c r="E15" s="53">
        <v>289</v>
      </c>
      <c r="F15" s="322" t="s">
        <v>273</v>
      </c>
      <c r="G15" s="53" t="s">
        <v>274</v>
      </c>
      <c r="H15" s="105" t="s">
        <v>275</v>
      </c>
      <c r="I15" s="105">
        <v>33.9</v>
      </c>
      <c r="J15" s="104" t="s">
        <v>278</v>
      </c>
      <c r="K15" s="106"/>
      <c r="L15" s="106"/>
      <c r="M15" s="106"/>
      <c r="N15" s="106"/>
      <c r="O15" s="106"/>
      <c r="P15" s="106"/>
      <c r="Q15" s="106"/>
      <c r="R15" s="106"/>
      <c r="S15" s="106"/>
      <c r="T15" s="106"/>
      <c r="U15" s="106"/>
      <c r="V15" s="106"/>
      <c r="W15" s="106"/>
      <c r="X15" s="106" t="s">
        <v>277</v>
      </c>
      <c r="Y15" s="104" t="s">
        <v>278</v>
      </c>
      <c r="Z15" s="104" t="s">
        <v>278</v>
      </c>
      <c r="AA15" s="104" t="s">
        <v>278</v>
      </c>
      <c r="AB15" s="104" t="s">
        <v>278</v>
      </c>
      <c r="AC15" s="104" t="s">
        <v>278</v>
      </c>
      <c r="AD15" s="106">
        <v>37.799999999999997</v>
      </c>
      <c r="AE15" s="106">
        <v>37.799999999999997</v>
      </c>
      <c r="AF15" s="106">
        <v>37</v>
      </c>
      <c r="AG15" s="106">
        <v>37.799999999999997</v>
      </c>
      <c r="AH15" s="106">
        <v>36</v>
      </c>
      <c r="AI15" s="106">
        <v>37.799999999999997</v>
      </c>
      <c r="AJ15" s="106">
        <v>34</v>
      </c>
      <c r="AK15" s="106">
        <v>37.799999999999997</v>
      </c>
      <c r="AL15" s="115">
        <v>34</v>
      </c>
      <c r="AM15" s="106">
        <v>37.799999999999997</v>
      </c>
      <c r="AN15" s="167">
        <v>34.4</v>
      </c>
      <c r="AO15" s="106">
        <v>37.799999999999997</v>
      </c>
      <c r="AP15" s="167">
        <v>34.4</v>
      </c>
      <c r="AQ15" s="106">
        <v>37.799999999999997</v>
      </c>
      <c r="AR15" s="167">
        <v>34.5</v>
      </c>
      <c r="AS15" s="106">
        <v>37.799999999999997</v>
      </c>
      <c r="AT15" s="167">
        <v>34.4</v>
      </c>
      <c r="AU15" s="106">
        <v>37.799999999999997</v>
      </c>
      <c r="AV15" s="167">
        <v>34.4</v>
      </c>
      <c r="AW15" s="106">
        <v>37.799999999999997</v>
      </c>
      <c r="AX15" s="167">
        <v>34.700000000000003</v>
      </c>
      <c r="AY15" s="106">
        <v>37.799999999999997</v>
      </c>
      <c r="AZ15" s="167">
        <v>34.700000000000003</v>
      </c>
      <c r="BA15" s="106">
        <v>37.799999999999997</v>
      </c>
      <c r="BB15" s="167">
        <v>35.4</v>
      </c>
      <c r="BC15" s="117">
        <f>+AD15</f>
        <v>37.799999999999997</v>
      </c>
      <c r="BD15" s="106">
        <v>35.4</v>
      </c>
      <c r="BE15" s="117">
        <f>+BB15</f>
        <v>35.4</v>
      </c>
      <c r="BF15" s="117">
        <f t="shared" ref="BF15" si="3">+AD15</f>
        <v>37.799999999999997</v>
      </c>
      <c r="BG15" s="117">
        <f>+BB15</f>
        <v>35.4</v>
      </c>
      <c r="BH15" s="106">
        <v>36.9</v>
      </c>
      <c r="BI15" s="106">
        <v>36.9</v>
      </c>
      <c r="BJ15" s="106">
        <v>35.799999999999997</v>
      </c>
      <c r="BK15" s="106">
        <v>36.9</v>
      </c>
      <c r="BL15" s="106">
        <v>35.799999999999997</v>
      </c>
      <c r="BM15" s="106">
        <v>36.9</v>
      </c>
      <c r="BN15" s="106">
        <v>35.6</v>
      </c>
      <c r="BO15" s="106">
        <v>36.9</v>
      </c>
      <c r="BP15" s="106"/>
      <c r="BQ15" s="106">
        <v>36.9</v>
      </c>
      <c r="BR15" s="106"/>
      <c r="BS15" s="106">
        <v>36.9</v>
      </c>
      <c r="BT15" s="106"/>
      <c r="BU15" s="106">
        <v>36.9</v>
      </c>
      <c r="BV15" s="106"/>
      <c r="BW15" s="106">
        <v>36.9</v>
      </c>
      <c r="BX15" s="106"/>
      <c r="BY15" s="106">
        <v>36.9</v>
      </c>
      <c r="BZ15" s="106"/>
      <c r="CA15" s="106">
        <v>36.9</v>
      </c>
      <c r="CB15" s="106"/>
      <c r="CC15" s="106">
        <v>36.9</v>
      </c>
      <c r="CD15" s="106"/>
      <c r="CE15" s="106">
        <v>36.9</v>
      </c>
      <c r="CF15" s="106"/>
      <c r="CG15" s="105">
        <f>+BH15</f>
        <v>36.9</v>
      </c>
      <c r="CH15" s="105">
        <f t="shared" si="2"/>
        <v>36.9</v>
      </c>
      <c r="CI15" s="106">
        <f t="shared" si="2"/>
        <v>35.6</v>
      </c>
      <c r="CJ15" s="105">
        <f>+BH15</f>
        <v>36.9</v>
      </c>
      <c r="CK15" s="105">
        <f>+CI15</f>
        <v>35.6</v>
      </c>
      <c r="CL15" s="106">
        <v>34.700000000000003</v>
      </c>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v>33.9</v>
      </c>
      <c r="DQ15" s="705"/>
      <c r="DR15" s="705"/>
      <c r="DS15" s="705"/>
      <c r="DT15" s="705"/>
      <c r="DU15" s="705"/>
      <c r="DV15" s="705"/>
      <c r="DW15" s="705"/>
      <c r="DX15" s="705"/>
      <c r="DY15" s="705"/>
      <c r="DZ15" s="705"/>
      <c r="EA15" s="705"/>
      <c r="EB15" s="705"/>
      <c r="EC15" s="705"/>
      <c r="ED15" s="705"/>
      <c r="EE15" s="705"/>
      <c r="EF15" s="705"/>
      <c r="EG15" s="705"/>
      <c r="EH15" s="705"/>
      <c r="EI15" s="705"/>
      <c r="EJ15" s="705"/>
      <c r="EK15" s="705"/>
      <c r="EL15" s="705"/>
      <c r="EM15" s="705"/>
      <c r="EN15" s="705"/>
      <c r="EO15" s="705"/>
      <c r="EP15" s="705"/>
      <c r="EQ15" s="705"/>
      <c r="ER15" s="705"/>
      <c r="ES15" s="705"/>
      <c r="ET15" s="116">
        <f>+BN15/BM15</f>
        <v>0.964769647696477</v>
      </c>
      <c r="EU15" s="116">
        <f>CI15/CH15</f>
        <v>0.964769647696477</v>
      </c>
      <c r="EV15" s="706">
        <f>(38.3-CK15)/(38.3-CJ15)</f>
        <v>1.9285714285714275</v>
      </c>
      <c r="EW15" s="706">
        <f>(38.3-CI15)/(38.3-CH15)</f>
        <v>1.9285714285714275</v>
      </c>
      <c r="EX15" s="706">
        <f>(38.3-CK15)/(38.3-I15)</f>
        <v>0.61363636363636287</v>
      </c>
      <c r="EY15" s="708" t="s">
        <v>689</v>
      </c>
      <c r="EZ15" s="709" t="s">
        <v>329</v>
      </c>
      <c r="FA15" s="709" t="s">
        <v>329</v>
      </c>
      <c r="FB15" s="709" t="s">
        <v>344</v>
      </c>
      <c r="FC15" s="328" t="s">
        <v>345</v>
      </c>
    </row>
    <row r="16" spans="1:159" s="113" customFormat="1" ht="123" customHeight="1" x14ac:dyDescent="0.2">
      <c r="A16" s="53">
        <v>2</v>
      </c>
      <c r="B16" s="53">
        <v>35</v>
      </c>
      <c r="C16" s="53">
        <v>272</v>
      </c>
      <c r="D16" s="322" t="s">
        <v>272</v>
      </c>
      <c r="E16" s="53">
        <v>661</v>
      </c>
      <c r="F16" s="322" t="s">
        <v>276</v>
      </c>
      <c r="G16" s="53" t="s">
        <v>274</v>
      </c>
      <c r="H16" s="105" t="s">
        <v>275</v>
      </c>
      <c r="I16" s="105">
        <v>17.3</v>
      </c>
      <c r="J16" s="104" t="s">
        <v>278</v>
      </c>
      <c r="K16" s="106"/>
      <c r="L16" s="106"/>
      <c r="M16" s="106"/>
      <c r="N16" s="106"/>
      <c r="O16" s="106"/>
      <c r="P16" s="106"/>
      <c r="Q16" s="106"/>
      <c r="R16" s="106"/>
      <c r="S16" s="106"/>
      <c r="T16" s="106"/>
      <c r="U16" s="106"/>
      <c r="V16" s="106"/>
      <c r="W16" s="106"/>
      <c r="X16" s="106" t="s">
        <v>277</v>
      </c>
      <c r="Y16" s="104" t="s">
        <v>278</v>
      </c>
      <c r="Z16" s="104" t="s">
        <v>278</v>
      </c>
      <c r="AA16" s="104" t="s">
        <v>278</v>
      </c>
      <c r="AB16" s="104" t="s">
        <v>278</v>
      </c>
      <c r="AC16" s="104" t="s">
        <v>278</v>
      </c>
      <c r="AD16" s="106">
        <v>19.5</v>
      </c>
      <c r="AE16" s="106">
        <v>19.5</v>
      </c>
      <c r="AF16" s="106">
        <v>16</v>
      </c>
      <c r="AG16" s="106">
        <v>19.5</v>
      </c>
      <c r="AH16" s="106">
        <v>18</v>
      </c>
      <c r="AI16" s="106">
        <v>19.5</v>
      </c>
      <c r="AJ16" s="106">
        <v>17</v>
      </c>
      <c r="AK16" s="106">
        <v>19.5</v>
      </c>
      <c r="AL16" s="115">
        <v>17</v>
      </c>
      <c r="AM16" s="106">
        <v>19.5</v>
      </c>
      <c r="AN16" s="53">
        <v>17</v>
      </c>
      <c r="AO16" s="106">
        <v>19.5</v>
      </c>
      <c r="AP16" s="53">
        <v>17.3</v>
      </c>
      <c r="AQ16" s="106">
        <v>19.5</v>
      </c>
      <c r="AR16" s="707">
        <v>17.3</v>
      </c>
      <c r="AS16" s="106">
        <v>19.5</v>
      </c>
      <c r="AT16" s="53">
        <v>17.5</v>
      </c>
      <c r="AU16" s="106">
        <v>19.5</v>
      </c>
      <c r="AV16" s="53">
        <v>17.600000000000001</v>
      </c>
      <c r="AW16" s="106">
        <v>19.5</v>
      </c>
      <c r="AX16" s="53">
        <v>18.100000000000001</v>
      </c>
      <c r="AY16" s="106">
        <v>19.5</v>
      </c>
      <c r="AZ16" s="53">
        <v>18.100000000000001</v>
      </c>
      <c r="BA16" s="106">
        <v>19.5</v>
      </c>
      <c r="BB16" s="53">
        <v>18.3</v>
      </c>
      <c r="BC16" s="117">
        <f t="shared" ref="BC16" si="4">+AD16</f>
        <v>19.5</v>
      </c>
      <c r="BD16" s="106">
        <v>18.3</v>
      </c>
      <c r="BE16" s="117">
        <f>+BB16</f>
        <v>18.3</v>
      </c>
      <c r="BF16" s="117">
        <f>+AD16</f>
        <v>19.5</v>
      </c>
      <c r="BG16" s="117">
        <f>+BB16</f>
        <v>18.3</v>
      </c>
      <c r="BH16" s="106">
        <v>19</v>
      </c>
      <c r="BI16" s="106">
        <v>19</v>
      </c>
      <c r="BJ16" s="106">
        <v>18.5</v>
      </c>
      <c r="BK16" s="106">
        <v>19</v>
      </c>
      <c r="BL16" s="106">
        <v>18.7</v>
      </c>
      <c r="BM16" s="106">
        <v>19</v>
      </c>
      <c r="BN16" s="106">
        <v>18.5</v>
      </c>
      <c r="BO16" s="106">
        <v>19</v>
      </c>
      <c r="BP16" s="106"/>
      <c r="BQ16" s="106">
        <v>19</v>
      </c>
      <c r="BR16" s="106"/>
      <c r="BS16" s="106">
        <v>19</v>
      </c>
      <c r="BT16" s="106"/>
      <c r="BU16" s="106">
        <v>19</v>
      </c>
      <c r="BV16" s="106"/>
      <c r="BW16" s="106">
        <v>19</v>
      </c>
      <c r="BX16" s="106"/>
      <c r="BY16" s="106">
        <v>19</v>
      </c>
      <c r="BZ16" s="106"/>
      <c r="CA16" s="106">
        <v>19</v>
      </c>
      <c r="CB16" s="106"/>
      <c r="CC16" s="106">
        <v>19</v>
      </c>
      <c r="CD16" s="106"/>
      <c r="CE16" s="106">
        <v>19</v>
      </c>
      <c r="CF16" s="106"/>
      <c r="CG16" s="105">
        <f>+BH16</f>
        <v>19</v>
      </c>
      <c r="CH16" s="105">
        <f t="shared" si="2"/>
        <v>19</v>
      </c>
      <c r="CI16" s="106">
        <f t="shared" si="2"/>
        <v>18.5</v>
      </c>
      <c r="CJ16" s="105">
        <f>+BH16</f>
        <v>19</v>
      </c>
      <c r="CK16" s="105">
        <v>18.5</v>
      </c>
      <c r="CL16" s="106">
        <v>17.8</v>
      </c>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v>17.3</v>
      </c>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116">
        <f>+BN16/BM16</f>
        <v>0.97368421052631582</v>
      </c>
      <c r="EU16" s="116">
        <f>CI16/CH16</f>
        <v>0.97368421052631582</v>
      </c>
      <c r="EV16" s="706">
        <f>(19.7-CK16)/(19.7-CJ16)</f>
        <v>1.7142857142857151</v>
      </c>
      <c r="EW16" s="706">
        <f>(19.7-CI16)/(19.7-CH16)</f>
        <v>1.7142857142857151</v>
      </c>
      <c r="EX16" s="706">
        <f>(19.7-CK16)/(19.7-I16)</f>
        <v>0.5</v>
      </c>
      <c r="EY16" s="708" t="s">
        <v>690</v>
      </c>
      <c r="EZ16" s="709" t="s">
        <v>329</v>
      </c>
      <c r="FA16" s="709" t="s">
        <v>329</v>
      </c>
      <c r="FB16" s="709" t="s">
        <v>344</v>
      </c>
      <c r="FC16" s="329" t="s">
        <v>345</v>
      </c>
    </row>
    <row r="17" spans="1:159" s="35" customFormat="1" ht="20.25" customHeight="1" x14ac:dyDescent="0.25">
      <c r="A17" s="76"/>
      <c r="B17" s="76"/>
      <c r="C17" s="77"/>
      <c r="D17" s="78"/>
      <c r="E17" s="79"/>
      <c r="F17" s="80"/>
      <c r="G17" s="81"/>
      <c r="H17" s="82"/>
      <c r="I17" s="77"/>
      <c r="J17" s="77"/>
      <c r="K17" s="77"/>
      <c r="L17" s="77"/>
      <c r="M17" s="77"/>
      <c r="N17" s="77"/>
      <c r="O17" s="77"/>
      <c r="P17" s="77"/>
      <c r="Q17" s="77"/>
      <c r="R17" s="77"/>
      <c r="S17" s="77"/>
      <c r="T17" s="77"/>
      <c r="U17" s="77"/>
      <c r="V17" s="83"/>
      <c r="W17" s="77"/>
      <c r="X17" s="83"/>
      <c r="Y17" s="77"/>
      <c r="Z17" s="77"/>
      <c r="AA17" s="77"/>
      <c r="AB17" s="77"/>
      <c r="AC17" s="83"/>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89"/>
      <c r="BD17" s="89"/>
      <c r="BE17" s="89"/>
      <c r="BF17" s="89"/>
      <c r="BG17" s="83"/>
      <c r="BH17" s="90"/>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4"/>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84"/>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91"/>
      <c r="EU17" s="91"/>
      <c r="EV17" s="92"/>
      <c r="EW17" s="93"/>
      <c r="EX17" s="93"/>
      <c r="EY17" s="85"/>
      <c r="EZ17" s="86"/>
      <c r="FA17" s="86"/>
      <c r="FB17" s="87"/>
      <c r="FC17" s="88"/>
    </row>
    <row r="19" spans="1:159" s="7" customFormat="1" ht="20.25" customHeight="1" x14ac:dyDescent="0.25">
      <c r="A19" s="11"/>
      <c r="B19" s="26" t="s">
        <v>34</v>
      </c>
      <c r="C19" s="24"/>
      <c r="D19" s="24"/>
      <c r="E19" s="25"/>
      <c r="F19" s="62"/>
      <c r="G19" s="25"/>
      <c r="H19" s="25"/>
      <c r="I19" s="25"/>
      <c r="J19" s="25"/>
      <c r="K19" s="25"/>
      <c r="L19" s="25"/>
      <c r="M19" s="25"/>
      <c r="N19" s="25"/>
      <c r="O19" s="25"/>
      <c r="P19" s="25"/>
      <c r="Q19" s="12"/>
      <c r="R19" s="12"/>
      <c r="S19" s="12"/>
      <c r="T19" s="12"/>
      <c r="U19" s="12"/>
      <c r="V19" s="52"/>
      <c r="W19" s="11"/>
      <c r="X19" s="11"/>
    </row>
    <row r="20" spans="1:159" ht="20.25" customHeight="1" x14ac:dyDescent="0.25">
      <c r="B20" s="323" t="s">
        <v>35</v>
      </c>
      <c r="C20" s="352" t="s">
        <v>36</v>
      </c>
      <c r="D20" s="353"/>
      <c r="E20" s="353"/>
      <c r="F20" s="353"/>
      <c r="G20" s="353"/>
      <c r="H20" s="353"/>
      <c r="I20" s="354"/>
      <c r="J20" s="680" t="s">
        <v>37</v>
      </c>
      <c r="K20" s="681"/>
      <c r="L20" s="681"/>
      <c r="M20" s="681"/>
      <c r="N20" s="681"/>
      <c r="O20" s="681"/>
      <c r="P20" s="682"/>
    </row>
    <row r="21" spans="1:159" ht="20.25" customHeight="1" x14ac:dyDescent="0.25">
      <c r="B21" s="326">
        <v>13</v>
      </c>
      <c r="C21" s="358" t="s">
        <v>89</v>
      </c>
      <c r="D21" s="358"/>
      <c r="E21" s="358"/>
      <c r="F21" s="358"/>
      <c r="G21" s="358"/>
      <c r="H21" s="358"/>
      <c r="I21" s="358"/>
      <c r="J21" s="683" t="s">
        <v>80</v>
      </c>
      <c r="K21" s="683"/>
      <c r="L21" s="683"/>
      <c r="M21" s="683"/>
      <c r="N21" s="683"/>
      <c r="O21" s="683"/>
      <c r="P21" s="683"/>
    </row>
    <row r="22" spans="1:159" ht="20.25" customHeight="1" x14ac:dyDescent="0.25">
      <c r="B22" s="326">
        <v>14</v>
      </c>
      <c r="C22" s="358" t="s">
        <v>258</v>
      </c>
      <c r="D22" s="358"/>
      <c r="E22" s="358"/>
      <c r="F22" s="358"/>
      <c r="G22" s="358"/>
      <c r="H22" s="358"/>
      <c r="I22" s="358"/>
      <c r="J22" s="684" t="s">
        <v>572</v>
      </c>
      <c r="K22" s="684"/>
      <c r="L22" s="684"/>
      <c r="M22" s="684"/>
      <c r="N22" s="684"/>
      <c r="O22" s="684"/>
      <c r="P22" s="684"/>
    </row>
  </sheetData>
  <mergeCells count="37">
    <mergeCell ref="C20:I20"/>
    <mergeCell ref="J20:P20"/>
    <mergeCell ref="C21:I21"/>
    <mergeCell ref="J21:P21"/>
    <mergeCell ref="C22:I22"/>
    <mergeCell ref="J22:P22"/>
    <mergeCell ref="A1:F3"/>
    <mergeCell ref="G1:FC1"/>
    <mergeCell ref="G2:FC2"/>
    <mergeCell ref="G3:ES3"/>
    <mergeCell ref="ET3:FC3"/>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EY9:EY11"/>
    <mergeCell ref="DP10:ES10"/>
    <mergeCell ref="ET9:ET11"/>
    <mergeCell ref="EU9:EU11"/>
    <mergeCell ref="A9:I9"/>
    <mergeCell ref="A10:I10"/>
    <mergeCell ref="J10:AC10"/>
    <mergeCell ref="AD10:BG10"/>
    <mergeCell ref="BH10:CK10"/>
    <mergeCell ref="CL10:DO10"/>
  </mergeCells>
  <phoneticPr fontId="8" type="noConversion"/>
  <dataValidations disablePrompts="1" count="1">
    <dataValidation type="list" allowBlank="1" showInputMessage="1" showErrorMessage="1" sqref="H12:H16" xr:uid="{CCF6A82D-A6D6-8740-914C-E75B34190004}">
      <formula1>#REF!</formula1>
    </dataValidation>
  </dataValidations>
  <hyperlinks>
    <hyperlink ref="FC16" r:id="rId1" xr:uid="{D284B116-FFFA-4C4F-9091-74211F81FE13}"/>
    <hyperlink ref="FC15" r:id="rId2" xr:uid="{81762577-E733-D647-BC9D-582E2C977361}"/>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76"/>
  <sheetViews>
    <sheetView showGridLines="0" zoomScale="57" zoomScaleNormal="57" zoomScaleSheetLayoutView="40" zoomScalePageLayoutView="73" workbookViewId="0">
      <selection activeCell="Z15" sqref="Z15"/>
    </sheetView>
  </sheetViews>
  <sheetFormatPr baseColWidth="10" defaultColWidth="10.7109375" defaultRowHeight="24.75" customHeight="1" x14ac:dyDescent="0.25"/>
  <cols>
    <col min="1" max="1" width="12.140625" style="287" customWidth="1"/>
    <col min="2" max="2" width="9.5703125" style="287" customWidth="1"/>
    <col min="3" max="3" width="25.85546875" style="287" customWidth="1"/>
    <col min="4" max="4" width="11.7109375" style="5" customWidth="1"/>
    <col min="5" max="5" width="11.28515625" style="5" customWidth="1"/>
    <col min="6" max="6" width="19.85546875" style="16" customWidth="1"/>
    <col min="7" max="7" width="21.7109375" style="6" customWidth="1"/>
    <col min="8" max="8" width="20.7109375" style="6" hidden="1" customWidth="1"/>
    <col min="9" max="22" width="15.7109375" style="6" hidden="1" customWidth="1"/>
    <col min="23" max="23" width="19.140625" style="6" hidden="1" customWidth="1"/>
    <col min="24" max="24" width="22.140625" style="6" hidden="1" customWidth="1"/>
    <col min="25" max="25" width="19.140625" style="6" hidden="1" customWidth="1"/>
    <col min="26" max="27" width="20.7109375" style="6" customWidth="1"/>
    <col min="28" max="28" width="20.7109375" style="6" hidden="1" customWidth="1"/>
    <col min="29" max="51" width="24.140625" style="6" hidden="1" customWidth="1"/>
    <col min="52" max="52" width="21.42578125" style="6" hidden="1" customWidth="1"/>
    <col min="53" max="55" width="20.7109375" style="6" hidden="1" customWidth="1"/>
    <col min="56" max="57" width="20.7109375" style="6" customWidth="1"/>
    <col min="58" max="58" width="21.7109375" style="6" customWidth="1"/>
    <col min="59" max="64" width="20.7109375" style="6" customWidth="1"/>
    <col min="65" max="68" width="15.7109375" style="6" hidden="1" customWidth="1"/>
    <col min="69" max="69" width="19.28515625" style="6" hidden="1" customWidth="1"/>
    <col min="70" max="82" width="15.7109375" style="6" hidden="1" customWidth="1"/>
    <col min="83" max="86" width="20.7109375" style="6" customWidth="1"/>
    <col min="87" max="87" width="22.140625" style="6" customWidth="1"/>
    <col min="88" max="88" width="22.5703125" style="6" customWidth="1"/>
    <col min="89" max="117" width="15.7109375" style="6" hidden="1" customWidth="1"/>
    <col min="118" max="118" width="22.42578125" style="6" customWidth="1"/>
    <col min="119" max="142" width="27.28515625" style="6" hidden="1" customWidth="1"/>
    <col min="143" max="147" width="15.7109375" style="6" hidden="1" customWidth="1"/>
    <col min="148" max="149" width="20.7109375" style="17" customWidth="1"/>
    <col min="150" max="152" width="20.7109375" style="1" customWidth="1"/>
    <col min="153" max="153" width="46.5703125" style="258" customWidth="1"/>
    <col min="154" max="155" width="7.5703125" style="1" customWidth="1"/>
    <col min="156" max="157" width="40.7109375" style="1" customWidth="1"/>
    <col min="158" max="158" width="6" style="1" bestFit="1" customWidth="1"/>
    <col min="159" max="160" width="10.7109375" style="1" customWidth="1"/>
    <col min="161" max="16384" width="10.7109375" style="1"/>
  </cols>
  <sheetData>
    <row r="1" spans="1:159" s="119" customFormat="1" ht="37.5" customHeight="1" x14ac:dyDescent="0.35">
      <c r="A1" s="365"/>
      <c r="B1" s="366"/>
      <c r="C1" s="366"/>
      <c r="D1" s="366"/>
      <c r="E1" s="366"/>
      <c r="F1" s="373" t="s">
        <v>38</v>
      </c>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373"/>
      <c r="DB1" s="373"/>
      <c r="DC1" s="373"/>
      <c r="DD1" s="373"/>
      <c r="DE1" s="373"/>
      <c r="DF1" s="373"/>
      <c r="DG1" s="373"/>
      <c r="DH1" s="373"/>
      <c r="DI1" s="373"/>
      <c r="DJ1" s="373"/>
      <c r="DK1" s="373"/>
      <c r="DL1" s="373"/>
      <c r="DM1" s="373"/>
      <c r="DN1" s="373"/>
      <c r="DO1" s="373"/>
      <c r="DP1" s="373"/>
      <c r="DQ1" s="373"/>
      <c r="DR1" s="373"/>
      <c r="DS1" s="373"/>
      <c r="DT1" s="373"/>
      <c r="DU1" s="373"/>
      <c r="DV1" s="373"/>
      <c r="DW1" s="373"/>
      <c r="DX1" s="373"/>
      <c r="DY1" s="373"/>
      <c r="DZ1" s="373"/>
      <c r="EA1" s="373"/>
      <c r="EB1" s="373"/>
      <c r="EC1" s="373"/>
      <c r="ED1" s="373"/>
      <c r="EE1" s="373"/>
      <c r="EF1" s="373"/>
      <c r="EG1" s="373"/>
      <c r="EH1" s="373"/>
      <c r="EI1" s="373"/>
      <c r="EJ1" s="373"/>
      <c r="EK1" s="373"/>
      <c r="EL1" s="373"/>
      <c r="EM1" s="373"/>
      <c r="EN1" s="373"/>
      <c r="EO1" s="373"/>
      <c r="EP1" s="373"/>
      <c r="EQ1" s="373"/>
      <c r="ER1" s="373"/>
      <c r="ES1" s="373"/>
      <c r="ET1" s="373"/>
      <c r="EU1" s="373"/>
      <c r="EV1" s="373"/>
      <c r="EW1" s="373"/>
      <c r="EX1" s="373"/>
      <c r="EY1" s="373"/>
      <c r="EZ1" s="373"/>
      <c r="FA1" s="374"/>
    </row>
    <row r="2" spans="1:159" s="119" customFormat="1" ht="27.75" customHeight="1" x14ac:dyDescent="0.35">
      <c r="A2" s="367"/>
      <c r="B2" s="368"/>
      <c r="C2" s="368"/>
      <c r="D2" s="368"/>
      <c r="E2" s="368"/>
      <c r="F2" s="375" t="s">
        <v>255</v>
      </c>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5"/>
      <c r="AN2" s="375"/>
      <c r="AO2" s="375"/>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375"/>
      <c r="BP2" s="375"/>
      <c r="BQ2" s="375"/>
      <c r="BR2" s="375"/>
      <c r="BS2" s="375"/>
      <c r="BT2" s="375"/>
      <c r="BU2" s="375"/>
      <c r="BV2" s="375"/>
      <c r="BW2" s="375"/>
      <c r="BX2" s="375"/>
      <c r="BY2" s="375"/>
      <c r="BZ2" s="375"/>
      <c r="CA2" s="375"/>
      <c r="CB2" s="375"/>
      <c r="CC2" s="375"/>
      <c r="CD2" s="375"/>
      <c r="CE2" s="375"/>
      <c r="CF2" s="375"/>
      <c r="CG2" s="375"/>
      <c r="CH2" s="375"/>
      <c r="CI2" s="375"/>
      <c r="CJ2" s="375"/>
      <c r="CK2" s="375"/>
      <c r="CL2" s="375"/>
      <c r="CM2" s="375"/>
      <c r="CN2" s="375"/>
      <c r="CO2" s="375"/>
      <c r="CP2" s="375"/>
      <c r="CQ2" s="375"/>
      <c r="CR2" s="375"/>
      <c r="CS2" s="375"/>
      <c r="CT2" s="375"/>
      <c r="CU2" s="375"/>
      <c r="CV2" s="375"/>
      <c r="CW2" s="375"/>
      <c r="CX2" s="375"/>
      <c r="CY2" s="375"/>
      <c r="CZ2" s="375"/>
      <c r="DA2" s="375"/>
      <c r="DB2" s="375"/>
      <c r="DC2" s="375"/>
      <c r="DD2" s="375"/>
      <c r="DE2" s="375"/>
      <c r="DF2" s="375"/>
      <c r="DG2" s="375"/>
      <c r="DH2" s="375"/>
      <c r="DI2" s="375"/>
      <c r="DJ2" s="375"/>
      <c r="DK2" s="375"/>
      <c r="DL2" s="375"/>
      <c r="DM2" s="375"/>
      <c r="DN2" s="375"/>
      <c r="DO2" s="375"/>
      <c r="DP2" s="375"/>
      <c r="DQ2" s="375"/>
      <c r="DR2" s="375"/>
      <c r="DS2" s="375"/>
      <c r="DT2" s="375"/>
      <c r="DU2" s="375"/>
      <c r="DV2" s="375"/>
      <c r="DW2" s="375"/>
      <c r="DX2" s="375"/>
      <c r="DY2" s="375"/>
      <c r="DZ2" s="375"/>
      <c r="EA2" s="375"/>
      <c r="EB2" s="375"/>
      <c r="EC2" s="375"/>
      <c r="ED2" s="375"/>
      <c r="EE2" s="375"/>
      <c r="EF2" s="375"/>
      <c r="EG2" s="375"/>
      <c r="EH2" s="375"/>
      <c r="EI2" s="375"/>
      <c r="EJ2" s="375"/>
      <c r="EK2" s="375"/>
      <c r="EL2" s="375"/>
      <c r="EM2" s="375"/>
      <c r="EN2" s="375"/>
      <c r="EO2" s="375"/>
      <c r="EP2" s="375"/>
      <c r="EQ2" s="375"/>
      <c r="ER2" s="375"/>
      <c r="ES2" s="375"/>
      <c r="ET2" s="375"/>
      <c r="EU2" s="375"/>
      <c r="EV2" s="375"/>
      <c r="EW2" s="375"/>
      <c r="EX2" s="375"/>
      <c r="EY2" s="375"/>
      <c r="EZ2" s="375"/>
      <c r="FA2" s="376"/>
    </row>
    <row r="3" spans="1:159" s="18" customFormat="1" ht="24.75" customHeight="1" x14ac:dyDescent="0.4">
      <c r="A3" s="367"/>
      <c r="B3" s="368"/>
      <c r="C3" s="368"/>
      <c r="D3" s="368"/>
      <c r="E3" s="368"/>
      <c r="F3" s="377" t="s">
        <v>47</v>
      </c>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377"/>
      <c r="BS3" s="377"/>
      <c r="BT3" s="377"/>
      <c r="BU3" s="377"/>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77"/>
      <c r="CU3" s="377"/>
      <c r="CV3" s="377"/>
      <c r="CW3" s="377"/>
      <c r="CX3" s="377"/>
      <c r="CY3" s="377"/>
      <c r="CZ3" s="377"/>
      <c r="DA3" s="377"/>
      <c r="DB3" s="377"/>
      <c r="DC3" s="377"/>
      <c r="DD3" s="377"/>
      <c r="DE3" s="377"/>
      <c r="DF3" s="377"/>
      <c r="DG3" s="377"/>
      <c r="DH3" s="377"/>
      <c r="DI3" s="377"/>
      <c r="DJ3" s="377"/>
      <c r="DK3" s="377"/>
      <c r="DL3" s="377"/>
      <c r="DM3" s="377"/>
      <c r="DN3" s="377"/>
      <c r="DO3" s="377"/>
      <c r="DP3" s="377"/>
      <c r="DQ3" s="377"/>
      <c r="DR3" s="377"/>
      <c r="DS3" s="377"/>
      <c r="DT3" s="377"/>
      <c r="DU3" s="377"/>
      <c r="DV3" s="377"/>
      <c r="DW3" s="377"/>
      <c r="DX3" s="377"/>
      <c r="DY3" s="377"/>
      <c r="DZ3" s="377"/>
      <c r="EA3" s="377"/>
      <c r="EB3" s="377"/>
      <c r="EC3" s="377"/>
      <c r="ED3" s="377"/>
      <c r="EE3" s="377"/>
      <c r="EF3" s="377"/>
      <c r="EG3" s="377"/>
      <c r="EH3" s="377"/>
      <c r="EI3" s="377"/>
      <c r="EJ3" s="377"/>
      <c r="EK3" s="377"/>
      <c r="EL3" s="377"/>
      <c r="EM3" s="377"/>
      <c r="EN3" s="377"/>
      <c r="EO3" s="377"/>
      <c r="EP3" s="377"/>
      <c r="EQ3" s="377"/>
      <c r="ER3" s="377" t="s">
        <v>239</v>
      </c>
      <c r="ES3" s="377"/>
      <c r="ET3" s="377"/>
      <c r="EU3" s="377"/>
      <c r="EV3" s="377"/>
      <c r="EW3" s="377"/>
      <c r="EX3" s="377"/>
      <c r="EY3" s="377"/>
      <c r="EZ3" s="377"/>
      <c r="FA3" s="379"/>
    </row>
    <row r="4" spans="1:159" ht="27.75" customHeight="1" x14ac:dyDescent="0.25">
      <c r="A4" s="369" t="s">
        <v>0</v>
      </c>
      <c r="B4" s="370"/>
      <c r="C4" s="370"/>
      <c r="D4" s="370"/>
      <c r="E4" s="370"/>
      <c r="F4" s="383" t="s">
        <v>259</v>
      </c>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c r="AT4" s="384"/>
      <c r="AU4" s="384"/>
      <c r="AV4" s="384"/>
      <c r="AW4" s="384"/>
      <c r="AX4" s="384"/>
      <c r="AY4" s="384"/>
      <c r="AZ4" s="384"/>
      <c r="BA4" s="384"/>
      <c r="BB4" s="384"/>
      <c r="BC4" s="384"/>
      <c r="BD4" s="384"/>
      <c r="BE4" s="384"/>
      <c r="BF4" s="384"/>
      <c r="BG4" s="384"/>
      <c r="BH4" s="384"/>
      <c r="BI4" s="384"/>
      <c r="BJ4" s="384"/>
      <c r="BK4" s="384"/>
      <c r="BL4" s="384"/>
      <c r="BM4" s="384"/>
      <c r="BN4" s="384"/>
      <c r="BO4" s="384"/>
      <c r="BP4" s="384"/>
      <c r="BQ4" s="384"/>
      <c r="BR4" s="384"/>
      <c r="BS4" s="384"/>
      <c r="BT4" s="384"/>
      <c r="BU4" s="384"/>
      <c r="BV4" s="384"/>
      <c r="BW4" s="384"/>
      <c r="BX4" s="384"/>
      <c r="BY4" s="384"/>
      <c r="BZ4" s="384"/>
      <c r="CA4" s="384"/>
      <c r="CB4" s="384"/>
      <c r="CC4" s="384"/>
      <c r="CD4" s="384"/>
      <c r="CE4" s="384"/>
      <c r="CF4" s="384"/>
      <c r="CG4" s="384"/>
      <c r="CH4" s="384"/>
      <c r="CI4" s="384"/>
      <c r="CJ4" s="384"/>
      <c r="CK4" s="384"/>
      <c r="CL4" s="384"/>
      <c r="CM4" s="384"/>
      <c r="CN4" s="384"/>
      <c r="CO4" s="384"/>
      <c r="CP4" s="384"/>
      <c r="CQ4" s="384"/>
      <c r="CR4" s="384"/>
      <c r="CS4" s="384"/>
      <c r="CT4" s="384"/>
      <c r="CU4" s="384"/>
      <c r="CV4" s="384"/>
      <c r="CW4" s="384"/>
      <c r="CX4" s="384"/>
      <c r="CY4" s="384"/>
      <c r="CZ4" s="384"/>
      <c r="DA4" s="384"/>
      <c r="DB4" s="384"/>
      <c r="DC4" s="384"/>
      <c r="DD4" s="384"/>
      <c r="DE4" s="384"/>
      <c r="DF4" s="384"/>
      <c r="DG4" s="384"/>
      <c r="DH4" s="384"/>
      <c r="DI4" s="384"/>
      <c r="DJ4" s="384"/>
      <c r="DK4" s="384"/>
      <c r="DL4" s="384"/>
      <c r="DM4" s="384"/>
      <c r="DN4" s="384"/>
      <c r="DO4" s="384"/>
      <c r="DP4" s="384"/>
      <c r="DQ4" s="384"/>
      <c r="DR4" s="384"/>
      <c r="DS4" s="384"/>
      <c r="DT4" s="384"/>
      <c r="DU4" s="384"/>
      <c r="DV4" s="384"/>
      <c r="DW4" s="384"/>
      <c r="DX4" s="384"/>
      <c r="DY4" s="384"/>
      <c r="DZ4" s="384"/>
      <c r="EA4" s="384"/>
      <c r="EB4" s="384"/>
      <c r="EC4" s="384"/>
      <c r="ED4" s="384"/>
      <c r="EE4" s="384"/>
      <c r="EF4" s="384"/>
      <c r="EG4" s="384"/>
      <c r="EH4" s="384"/>
      <c r="EI4" s="384"/>
      <c r="EJ4" s="384"/>
      <c r="EK4" s="384"/>
      <c r="EL4" s="384"/>
      <c r="EM4" s="384"/>
      <c r="EN4" s="384"/>
      <c r="EO4" s="384"/>
      <c r="EP4" s="384"/>
      <c r="EQ4" s="384"/>
      <c r="ER4" s="384"/>
      <c r="ES4" s="384"/>
      <c r="ET4" s="384"/>
      <c r="EU4" s="384"/>
      <c r="EV4" s="384"/>
      <c r="EW4" s="384"/>
      <c r="EX4" s="384"/>
      <c r="EY4" s="384"/>
      <c r="EZ4" s="384"/>
      <c r="FA4" s="385"/>
      <c r="FB4" s="118"/>
    </row>
    <row r="5" spans="1:159" ht="29.25" customHeight="1" thickBot="1" x14ac:dyDescent="0.3">
      <c r="A5" s="371" t="s">
        <v>2</v>
      </c>
      <c r="B5" s="372"/>
      <c r="C5" s="372"/>
      <c r="D5" s="372"/>
      <c r="E5" s="372"/>
      <c r="F5" s="380" t="s">
        <v>260</v>
      </c>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381"/>
      <c r="CO5" s="381"/>
      <c r="CP5" s="381"/>
      <c r="CQ5" s="381"/>
      <c r="CR5" s="381"/>
      <c r="CS5" s="381"/>
      <c r="CT5" s="381"/>
      <c r="CU5" s="381"/>
      <c r="CV5" s="381"/>
      <c r="CW5" s="381"/>
      <c r="CX5" s="381"/>
      <c r="CY5" s="381"/>
      <c r="CZ5" s="381"/>
      <c r="DA5" s="381"/>
      <c r="DB5" s="381"/>
      <c r="DC5" s="381"/>
      <c r="DD5" s="381"/>
      <c r="DE5" s="381"/>
      <c r="DF5" s="381"/>
      <c r="DG5" s="381"/>
      <c r="DH5" s="381"/>
      <c r="DI5" s="381"/>
      <c r="DJ5" s="381"/>
      <c r="DK5" s="381"/>
      <c r="DL5" s="381"/>
      <c r="DM5" s="381"/>
      <c r="DN5" s="381"/>
      <c r="DO5" s="381"/>
      <c r="DP5" s="381"/>
      <c r="DQ5" s="381"/>
      <c r="DR5" s="381"/>
      <c r="DS5" s="381"/>
      <c r="DT5" s="381"/>
      <c r="DU5" s="381"/>
      <c r="DV5" s="381"/>
      <c r="DW5" s="381"/>
      <c r="DX5" s="381"/>
      <c r="DY5" s="381"/>
      <c r="DZ5" s="381"/>
      <c r="EA5" s="381"/>
      <c r="EB5" s="381"/>
      <c r="EC5" s="381"/>
      <c r="ED5" s="381"/>
      <c r="EE5" s="381"/>
      <c r="EF5" s="381"/>
      <c r="EG5" s="381"/>
      <c r="EH5" s="381"/>
      <c r="EI5" s="381"/>
      <c r="EJ5" s="381"/>
      <c r="EK5" s="381"/>
      <c r="EL5" s="381"/>
      <c r="EM5" s="381"/>
      <c r="EN5" s="381"/>
      <c r="EO5" s="381"/>
      <c r="EP5" s="381"/>
      <c r="EQ5" s="381"/>
      <c r="ER5" s="381"/>
      <c r="ES5" s="381"/>
      <c r="ET5" s="381"/>
      <c r="EU5" s="381"/>
      <c r="EV5" s="381"/>
      <c r="EW5" s="381"/>
      <c r="EX5" s="381"/>
      <c r="EY5" s="381"/>
      <c r="EZ5" s="381"/>
      <c r="FA5" s="382"/>
      <c r="FB5" s="118"/>
    </row>
    <row r="6" spans="1:159" ht="32.25" customHeight="1" thickBot="1" x14ac:dyDescent="0.3">
      <c r="A6" s="286"/>
      <c r="B6" s="286"/>
      <c r="C6" s="286"/>
      <c r="D6" s="20"/>
      <c r="E6" s="20"/>
      <c r="F6" s="21"/>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172"/>
      <c r="BB6" s="172">
        <f>BA25-BB25</f>
        <v>0</v>
      </c>
      <c r="BC6" s="17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3"/>
      <c r="EU6" s="3"/>
      <c r="EV6" s="3"/>
      <c r="EW6" s="257"/>
      <c r="EX6" s="3"/>
      <c r="EY6" s="3"/>
      <c r="EZ6" s="3"/>
      <c r="FA6" s="3"/>
    </row>
    <row r="7" spans="1:159" s="280" customFormat="1" ht="24.75" customHeight="1" x14ac:dyDescent="0.25">
      <c r="A7" s="570" t="s">
        <v>88</v>
      </c>
      <c r="B7" s="571"/>
      <c r="C7" s="571"/>
      <c r="D7" s="571"/>
      <c r="E7" s="571"/>
      <c r="F7" s="571"/>
      <c r="G7" s="571"/>
      <c r="H7" s="572" t="s">
        <v>227</v>
      </c>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572"/>
      <c r="AV7" s="572"/>
      <c r="AW7" s="572"/>
      <c r="AX7" s="572"/>
      <c r="AY7" s="572"/>
      <c r="AZ7" s="572"/>
      <c r="BA7" s="572"/>
      <c r="BB7" s="572"/>
      <c r="BC7" s="572"/>
      <c r="BD7" s="572"/>
      <c r="BE7" s="572"/>
      <c r="BF7" s="572"/>
      <c r="BG7" s="572"/>
      <c r="BH7" s="572"/>
      <c r="BI7" s="572"/>
      <c r="BJ7" s="572"/>
      <c r="BK7" s="572"/>
      <c r="BL7" s="572"/>
      <c r="BM7" s="572"/>
      <c r="BN7" s="572"/>
      <c r="BO7" s="572"/>
      <c r="BP7" s="572"/>
      <c r="BQ7" s="572"/>
      <c r="BR7" s="572"/>
      <c r="BS7" s="572"/>
      <c r="BT7" s="572"/>
      <c r="BU7" s="572"/>
      <c r="BV7" s="572"/>
      <c r="BW7" s="572"/>
      <c r="BX7" s="572"/>
      <c r="BY7" s="572"/>
      <c r="BZ7" s="572"/>
      <c r="CA7" s="572"/>
      <c r="CB7" s="572"/>
      <c r="CC7" s="572"/>
      <c r="CD7" s="572"/>
      <c r="CE7" s="572"/>
      <c r="CF7" s="572"/>
      <c r="CG7" s="572"/>
      <c r="CH7" s="572"/>
      <c r="CI7" s="572"/>
      <c r="CJ7" s="572"/>
      <c r="CK7" s="572"/>
      <c r="CL7" s="572"/>
      <c r="CM7" s="572"/>
      <c r="CN7" s="572"/>
      <c r="CO7" s="572"/>
      <c r="CP7" s="572"/>
      <c r="CQ7" s="572"/>
      <c r="CR7" s="572"/>
      <c r="CS7" s="572"/>
      <c r="CT7" s="572"/>
      <c r="CU7" s="572"/>
      <c r="CV7" s="572"/>
      <c r="CW7" s="572"/>
      <c r="CX7" s="572"/>
      <c r="CY7" s="572"/>
      <c r="CZ7" s="572"/>
      <c r="DA7" s="572"/>
      <c r="DB7" s="572"/>
      <c r="DC7" s="572"/>
      <c r="DD7" s="572"/>
      <c r="DE7" s="572"/>
      <c r="DF7" s="572"/>
      <c r="DG7" s="572"/>
      <c r="DH7" s="572"/>
      <c r="DI7" s="572"/>
      <c r="DJ7" s="572"/>
      <c r="DK7" s="572"/>
      <c r="DL7" s="572"/>
      <c r="DM7" s="572"/>
      <c r="DN7" s="572"/>
      <c r="DO7" s="572"/>
      <c r="DP7" s="572"/>
      <c r="DQ7" s="572"/>
      <c r="DR7" s="572"/>
      <c r="DS7" s="572"/>
      <c r="DT7" s="572"/>
      <c r="DU7" s="572"/>
      <c r="DV7" s="572"/>
      <c r="DW7" s="572"/>
      <c r="DX7" s="572"/>
      <c r="DY7" s="572"/>
      <c r="DZ7" s="572"/>
      <c r="EA7" s="572"/>
      <c r="EB7" s="572"/>
      <c r="EC7" s="572"/>
      <c r="ED7" s="572"/>
      <c r="EE7" s="572"/>
      <c r="EF7" s="572"/>
      <c r="EG7" s="572"/>
      <c r="EH7" s="572"/>
      <c r="EI7" s="572"/>
      <c r="EJ7" s="572"/>
      <c r="EK7" s="572"/>
      <c r="EL7" s="572"/>
      <c r="EM7" s="572"/>
      <c r="EN7" s="572"/>
      <c r="EO7" s="572"/>
      <c r="EP7" s="572"/>
      <c r="EQ7" s="573"/>
      <c r="ER7" s="561" t="s">
        <v>220</v>
      </c>
      <c r="ES7" s="549" t="s">
        <v>221</v>
      </c>
      <c r="ET7" s="550" t="s">
        <v>222</v>
      </c>
      <c r="EU7" s="551" t="s">
        <v>602</v>
      </c>
      <c r="EV7" s="552" t="s">
        <v>244</v>
      </c>
      <c r="EW7" s="364" t="s">
        <v>245</v>
      </c>
      <c r="EX7" s="364" t="s">
        <v>246</v>
      </c>
      <c r="EY7" s="364" t="s">
        <v>247</v>
      </c>
      <c r="EZ7" s="364" t="s">
        <v>249</v>
      </c>
      <c r="FA7" s="364" t="s">
        <v>248</v>
      </c>
    </row>
    <row r="8" spans="1:159" s="280" customFormat="1" ht="24.75" customHeight="1" x14ac:dyDescent="0.25">
      <c r="A8" s="574"/>
      <c r="B8" s="364"/>
      <c r="C8" s="364"/>
      <c r="D8" s="364"/>
      <c r="E8" s="364"/>
      <c r="F8" s="364"/>
      <c r="G8" s="364"/>
      <c r="H8" s="378" t="s">
        <v>64</v>
      </c>
      <c r="I8" s="378"/>
      <c r="J8" s="378"/>
      <c r="K8" s="378"/>
      <c r="L8" s="378"/>
      <c r="M8" s="378"/>
      <c r="N8" s="378"/>
      <c r="O8" s="378"/>
      <c r="P8" s="378"/>
      <c r="Q8" s="378"/>
      <c r="R8" s="378"/>
      <c r="S8" s="378"/>
      <c r="T8" s="378"/>
      <c r="U8" s="378"/>
      <c r="V8" s="378"/>
      <c r="W8" s="378"/>
      <c r="X8" s="378"/>
      <c r="Y8" s="378"/>
      <c r="Z8" s="378"/>
      <c r="AA8" s="378"/>
      <c r="AB8" s="378" t="s">
        <v>562</v>
      </c>
      <c r="AC8" s="378"/>
      <c r="AD8" s="378"/>
      <c r="AE8" s="378"/>
      <c r="AF8" s="378"/>
      <c r="AG8" s="378"/>
      <c r="AH8" s="378"/>
      <c r="AI8" s="378"/>
      <c r="AJ8" s="378"/>
      <c r="AK8" s="378"/>
      <c r="AL8" s="378"/>
      <c r="AM8" s="378"/>
      <c r="AN8" s="378"/>
      <c r="AO8" s="378"/>
      <c r="AP8" s="378"/>
      <c r="AQ8" s="378"/>
      <c r="AR8" s="378"/>
      <c r="AS8" s="378"/>
      <c r="AT8" s="378"/>
      <c r="AU8" s="378"/>
      <c r="AV8" s="378"/>
      <c r="AW8" s="378"/>
      <c r="AX8" s="378"/>
      <c r="AY8" s="378"/>
      <c r="AZ8" s="378"/>
      <c r="BA8" s="378"/>
      <c r="BB8" s="378"/>
      <c r="BC8" s="378"/>
      <c r="BD8" s="378"/>
      <c r="BE8" s="378"/>
      <c r="BF8" s="378" t="s">
        <v>61</v>
      </c>
      <c r="BG8" s="378"/>
      <c r="BH8" s="378"/>
      <c r="BI8" s="378"/>
      <c r="BJ8" s="378"/>
      <c r="BK8" s="378"/>
      <c r="BL8" s="378"/>
      <c r="BM8" s="378"/>
      <c r="BN8" s="378"/>
      <c r="BO8" s="378"/>
      <c r="BP8" s="378"/>
      <c r="BQ8" s="378"/>
      <c r="BR8" s="378"/>
      <c r="BS8" s="378"/>
      <c r="BT8" s="378"/>
      <c r="BU8" s="378"/>
      <c r="BV8" s="378"/>
      <c r="BW8" s="378"/>
      <c r="BX8" s="378"/>
      <c r="BY8" s="378"/>
      <c r="BZ8" s="378"/>
      <c r="CA8" s="378"/>
      <c r="CB8" s="378"/>
      <c r="CC8" s="378"/>
      <c r="CD8" s="378"/>
      <c r="CE8" s="378"/>
      <c r="CF8" s="378"/>
      <c r="CG8" s="378"/>
      <c r="CH8" s="378"/>
      <c r="CI8" s="378"/>
      <c r="CJ8" s="378" t="s">
        <v>62</v>
      </c>
      <c r="CK8" s="378"/>
      <c r="CL8" s="378"/>
      <c r="CM8" s="378"/>
      <c r="CN8" s="378"/>
      <c r="CO8" s="378"/>
      <c r="CP8" s="378"/>
      <c r="CQ8" s="378"/>
      <c r="CR8" s="378"/>
      <c r="CS8" s="378"/>
      <c r="CT8" s="378"/>
      <c r="CU8" s="378"/>
      <c r="CV8" s="378"/>
      <c r="CW8" s="378"/>
      <c r="CX8" s="378"/>
      <c r="CY8" s="378"/>
      <c r="CZ8" s="378"/>
      <c r="DA8" s="378"/>
      <c r="DB8" s="378"/>
      <c r="DC8" s="378"/>
      <c r="DD8" s="378"/>
      <c r="DE8" s="378"/>
      <c r="DF8" s="378"/>
      <c r="DG8" s="378"/>
      <c r="DH8" s="378"/>
      <c r="DI8" s="378"/>
      <c r="DJ8" s="378"/>
      <c r="DK8" s="378"/>
      <c r="DL8" s="378"/>
      <c r="DM8" s="378"/>
      <c r="DN8" s="378" t="s">
        <v>63</v>
      </c>
      <c r="DO8" s="378"/>
      <c r="DP8" s="378"/>
      <c r="DQ8" s="378"/>
      <c r="DR8" s="378"/>
      <c r="DS8" s="378"/>
      <c r="DT8" s="378"/>
      <c r="DU8" s="378"/>
      <c r="DV8" s="378"/>
      <c r="DW8" s="378"/>
      <c r="DX8" s="378"/>
      <c r="DY8" s="378"/>
      <c r="DZ8" s="378"/>
      <c r="EA8" s="378"/>
      <c r="EB8" s="378"/>
      <c r="EC8" s="378"/>
      <c r="ED8" s="378"/>
      <c r="EE8" s="378"/>
      <c r="EF8" s="378"/>
      <c r="EG8" s="378"/>
      <c r="EH8" s="378"/>
      <c r="EI8" s="378"/>
      <c r="EJ8" s="378"/>
      <c r="EK8" s="378"/>
      <c r="EL8" s="378"/>
      <c r="EM8" s="378"/>
      <c r="EN8" s="378"/>
      <c r="EO8" s="378"/>
      <c r="EP8" s="378"/>
      <c r="EQ8" s="575"/>
      <c r="ER8" s="562"/>
      <c r="ES8" s="553"/>
      <c r="ET8" s="554"/>
      <c r="EU8" s="555"/>
      <c r="EV8" s="556"/>
      <c r="EW8" s="364"/>
      <c r="EX8" s="364"/>
      <c r="EY8" s="364"/>
      <c r="EZ8" s="364"/>
      <c r="FA8" s="364"/>
    </row>
    <row r="9" spans="1:159" s="280" customFormat="1" ht="119.25" customHeight="1" thickBot="1" x14ac:dyDescent="0.3">
      <c r="A9" s="576" t="s">
        <v>81</v>
      </c>
      <c r="B9" s="577" t="s">
        <v>82</v>
      </c>
      <c r="C9" s="577" t="s">
        <v>83</v>
      </c>
      <c r="D9" s="577" t="s">
        <v>84</v>
      </c>
      <c r="E9" s="577" t="s">
        <v>85</v>
      </c>
      <c r="F9" s="578" t="s">
        <v>86</v>
      </c>
      <c r="G9" s="579" t="s">
        <v>87</v>
      </c>
      <c r="H9" s="580" t="s">
        <v>280</v>
      </c>
      <c r="I9" s="581" t="s">
        <v>281</v>
      </c>
      <c r="J9" s="578" t="s">
        <v>282</v>
      </c>
      <c r="K9" s="581" t="s">
        <v>283</v>
      </c>
      <c r="L9" s="578" t="s">
        <v>284</v>
      </c>
      <c r="M9" s="581" t="s">
        <v>285</v>
      </c>
      <c r="N9" s="578" t="s">
        <v>286</v>
      </c>
      <c r="O9" s="581" t="s">
        <v>287</v>
      </c>
      <c r="P9" s="578" t="s">
        <v>288</v>
      </c>
      <c r="Q9" s="581" t="s">
        <v>289</v>
      </c>
      <c r="R9" s="578" t="s">
        <v>290</v>
      </c>
      <c r="S9" s="581" t="s">
        <v>291</v>
      </c>
      <c r="T9" s="578" t="s">
        <v>292</v>
      </c>
      <c r="U9" s="581" t="s">
        <v>293</v>
      </c>
      <c r="V9" s="578" t="s">
        <v>294</v>
      </c>
      <c r="W9" s="579" t="s">
        <v>217</v>
      </c>
      <c r="X9" s="582" t="s">
        <v>250</v>
      </c>
      <c r="Y9" s="578" t="s">
        <v>251</v>
      </c>
      <c r="Z9" s="581" t="s">
        <v>252</v>
      </c>
      <c r="AA9" s="578" t="s">
        <v>253</v>
      </c>
      <c r="AB9" s="580" t="s">
        <v>280</v>
      </c>
      <c r="AC9" s="581" t="s">
        <v>295</v>
      </c>
      <c r="AD9" s="578" t="s">
        <v>296</v>
      </c>
      <c r="AE9" s="581" t="s">
        <v>297</v>
      </c>
      <c r="AF9" s="578" t="s">
        <v>298</v>
      </c>
      <c r="AG9" s="581" t="s">
        <v>299</v>
      </c>
      <c r="AH9" s="578" t="s">
        <v>300</v>
      </c>
      <c r="AI9" s="581" t="s">
        <v>301</v>
      </c>
      <c r="AJ9" s="578" t="s">
        <v>302</v>
      </c>
      <c r="AK9" s="581" t="s">
        <v>303</v>
      </c>
      <c r="AL9" s="578" t="s">
        <v>304</v>
      </c>
      <c r="AM9" s="581" t="s">
        <v>281</v>
      </c>
      <c r="AN9" s="578" t="s">
        <v>282</v>
      </c>
      <c r="AO9" s="581" t="s">
        <v>283</v>
      </c>
      <c r="AP9" s="578" t="s">
        <v>284</v>
      </c>
      <c r="AQ9" s="581" t="s">
        <v>285</v>
      </c>
      <c r="AR9" s="578" t="s">
        <v>286</v>
      </c>
      <c r="AS9" s="581" t="s">
        <v>287</v>
      </c>
      <c r="AT9" s="578" t="s">
        <v>288</v>
      </c>
      <c r="AU9" s="581" t="s">
        <v>289</v>
      </c>
      <c r="AV9" s="578" t="s">
        <v>290</v>
      </c>
      <c r="AW9" s="581" t="s">
        <v>291</v>
      </c>
      <c r="AX9" s="578" t="s">
        <v>292</v>
      </c>
      <c r="AY9" s="581" t="s">
        <v>293</v>
      </c>
      <c r="AZ9" s="578" t="s">
        <v>294</v>
      </c>
      <c r="BA9" s="579" t="s">
        <v>217</v>
      </c>
      <c r="BB9" s="582" t="s">
        <v>560</v>
      </c>
      <c r="BC9" s="578" t="s">
        <v>559</v>
      </c>
      <c r="BD9" s="581" t="s">
        <v>558</v>
      </c>
      <c r="BE9" s="578" t="s">
        <v>557</v>
      </c>
      <c r="BF9" s="580" t="s">
        <v>280</v>
      </c>
      <c r="BG9" s="581" t="s">
        <v>295</v>
      </c>
      <c r="BH9" s="578" t="s">
        <v>296</v>
      </c>
      <c r="BI9" s="581" t="s">
        <v>297</v>
      </c>
      <c r="BJ9" s="578" t="s">
        <v>298</v>
      </c>
      <c r="BK9" s="581" t="s">
        <v>299</v>
      </c>
      <c r="BL9" s="578" t="s">
        <v>300</v>
      </c>
      <c r="BM9" s="581" t="s">
        <v>301</v>
      </c>
      <c r="BN9" s="578" t="s">
        <v>302</v>
      </c>
      <c r="BO9" s="581" t="s">
        <v>303</v>
      </c>
      <c r="BP9" s="578" t="s">
        <v>304</v>
      </c>
      <c r="BQ9" s="581" t="s">
        <v>281</v>
      </c>
      <c r="BR9" s="578" t="s">
        <v>282</v>
      </c>
      <c r="BS9" s="581" t="s">
        <v>283</v>
      </c>
      <c r="BT9" s="578" t="s">
        <v>284</v>
      </c>
      <c r="BU9" s="581" t="s">
        <v>285</v>
      </c>
      <c r="BV9" s="578" t="s">
        <v>286</v>
      </c>
      <c r="BW9" s="581" t="s">
        <v>287</v>
      </c>
      <c r="BX9" s="578" t="s">
        <v>288</v>
      </c>
      <c r="BY9" s="581" t="s">
        <v>289</v>
      </c>
      <c r="BZ9" s="578" t="s">
        <v>290</v>
      </c>
      <c r="CA9" s="581" t="s">
        <v>291</v>
      </c>
      <c r="CB9" s="578" t="s">
        <v>292</v>
      </c>
      <c r="CC9" s="581" t="s">
        <v>293</v>
      </c>
      <c r="CD9" s="578" t="s">
        <v>294</v>
      </c>
      <c r="CE9" s="583" t="s">
        <v>217</v>
      </c>
      <c r="CF9" s="584" t="s">
        <v>223</v>
      </c>
      <c r="CG9" s="585" t="s">
        <v>224</v>
      </c>
      <c r="CH9" s="586" t="s">
        <v>225</v>
      </c>
      <c r="CI9" s="585" t="s">
        <v>226</v>
      </c>
      <c r="CJ9" s="580" t="s">
        <v>280</v>
      </c>
      <c r="CK9" s="581" t="s">
        <v>295</v>
      </c>
      <c r="CL9" s="578" t="s">
        <v>296</v>
      </c>
      <c r="CM9" s="581" t="s">
        <v>297</v>
      </c>
      <c r="CN9" s="578" t="s">
        <v>298</v>
      </c>
      <c r="CO9" s="581" t="s">
        <v>299</v>
      </c>
      <c r="CP9" s="578" t="s">
        <v>300</v>
      </c>
      <c r="CQ9" s="581" t="s">
        <v>301</v>
      </c>
      <c r="CR9" s="578" t="s">
        <v>302</v>
      </c>
      <c r="CS9" s="581" t="s">
        <v>303</v>
      </c>
      <c r="CT9" s="578" t="s">
        <v>304</v>
      </c>
      <c r="CU9" s="581" t="s">
        <v>281</v>
      </c>
      <c r="CV9" s="578" t="s">
        <v>282</v>
      </c>
      <c r="CW9" s="581" t="s">
        <v>283</v>
      </c>
      <c r="CX9" s="578" t="s">
        <v>284</v>
      </c>
      <c r="CY9" s="581" t="s">
        <v>285</v>
      </c>
      <c r="CZ9" s="578" t="s">
        <v>286</v>
      </c>
      <c r="DA9" s="581" t="s">
        <v>287</v>
      </c>
      <c r="DB9" s="578" t="s">
        <v>288</v>
      </c>
      <c r="DC9" s="581" t="s">
        <v>289</v>
      </c>
      <c r="DD9" s="578" t="s">
        <v>290</v>
      </c>
      <c r="DE9" s="581" t="s">
        <v>291</v>
      </c>
      <c r="DF9" s="578" t="s">
        <v>292</v>
      </c>
      <c r="DG9" s="581" t="s">
        <v>293</v>
      </c>
      <c r="DH9" s="578" t="s">
        <v>294</v>
      </c>
      <c r="DI9" s="579" t="s">
        <v>217</v>
      </c>
      <c r="DJ9" s="582" t="s">
        <v>229</v>
      </c>
      <c r="DK9" s="578" t="s">
        <v>230</v>
      </c>
      <c r="DL9" s="582" t="s">
        <v>231</v>
      </c>
      <c r="DM9" s="578" t="s">
        <v>232</v>
      </c>
      <c r="DN9" s="580" t="s">
        <v>280</v>
      </c>
      <c r="DO9" s="581" t="s">
        <v>295</v>
      </c>
      <c r="DP9" s="578" t="s">
        <v>296</v>
      </c>
      <c r="DQ9" s="581" t="s">
        <v>297</v>
      </c>
      <c r="DR9" s="578" t="s">
        <v>298</v>
      </c>
      <c r="DS9" s="581" t="s">
        <v>299</v>
      </c>
      <c r="DT9" s="578" t="s">
        <v>300</v>
      </c>
      <c r="DU9" s="581" t="s">
        <v>301</v>
      </c>
      <c r="DV9" s="578" t="s">
        <v>302</v>
      </c>
      <c r="DW9" s="581" t="s">
        <v>303</v>
      </c>
      <c r="DX9" s="578" t="s">
        <v>304</v>
      </c>
      <c r="DY9" s="581" t="s">
        <v>281</v>
      </c>
      <c r="DZ9" s="578" t="s">
        <v>282</v>
      </c>
      <c r="EA9" s="581" t="s">
        <v>283</v>
      </c>
      <c r="EB9" s="578" t="s">
        <v>284</v>
      </c>
      <c r="EC9" s="581" t="s">
        <v>285</v>
      </c>
      <c r="ED9" s="578" t="s">
        <v>286</v>
      </c>
      <c r="EE9" s="581" t="s">
        <v>287</v>
      </c>
      <c r="EF9" s="578" t="s">
        <v>288</v>
      </c>
      <c r="EG9" s="581" t="s">
        <v>289</v>
      </c>
      <c r="EH9" s="578" t="s">
        <v>290</v>
      </c>
      <c r="EI9" s="581" t="s">
        <v>291</v>
      </c>
      <c r="EJ9" s="578" t="s">
        <v>292</v>
      </c>
      <c r="EK9" s="581" t="s">
        <v>293</v>
      </c>
      <c r="EL9" s="578" t="s">
        <v>294</v>
      </c>
      <c r="EM9" s="579" t="s">
        <v>217</v>
      </c>
      <c r="EN9" s="582" t="s">
        <v>233</v>
      </c>
      <c r="EO9" s="578" t="s">
        <v>234</v>
      </c>
      <c r="EP9" s="582" t="s">
        <v>235</v>
      </c>
      <c r="EQ9" s="587" t="s">
        <v>236</v>
      </c>
      <c r="ER9" s="563"/>
      <c r="ES9" s="557"/>
      <c r="ET9" s="558"/>
      <c r="EU9" s="559"/>
      <c r="EV9" s="560"/>
      <c r="EW9" s="364"/>
      <c r="EX9" s="364"/>
      <c r="EY9" s="364"/>
      <c r="EZ9" s="364"/>
      <c r="FA9" s="364"/>
    </row>
    <row r="10" spans="1:159" s="126" customFormat="1" ht="24.75" customHeight="1" x14ac:dyDescent="0.25">
      <c r="A10" s="457" t="s">
        <v>305</v>
      </c>
      <c r="B10" s="457">
        <v>1</v>
      </c>
      <c r="C10" s="457" t="s">
        <v>309</v>
      </c>
      <c r="D10" s="457" t="s">
        <v>271</v>
      </c>
      <c r="E10" s="457">
        <v>272</v>
      </c>
      <c r="F10" s="564" t="s">
        <v>40</v>
      </c>
      <c r="G10" s="565">
        <v>1</v>
      </c>
      <c r="H10" s="304">
        <v>1</v>
      </c>
      <c r="I10" s="566"/>
      <c r="J10" s="566"/>
      <c r="K10" s="566"/>
      <c r="L10" s="566"/>
      <c r="M10" s="566"/>
      <c r="N10" s="567"/>
      <c r="O10" s="566"/>
      <c r="P10" s="567"/>
      <c r="Q10" s="566"/>
      <c r="R10" s="568"/>
      <c r="S10" s="566"/>
      <c r="T10" s="567"/>
      <c r="U10" s="566"/>
      <c r="V10" s="566"/>
      <c r="W10" s="565">
        <v>1</v>
      </c>
      <c r="X10" s="565">
        <v>1</v>
      </c>
      <c r="Y10" s="565">
        <v>1</v>
      </c>
      <c r="Z10" s="565">
        <v>1</v>
      </c>
      <c r="AA10" s="565">
        <v>1</v>
      </c>
      <c r="AB10" s="565">
        <v>1</v>
      </c>
      <c r="AC10" s="565">
        <v>1</v>
      </c>
      <c r="AD10" s="565">
        <v>0.86</v>
      </c>
      <c r="AE10" s="565">
        <v>1</v>
      </c>
      <c r="AF10" s="565">
        <v>0.75</v>
      </c>
      <c r="AG10" s="565">
        <v>1</v>
      </c>
      <c r="AH10" s="565">
        <v>0.8</v>
      </c>
      <c r="AI10" s="565">
        <v>1</v>
      </c>
      <c r="AJ10" s="565">
        <v>1</v>
      </c>
      <c r="AK10" s="565">
        <v>1</v>
      </c>
      <c r="AL10" s="565">
        <v>1</v>
      </c>
      <c r="AM10" s="565">
        <v>1</v>
      </c>
      <c r="AN10" s="565">
        <v>1</v>
      </c>
      <c r="AO10" s="565">
        <v>1</v>
      </c>
      <c r="AP10" s="565">
        <v>0.95</v>
      </c>
      <c r="AQ10" s="565">
        <v>1</v>
      </c>
      <c r="AR10" s="565">
        <v>0.95</v>
      </c>
      <c r="AS10" s="565">
        <v>1</v>
      </c>
      <c r="AT10" s="565">
        <v>0.98</v>
      </c>
      <c r="AU10" s="565">
        <v>1</v>
      </c>
      <c r="AV10" s="565">
        <v>1</v>
      </c>
      <c r="AW10" s="565">
        <v>1</v>
      </c>
      <c r="AX10" s="565">
        <v>1</v>
      </c>
      <c r="AY10" s="565">
        <v>1</v>
      </c>
      <c r="AZ10" s="565">
        <v>1</v>
      </c>
      <c r="BA10" s="565">
        <f>+AB10</f>
        <v>1</v>
      </c>
      <c r="BB10" s="565">
        <f>+AY10</f>
        <v>1</v>
      </c>
      <c r="BC10" s="565">
        <f>+AZ10</f>
        <v>1</v>
      </c>
      <c r="BD10" s="565">
        <f>+G10</f>
        <v>1</v>
      </c>
      <c r="BE10" s="565">
        <f>+AZ10</f>
        <v>1</v>
      </c>
      <c r="BF10" s="565">
        <v>1</v>
      </c>
      <c r="BG10" s="565">
        <v>1</v>
      </c>
      <c r="BH10" s="565">
        <v>1</v>
      </c>
      <c r="BI10" s="565">
        <v>1</v>
      </c>
      <c r="BJ10" s="565">
        <v>1</v>
      </c>
      <c r="BK10" s="565">
        <v>1</v>
      </c>
      <c r="BL10" s="565">
        <v>1</v>
      </c>
      <c r="BM10" s="565">
        <v>1</v>
      </c>
      <c r="BN10" s="566"/>
      <c r="BO10" s="565">
        <v>1</v>
      </c>
      <c r="BP10" s="566"/>
      <c r="BQ10" s="565">
        <v>1</v>
      </c>
      <c r="BR10" s="566"/>
      <c r="BS10" s="565">
        <v>1</v>
      </c>
      <c r="BT10" s="566"/>
      <c r="BU10" s="565">
        <v>1</v>
      </c>
      <c r="BV10" s="566"/>
      <c r="BW10" s="565">
        <v>1</v>
      </c>
      <c r="BX10" s="566"/>
      <c r="BY10" s="565">
        <v>1</v>
      </c>
      <c r="BZ10" s="566"/>
      <c r="CA10" s="565">
        <v>1</v>
      </c>
      <c r="CB10" s="566"/>
      <c r="CC10" s="565">
        <v>1</v>
      </c>
      <c r="CD10" s="566"/>
      <c r="CE10" s="565">
        <f>+BF10</f>
        <v>1</v>
      </c>
      <c r="CF10" s="565">
        <f>+BK10</f>
        <v>1</v>
      </c>
      <c r="CG10" s="565">
        <f>+BL10</f>
        <v>1</v>
      </c>
      <c r="CH10" s="565">
        <f>+BK10</f>
        <v>1</v>
      </c>
      <c r="CI10" s="565">
        <f>+BL10</f>
        <v>1</v>
      </c>
      <c r="CJ10" s="565">
        <v>1</v>
      </c>
      <c r="CK10" s="566"/>
      <c r="CL10" s="566"/>
      <c r="CM10" s="566"/>
      <c r="CN10" s="566"/>
      <c r="CO10" s="566"/>
      <c r="CP10" s="566"/>
      <c r="CQ10" s="566"/>
      <c r="CR10" s="566"/>
      <c r="CS10" s="566"/>
      <c r="CT10" s="566"/>
      <c r="CU10" s="566"/>
      <c r="CV10" s="566"/>
      <c r="CW10" s="566"/>
      <c r="CX10" s="566"/>
      <c r="CY10" s="566"/>
      <c r="CZ10" s="566"/>
      <c r="DA10" s="566"/>
      <c r="DB10" s="566"/>
      <c r="DC10" s="566"/>
      <c r="DD10" s="566"/>
      <c r="DE10" s="566"/>
      <c r="DF10" s="566"/>
      <c r="DG10" s="566"/>
      <c r="DH10" s="566"/>
      <c r="DI10" s="566">
        <f t="shared" ref="DI10:DI11" si="0">DG10+DE10+DC10+DA10+CY10+CW10+CU10+CS10+CQ10+CO10+CM10+CK10</f>
        <v>0</v>
      </c>
      <c r="DJ10" s="566">
        <f t="shared" ref="DJ10:DJ15" si="1">CK10+CM10+CO10+CQ10</f>
        <v>0</v>
      </c>
      <c r="DK10" s="566">
        <f t="shared" ref="DK10:DK15" si="2">CL10+CN10+CP10+CR10</f>
        <v>0</v>
      </c>
      <c r="DL10" s="569">
        <f t="shared" ref="DL10:DL11" si="3">CM10+CO10+CQ10+CS10+CU10+CW10+CY10+DA10+DC10+DE10+DG10+CK10</f>
        <v>0</v>
      </c>
      <c r="DM10" s="566">
        <f t="shared" ref="DM10:DM11" si="4">CL10+CN10+CP10+CR10</f>
        <v>0</v>
      </c>
      <c r="DN10" s="565">
        <v>1</v>
      </c>
      <c r="DO10" s="567"/>
      <c r="DP10" s="567"/>
      <c r="DQ10" s="567"/>
      <c r="DR10" s="567"/>
      <c r="DS10" s="567"/>
      <c r="DT10" s="567"/>
      <c r="DU10" s="567"/>
      <c r="DV10" s="567"/>
      <c r="DW10" s="567"/>
      <c r="DX10" s="567"/>
      <c r="DY10" s="567"/>
      <c r="DZ10" s="567"/>
      <c r="EA10" s="567"/>
      <c r="EB10" s="567"/>
      <c r="EC10" s="567"/>
      <c r="ED10" s="567"/>
      <c r="EE10" s="567"/>
      <c r="EF10" s="567"/>
      <c r="EG10" s="566"/>
      <c r="EH10" s="566"/>
      <c r="EI10" s="566"/>
      <c r="EJ10" s="566"/>
      <c r="EK10" s="566"/>
      <c r="EL10" s="566"/>
      <c r="EM10" s="566">
        <f t="shared" ref="EM10:EM11" si="5">EK10+EI10+EG10+EE10+EC10+EA10+DY10+DW10+DU10+DS10+DQ10+DO10</f>
        <v>0</v>
      </c>
      <c r="EN10" s="566">
        <f t="shared" ref="EN10:EN15" si="6">DO10+DQ10+DS10+DU10</f>
        <v>0</v>
      </c>
      <c r="EO10" s="566">
        <f t="shared" ref="EO10:EO15" si="7">DP10+DR10+DT10+DV10</f>
        <v>0</v>
      </c>
      <c r="EP10" s="569">
        <f t="shared" ref="EP10:EP11" si="8">DQ10+DS10+DU10+DW10+DY10+EA10+EC10+EE10+EG10+EI10+EK10+DO10</f>
        <v>0</v>
      </c>
      <c r="EQ10" s="566">
        <f t="shared" ref="EQ10:EQ14" si="9">DP10+DR10+DT10+DV10</f>
        <v>0</v>
      </c>
      <c r="ER10" s="144">
        <f>+BL10/BK10</f>
        <v>1</v>
      </c>
      <c r="ES10" s="144">
        <f>+CG10/CF10</f>
        <v>1</v>
      </c>
      <c r="ET10" s="145">
        <f>+CI10/CH10</f>
        <v>1</v>
      </c>
      <c r="EU10" s="145">
        <f>+(AA10+BE10+CI10)/(Z10+BD10+CH10)</f>
        <v>1</v>
      </c>
      <c r="EV10" s="145">
        <f>+(AA10+BE10+CI10)/500%</f>
        <v>0.6</v>
      </c>
      <c r="EW10" s="542" t="s">
        <v>646</v>
      </c>
      <c r="EX10" s="543" t="s">
        <v>576</v>
      </c>
      <c r="EY10" s="543" t="s">
        <v>576</v>
      </c>
      <c r="EZ10" s="543" t="s">
        <v>578</v>
      </c>
      <c r="FA10" s="543" t="s">
        <v>579</v>
      </c>
      <c r="FB10" s="362"/>
      <c r="FC10" s="4"/>
    </row>
    <row r="11" spans="1:159" s="130" customFormat="1" ht="24.75" customHeight="1" x14ac:dyDescent="0.25">
      <c r="A11" s="361"/>
      <c r="B11" s="361"/>
      <c r="C11" s="361"/>
      <c r="D11" s="361"/>
      <c r="E11" s="361"/>
      <c r="F11" s="282" t="s">
        <v>3</v>
      </c>
      <c r="G11" s="125">
        <f>+AA11+BE11+CH11+CJ11+DN11</f>
        <v>7110396637</v>
      </c>
      <c r="H11" s="124">
        <v>775545944</v>
      </c>
      <c r="I11" s="125"/>
      <c r="J11" s="125"/>
      <c r="K11" s="125"/>
      <c r="L11" s="125"/>
      <c r="M11" s="125"/>
      <c r="N11" s="125"/>
      <c r="O11" s="125"/>
      <c r="P11" s="125"/>
      <c r="Q11" s="125"/>
      <c r="R11" s="125"/>
      <c r="S11" s="125"/>
      <c r="T11" s="124"/>
      <c r="U11" s="139"/>
      <c r="V11" s="139"/>
      <c r="W11" s="124">
        <v>775545944</v>
      </c>
      <c r="X11" s="124">
        <v>775545944</v>
      </c>
      <c r="Y11" s="125">
        <v>731213017</v>
      </c>
      <c r="Z11" s="124">
        <v>780545944</v>
      </c>
      <c r="AA11" s="125">
        <v>731213017</v>
      </c>
      <c r="AB11" s="124">
        <v>1564678000</v>
      </c>
      <c r="AC11" s="125">
        <v>0</v>
      </c>
      <c r="AD11" s="125">
        <v>0</v>
      </c>
      <c r="AE11" s="139">
        <v>188232000</v>
      </c>
      <c r="AF11" s="125">
        <f>188232000-AD11</f>
        <v>188232000</v>
      </c>
      <c r="AG11" s="125">
        <v>348992000</v>
      </c>
      <c r="AH11" s="125">
        <f>537224000-AF11-AD11</f>
        <v>348992000</v>
      </c>
      <c r="AI11" s="125">
        <v>127479857</v>
      </c>
      <c r="AJ11" s="125">
        <f>664703857-AH11-AF11-AD11</f>
        <v>127479857</v>
      </c>
      <c r="AK11" s="125">
        <v>0</v>
      </c>
      <c r="AL11" s="125">
        <f>664703857-AJ11-AH11-AF11-AD11</f>
        <v>0</v>
      </c>
      <c r="AM11" s="125">
        <v>206631757</v>
      </c>
      <c r="AN11" s="125">
        <v>206477896</v>
      </c>
      <c r="AO11" s="125">
        <v>0</v>
      </c>
      <c r="AP11" s="125">
        <v>0</v>
      </c>
      <c r="AQ11" s="125">
        <v>145468477</v>
      </c>
      <c r="AR11" s="125">
        <v>0</v>
      </c>
      <c r="AS11" s="125">
        <v>81311777</v>
      </c>
      <c r="AT11" s="125">
        <v>27640334</v>
      </c>
      <c r="AU11" s="125">
        <v>145468477</v>
      </c>
      <c r="AV11" s="125">
        <v>186104768</v>
      </c>
      <c r="AW11" s="125">
        <v>145468477</v>
      </c>
      <c r="AX11" s="125">
        <v>225682042</v>
      </c>
      <c r="AY11" s="125">
        <v>145468478</v>
      </c>
      <c r="AZ11" s="125">
        <v>185979723</v>
      </c>
      <c r="BA11" s="125">
        <f>AY11+AW11+AU11+AS11+AQ11+AO11+AM11+AK11+AI11+AG11+AE11+AC11</f>
        <v>1534521300</v>
      </c>
      <c r="BB11" s="125">
        <f>AC11+AE11+AG11+AI11+AK11+AM11+AO11+AQ11+AS11+AU11+AW11+AY11</f>
        <v>1534521300</v>
      </c>
      <c r="BC11" s="125">
        <f>AD11+AF11+AH11+AJ11+AL11+AN11+AP11+AR11+AT11+AV11+AX11+AZ11</f>
        <v>1496588620</v>
      </c>
      <c r="BD11" s="125">
        <f>AE11+AG11+AI11+AK11+AM11+AO11+AQ11+AS11+AU11+AW11+AY11+AC11</f>
        <v>1534521300</v>
      </c>
      <c r="BE11" s="125">
        <f>AD11+AF11+AH11+AJ11+AL11+AN11+AP11+AR11+AT11+AV11+AX11+AZ11</f>
        <v>1496588620</v>
      </c>
      <c r="BF11" s="137">
        <v>2219609000</v>
      </c>
      <c r="BG11" s="125">
        <v>1222024000</v>
      </c>
      <c r="BH11" s="125">
        <v>665963000</v>
      </c>
      <c r="BI11" s="125">
        <v>28000000</v>
      </c>
      <c r="BJ11" s="125">
        <v>0</v>
      </c>
      <c r="BK11" s="125">
        <v>744585000</v>
      </c>
      <c r="BL11" s="125">
        <v>0</v>
      </c>
      <c r="BM11" s="125">
        <v>0</v>
      </c>
      <c r="BN11" s="125"/>
      <c r="BO11" s="125">
        <v>20000000</v>
      </c>
      <c r="BP11" s="125"/>
      <c r="BQ11" s="125">
        <v>30000000</v>
      </c>
      <c r="BR11" s="125"/>
      <c r="BS11" s="125">
        <v>0</v>
      </c>
      <c r="BT11" s="125"/>
      <c r="BU11" s="125">
        <v>170000000</v>
      </c>
      <c r="BV11" s="125"/>
      <c r="BW11" s="125">
        <v>0</v>
      </c>
      <c r="BX11" s="125"/>
      <c r="BY11" s="125">
        <v>5000000</v>
      </c>
      <c r="BZ11" s="125"/>
      <c r="CA11" s="125">
        <v>0</v>
      </c>
      <c r="CB11" s="125"/>
      <c r="CC11" s="125">
        <v>0</v>
      </c>
      <c r="CD11" s="125"/>
      <c r="CE11" s="125">
        <f>CC11+CA11+BY11+BW11+BU11+BS11+BQ11+BO11+BM11+BK11+BI11+BG11</f>
        <v>2219609000</v>
      </c>
      <c r="CF11" s="125">
        <f>+BG11+BI11+BK11</f>
        <v>1994609000</v>
      </c>
      <c r="CG11" s="125">
        <f>+BH11+BJ11+BL11</f>
        <v>665963000</v>
      </c>
      <c r="CH11" s="124">
        <f>CC11+CA11+BY11+BW11+BU11+BS11+BQ11+BO11+BM11+BK11+BI11+BG11</f>
        <v>2219609000</v>
      </c>
      <c r="CI11" s="124">
        <f>+BH11+BJ11+BL11</f>
        <v>665963000</v>
      </c>
      <c r="CJ11" s="125">
        <v>1850347000</v>
      </c>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4">
        <f t="shared" si="0"/>
        <v>0</v>
      </c>
      <c r="DJ11" s="137">
        <f t="shared" si="1"/>
        <v>0</v>
      </c>
      <c r="DK11" s="137">
        <f t="shared" si="2"/>
        <v>0</v>
      </c>
      <c r="DL11" s="124">
        <f t="shared" si="3"/>
        <v>0</v>
      </c>
      <c r="DM11" s="137">
        <f t="shared" si="4"/>
        <v>0</v>
      </c>
      <c r="DN11" s="125">
        <v>812639000</v>
      </c>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67">
        <f t="shared" si="5"/>
        <v>0</v>
      </c>
      <c r="EN11" s="128">
        <f t="shared" si="6"/>
        <v>0</v>
      </c>
      <c r="EO11" s="128">
        <f t="shared" si="7"/>
        <v>0</v>
      </c>
      <c r="EP11" s="129">
        <f t="shared" si="8"/>
        <v>0</v>
      </c>
      <c r="EQ11" s="128">
        <f t="shared" si="9"/>
        <v>0</v>
      </c>
      <c r="ER11" s="144">
        <f t="shared" ref="ER11:ER58" si="10">+BL11/BK11</f>
        <v>0</v>
      </c>
      <c r="ES11" s="144">
        <f t="shared" ref="ES11:ES58" si="11">+CG11/CF11</f>
        <v>0.33388147752266234</v>
      </c>
      <c r="ET11" s="145">
        <f t="shared" ref="ET11:ET58" si="12">+CI11/CH11</f>
        <v>0.30003617754298167</v>
      </c>
      <c r="EU11" s="145">
        <f t="shared" ref="EU11:EU58" si="13">+(AA11+BE11+CI11)/(Z11+BD11+CH11)</f>
        <v>0.63814139781838852</v>
      </c>
      <c r="EV11" s="145">
        <f t="shared" ref="EV11:EV58" si="14">+(AA11+BE11+CI11)/G11</f>
        <v>0.40697654220045448</v>
      </c>
      <c r="EW11" s="542"/>
      <c r="EX11" s="543"/>
      <c r="EY11" s="543"/>
      <c r="EZ11" s="543"/>
      <c r="FA11" s="543"/>
      <c r="FB11" s="362"/>
    </row>
    <row r="12" spans="1:159" s="130" customFormat="1" ht="24.75" customHeight="1" x14ac:dyDescent="0.25">
      <c r="A12" s="361"/>
      <c r="B12" s="361"/>
      <c r="C12" s="361"/>
      <c r="D12" s="361"/>
      <c r="E12" s="361"/>
      <c r="F12" s="283" t="s">
        <v>216</v>
      </c>
      <c r="G12" s="125"/>
      <c r="H12" s="124"/>
      <c r="I12" s="125"/>
      <c r="J12" s="125"/>
      <c r="K12" s="125"/>
      <c r="L12" s="125"/>
      <c r="M12" s="125"/>
      <c r="N12" s="125"/>
      <c r="O12" s="125"/>
      <c r="P12" s="125"/>
      <c r="Q12" s="125"/>
      <c r="R12" s="125"/>
      <c r="S12" s="125"/>
      <c r="T12" s="124"/>
      <c r="U12" s="139"/>
      <c r="V12" s="139"/>
      <c r="W12" s="124"/>
      <c r="X12" s="124"/>
      <c r="Y12" s="124"/>
      <c r="Z12" s="124"/>
      <c r="AA12" s="125"/>
      <c r="AB12" s="124"/>
      <c r="AC12" s="139">
        <v>0</v>
      </c>
      <c r="AD12" s="125">
        <v>0</v>
      </c>
      <c r="AE12" s="125">
        <v>0</v>
      </c>
      <c r="AF12" s="125">
        <v>0</v>
      </c>
      <c r="AG12" s="125">
        <v>0</v>
      </c>
      <c r="AH12" s="125">
        <v>0</v>
      </c>
      <c r="AI12" s="125">
        <v>41026232</v>
      </c>
      <c r="AJ12" s="125">
        <v>41026232</v>
      </c>
      <c r="AK12" s="125">
        <v>77319714</v>
      </c>
      <c r="AL12" s="125">
        <f>118345946-AJ12</f>
        <v>77319714</v>
      </c>
      <c r="AM12" s="137">
        <f>+AL12+6000000</f>
        <v>83319714</v>
      </c>
      <c r="AN12" s="137">
        <v>90469225</v>
      </c>
      <c r="AO12" s="137">
        <f>+AM12+6000000</f>
        <v>89319714</v>
      </c>
      <c r="AP12" s="137">
        <v>75047610</v>
      </c>
      <c r="AQ12" s="137">
        <f>+AO12+6000000</f>
        <v>95319714</v>
      </c>
      <c r="AR12" s="137">
        <v>153699654</v>
      </c>
      <c r="AS12" s="137">
        <f>+AQ12+6000000</f>
        <v>101319714</v>
      </c>
      <c r="AT12" s="137">
        <v>91591256</v>
      </c>
      <c r="AU12" s="137">
        <f>+AS12+6000000</f>
        <v>107319714</v>
      </c>
      <c r="AV12" s="137">
        <v>87340509</v>
      </c>
      <c r="AW12" s="137">
        <f>+AU12+6000000</f>
        <v>113319714</v>
      </c>
      <c r="AX12" s="137">
        <v>175197762</v>
      </c>
      <c r="AY12" s="137">
        <f t="shared" ref="AY12" si="15">+AW12+6000000</f>
        <v>119319714</v>
      </c>
      <c r="AZ12" s="137">
        <v>94410397</v>
      </c>
      <c r="BA12" s="125">
        <f>AY12+AW12+AU12+AS12+AQ12+AO12+AM12+AK12+AI12+AG12+AE12+AC12</f>
        <v>827583944</v>
      </c>
      <c r="BB12" s="125">
        <f>AC12+AE12+AG12+AI12+AK12+AM12+AO12+AQ12+AS12+AU12+AW12+AY12</f>
        <v>827583944</v>
      </c>
      <c r="BC12" s="125">
        <f>AD12+AF12+AH12+AJ12+AL12+AN12+AP12+AR12+AT12+AV12+AX12+AZ12</f>
        <v>886102359</v>
      </c>
      <c r="BD12" s="125">
        <f>AE12+AG12+AI12+AK12+AM12+AO12+AQ12+AS12+AU12+AW12+AY12+AC12</f>
        <v>827583944</v>
      </c>
      <c r="BE12" s="125">
        <f>AD12+AF12+AH12+AJ12+AL12+AN12+AP12+AR12+AT12+AV12+AX12+AZ12</f>
        <v>886102359</v>
      </c>
      <c r="BF12" s="125">
        <v>0</v>
      </c>
      <c r="BG12" s="125">
        <v>0</v>
      </c>
      <c r="BH12" s="125">
        <v>0</v>
      </c>
      <c r="BI12" s="125">
        <v>0</v>
      </c>
      <c r="BJ12" s="125">
        <v>14552866</v>
      </c>
      <c r="BK12" s="125"/>
      <c r="BL12" s="125">
        <v>68674033</v>
      </c>
      <c r="BM12" s="125"/>
      <c r="BN12" s="125"/>
      <c r="BO12" s="125"/>
      <c r="BP12" s="125"/>
      <c r="BQ12" s="125"/>
      <c r="BR12" s="125"/>
      <c r="BS12" s="125"/>
      <c r="BT12" s="125"/>
      <c r="BU12" s="125"/>
      <c r="BV12" s="125"/>
      <c r="BW12" s="125"/>
      <c r="BX12" s="125"/>
      <c r="BY12" s="125"/>
      <c r="BZ12" s="125"/>
      <c r="CA12" s="125"/>
      <c r="CB12" s="125"/>
      <c r="CC12" s="125"/>
      <c r="CD12" s="125"/>
      <c r="CE12" s="125">
        <f>CC12+CA12+BY12+BW12+BU12+BS12+BQ12+BO12+BM12+BK12+BI12+BG12</f>
        <v>0</v>
      </c>
      <c r="CF12" s="125">
        <f>+BG12+BI12+BK12</f>
        <v>0</v>
      </c>
      <c r="CG12" s="125">
        <f>+BH12+BJ12+BL12</f>
        <v>83226899</v>
      </c>
      <c r="CH12" s="124">
        <f>CC12+CA12+BY12+BW12+BU12+BS12+BQ12+BO12+BM12+BK12+BI12+BG12</f>
        <v>0</v>
      </c>
      <c r="CI12" s="124">
        <f>+BH12+BJ12+BL12</f>
        <v>83226899</v>
      </c>
      <c r="CJ12" s="125">
        <v>0</v>
      </c>
      <c r="CK12" s="125">
        <v>0</v>
      </c>
      <c r="CL12" s="125">
        <v>0</v>
      </c>
      <c r="CM12" s="125">
        <v>0</v>
      </c>
      <c r="CN12" s="125">
        <v>0</v>
      </c>
      <c r="CO12" s="125">
        <v>0</v>
      </c>
      <c r="CP12" s="125">
        <v>0</v>
      </c>
      <c r="CQ12" s="125">
        <v>0</v>
      </c>
      <c r="CR12" s="125">
        <v>0</v>
      </c>
      <c r="CS12" s="125">
        <v>0</v>
      </c>
      <c r="CT12" s="125">
        <v>0</v>
      </c>
      <c r="CU12" s="125">
        <v>0</v>
      </c>
      <c r="CV12" s="125">
        <v>0</v>
      </c>
      <c r="CW12" s="125">
        <v>0</v>
      </c>
      <c r="CX12" s="125">
        <v>0</v>
      </c>
      <c r="CY12" s="125">
        <v>0</v>
      </c>
      <c r="CZ12" s="125">
        <v>0</v>
      </c>
      <c r="DA12" s="125">
        <v>0</v>
      </c>
      <c r="DB12" s="125">
        <v>0</v>
      </c>
      <c r="DC12" s="125">
        <v>0</v>
      </c>
      <c r="DD12" s="125">
        <v>0</v>
      </c>
      <c r="DE12" s="125">
        <v>0</v>
      </c>
      <c r="DF12" s="125">
        <v>0</v>
      </c>
      <c r="DG12" s="125">
        <v>0</v>
      </c>
      <c r="DH12" s="125">
        <v>0</v>
      </c>
      <c r="DI12" s="124">
        <v>0</v>
      </c>
      <c r="DJ12" s="137">
        <v>0</v>
      </c>
      <c r="DK12" s="137">
        <v>0</v>
      </c>
      <c r="DL12" s="124">
        <v>0</v>
      </c>
      <c r="DM12" s="137">
        <v>0</v>
      </c>
      <c r="DN12" s="125">
        <v>0</v>
      </c>
      <c r="DO12" s="127"/>
      <c r="DP12" s="127"/>
      <c r="DQ12" s="127"/>
      <c r="DR12" s="127"/>
      <c r="DS12" s="127"/>
      <c r="DT12" s="127"/>
      <c r="DU12" s="127"/>
      <c r="DV12" s="127"/>
      <c r="DW12" s="127"/>
      <c r="DX12" s="127"/>
      <c r="DY12" s="127"/>
      <c r="DZ12" s="127"/>
      <c r="EA12" s="127"/>
      <c r="EB12" s="127"/>
      <c r="EC12" s="127"/>
      <c r="ED12" s="127"/>
      <c r="EE12" s="127"/>
      <c r="EF12" s="127"/>
      <c r="EG12" s="127"/>
      <c r="EH12" s="127"/>
      <c r="EI12" s="127"/>
      <c r="EJ12" s="127"/>
      <c r="EK12" s="127"/>
      <c r="EL12" s="127"/>
      <c r="EM12" s="67">
        <f t="shared" ref="EM12:EM15" si="16">EI12+EG12+EE12+EC12+EA12+DY12+DW12+DU12+DS12+DQ12+DO12+EK12</f>
        <v>0</v>
      </c>
      <c r="EN12" s="128">
        <f t="shared" si="6"/>
        <v>0</v>
      </c>
      <c r="EO12" s="128">
        <f t="shared" si="7"/>
        <v>0</v>
      </c>
      <c r="EP12" s="124">
        <f t="shared" ref="EP12:EP13" si="17">DQ12+DS12+DU12+DW12+DY12+EA12+EC12+EE12+EG12+EI12+EK12</f>
        <v>0</v>
      </c>
      <c r="EQ12" s="128">
        <f t="shared" si="9"/>
        <v>0</v>
      </c>
      <c r="ER12" s="144" t="e">
        <f t="shared" si="10"/>
        <v>#DIV/0!</v>
      </c>
      <c r="ES12" s="144" t="e">
        <f t="shared" si="11"/>
        <v>#DIV/0!</v>
      </c>
      <c r="ET12" s="145" t="e">
        <f t="shared" si="12"/>
        <v>#DIV/0!</v>
      </c>
      <c r="EU12" s="145">
        <f t="shared" si="13"/>
        <v>1.1712760560758293</v>
      </c>
      <c r="EV12" s="145" t="e">
        <f t="shared" si="14"/>
        <v>#DIV/0!</v>
      </c>
      <c r="EW12" s="542"/>
      <c r="EX12" s="543"/>
      <c r="EY12" s="543"/>
      <c r="EZ12" s="543"/>
      <c r="FA12" s="543"/>
      <c r="FB12" s="362"/>
    </row>
    <row r="13" spans="1:159" s="126" customFormat="1" ht="24.75" customHeight="1" x14ac:dyDescent="0.25">
      <c r="A13" s="361"/>
      <c r="B13" s="361"/>
      <c r="C13" s="361"/>
      <c r="D13" s="361"/>
      <c r="E13" s="361"/>
      <c r="F13" s="281" t="s">
        <v>41</v>
      </c>
      <c r="G13" s="114">
        <v>0</v>
      </c>
      <c r="H13" s="123">
        <v>0</v>
      </c>
      <c r="I13" s="67"/>
      <c r="J13" s="67"/>
      <c r="K13" s="67"/>
      <c r="L13" s="67"/>
      <c r="M13" s="67"/>
      <c r="N13" s="324"/>
      <c r="O13" s="67"/>
      <c r="P13" s="324"/>
      <c r="Q13" s="67"/>
      <c r="R13" s="140"/>
      <c r="S13" s="67"/>
      <c r="T13" s="324"/>
      <c r="U13" s="67"/>
      <c r="V13" s="67"/>
      <c r="W13" s="114">
        <v>0</v>
      </c>
      <c r="X13" s="114">
        <v>0</v>
      </c>
      <c r="Y13" s="114">
        <v>0</v>
      </c>
      <c r="Z13" s="114">
        <v>0</v>
      </c>
      <c r="AA13" s="114">
        <v>0</v>
      </c>
      <c r="AB13" s="114">
        <v>0</v>
      </c>
      <c r="AC13" s="114">
        <v>0</v>
      </c>
      <c r="AD13" s="114">
        <v>0</v>
      </c>
      <c r="AE13" s="114">
        <v>0</v>
      </c>
      <c r="AF13" s="114">
        <v>0</v>
      </c>
      <c r="AG13" s="114">
        <v>0</v>
      </c>
      <c r="AH13" s="114">
        <v>0</v>
      </c>
      <c r="AI13" s="114">
        <v>0</v>
      </c>
      <c r="AJ13" s="114">
        <v>0</v>
      </c>
      <c r="AK13" s="114">
        <v>0</v>
      </c>
      <c r="AL13" s="114">
        <v>0</v>
      </c>
      <c r="AM13" s="114">
        <v>0</v>
      </c>
      <c r="AN13" s="114">
        <v>0</v>
      </c>
      <c r="AO13" s="114">
        <v>0</v>
      </c>
      <c r="AP13" s="114">
        <v>0</v>
      </c>
      <c r="AQ13" s="114">
        <v>0</v>
      </c>
      <c r="AR13" s="114">
        <v>0</v>
      </c>
      <c r="AS13" s="114">
        <v>0</v>
      </c>
      <c r="AT13" s="114">
        <v>0</v>
      </c>
      <c r="AU13" s="114">
        <v>0</v>
      </c>
      <c r="AV13" s="114">
        <v>0</v>
      </c>
      <c r="AW13" s="114">
        <v>0</v>
      </c>
      <c r="AX13" s="114">
        <v>0</v>
      </c>
      <c r="AY13" s="114">
        <v>0</v>
      </c>
      <c r="AZ13" s="123">
        <v>0</v>
      </c>
      <c r="BA13" s="114">
        <f>+AB13</f>
        <v>0</v>
      </c>
      <c r="BB13" s="114">
        <f>+AY13</f>
        <v>0</v>
      </c>
      <c r="BC13" s="114">
        <f>+AZ13</f>
        <v>0</v>
      </c>
      <c r="BD13" s="114">
        <f>+G13</f>
        <v>0</v>
      </c>
      <c r="BE13" s="114">
        <f>+AZ13</f>
        <v>0</v>
      </c>
      <c r="BF13" s="114">
        <v>0</v>
      </c>
      <c r="BG13" s="114">
        <v>0</v>
      </c>
      <c r="BH13" s="114">
        <v>0</v>
      </c>
      <c r="BI13" s="114">
        <v>0</v>
      </c>
      <c r="BJ13" s="114">
        <v>0</v>
      </c>
      <c r="BK13" s="114">
        <v>0</v>
      </c>
      <c r="BL13" s="114">
        <v>0</v>
      </c>
      <c r="BM13" s="114">
        <v>0</v>
      </c>
      <c r="BN13" s="67"/>
      <c r="BO13" s="114">
        <v>0</v>
      </c>
      <c r="BP13" s="67"/>
      <c r="BQ13" s="114">
        <v>0</v>
      </c>
      <c r="BR13" s="67"/>
      <c r="BS13" s="114">
        <v>0</v>
      </c>
      <c r="BT13" s="67"/>
      <c r="BU13" s="114">
        <v>0</v>
      </c>
      <c r="BV13" s="67"/>
      <c r="BW13" s="114">
        <v>0</v>
      </c>
      <c r="BX13" s="67"/>
      <c r="BY13" s="114">
        <v>0</v>
      </c>
      <c r="BZ13" s="67"/>
      <c r="CA13" s="114">
        <v>0</v>
      </c>
      <c r="CB13" s="67"/>
      <c r="CC13" s="114">
        <v>0</v>
      </c>
      <c r="CD13" s="67"/>
      <c r="CE13" s="114">
        <f>+BF13</f>
        <v>0</v>
      </c>
      <c r="CF13" s="114">
        <f>+BK13</f>
        <v>0</v>
      </c>
      <c r="CG13" s="114">
        <f>+BL13</f>
        <v>0</v>
      </c>
      <c r="CH13" s="114">
        <f>+BK13</f>
        <v>0</v>
      </c>
      <c r="CI13" s="114">
        <f>+BL13</f>
        <v>0</v>
      </c>
      <c r="CJ13" s="114">
        <v>0</v>
      </c>
      <c r="CK13" s="67">
        <v>0</v>
      </c>
      <c r="CL13" s="67">
        <v>0</v>
      </c>
      <c r="CM13" s="67">
        <v>0</v>
      </c>
      <c r="CN13" s="67">
        <v>0</v>
      </c>
      <c r="CO13" s="67">
        <v>0</v>
      </c>
      <c r="CP13" s="67">
        <v>0</v>
      </c>
      <c r="CQ13" s="67">
        <v>0</v>
      </c>
      <c r="CR13" s="67">
        <v>0</v>
      </c>
      <c r="CS13" s="67">
        <v>0</v>
      </c>
      <c r="CT13" s="67">
        <v>0</v>
      </c>
      <c r="CU13" s="67">
        <v>0</v>
      </c>
      <c r="CV13" s="67">
        <v>0</v>
      </c>
      <c r="CW13" s="67">
        <v>0</v>
      </c>
      <c r="CX13" s="67">
        <v>0</v>
      </c>
      <c r="CY13" s="67">
        <v>0</v>
      </c>
      <c r="CZ13" s="67">
        <v>0</v>
      </c>
      <c r="DA13" s="67">
        <v>0</v>
      </c>
      <c r="DB13" s="67">
        <v>0</v>
      </c>
      <c r="DC13" s="67">
        <v>0</v>
      </c>
      <c r="DD13" s="67">
        <v>0</v>
      </c>
      <c r="DE13" s="67">
        <v>0</v>
      </c>
      <c r="DF13" s="67">
        <v>0</v>
      </c>
      <c r="DG13" s="67">
        <v>0</v>
      </c>
      <c r="DH13" s="67">
        <v>0</v>
      </c>
      <c r="DI13" s="67">
        <v>0</v>
      </c>
      <c r="DJ13" s="67">
        <v>0</v>
      </c>
      <c r="DK13" s="67">
        <v>0</v>
      </c>
      <c r="DL13" s="112">
        <v>0</v>
      </c>
      <c r="DM13" s="67">
        <v>0</v>
      </c>
      <c r="DN13" s="114">
        <v>0</v>
      </c>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273">
        <f t="shared" si="16"/>
        <v>0</v>
      </c>
      <c r="EN13" s="131">
        <f t="shared" si="6"/>
        <v>0</v>
      </c>
      <c r="EO13" s="132">
        <f t="shared" si="7"/>
        <v>0</v>
      </c>
      <c r="EP13" s="112">
        <f t="shared" si="17"/>
        <v>0</v>
      </c>
      <c r="EQ13" s="273">
        <f t="shared" si="9"/>
        <v>0</v>
      </c>
      <c r="ER13" s="144" t="e">
        <f t="shared" si="10"/>
        <v>#DIV/0!</v>
      </c>
      <c r="ES13" s="144" t="e">
        <f t="shared" si="11"/>
        <v>#DIV/0!</v>
      </c>
      <c r="ET13" s="145" t="e">
        <f t="shared" si="12"/>
        <v>#DIV/0!</v>
      </c>
      <c r="EU13" s="145" t="e">
        <f t="shared" si="13"/>
        <v>#DIV/0!</v>
      </c>
      <c r="EV13" s="145" t="e">
        <f t="shared" si="14"/>
        <v>#DIV/0!</v>
      </c>
      <c r="EW13" s="542"/>
      <c r="EX13" s="543"/>
      <c r="EY13" s="543"/>
      <c r="EZ13" s="543"/>
      <c r="FA13" s="543"/>
      <c r="FB13" s="362"/>
    </row>
    <row r="14" spans="1:159" s="126" customFormat="1" ht="24.75" customHeight="1" x14ac:dyDescent="0.25">
      <c r="A14" s="361"/>
      <c r="B14" s="361"/>
      <c r="C14" s="361"/>
      <c r="D14" s="361"/>
      <c r="E14" s="361"/>
      <c r="F14" s="282" t="s">
        <v>4</v>
      </c>
      <c r="G14" s="125">
        <f>+AA14+BE14+CH14+CJ14+DN14</f>
        <v>895337068</v>
      </c>
      <c r="H14" s="124">
        <v>0</v>
      </c>
      <c r="I14" s="125"/>
      <c r="J14" s="125"/>
      <c r="K14" s="125"/>
      <c r="L14" s="125"/>
      <c r="M14" s="125"/>
      <c r="N14" s="125"/>
      <c r="O14" s="125"/>
      <c r="P14" s="125"/>
      <c r="Q14" s="125"/>
      <c r="R14" s="125"/>
      <c r="S14" s="125"/>
      <c r="T14" s="124"/>
      <c r="U14" s="139"/>
      <c r="V14" s="139"/>
      <c r="W14" s="124">
        <v>0</v>
      </c>
      <c r="X14" s="124">
        <v>0</v>
      </c>
      <c r="Y14" s="124">
        <v>0</v>
      </c>
      <c r="Z14" s="124">
        <v>0</v>
      </c>
      <c r="AA14" s="125">
        <v>0</v>
      </c>
      <c r="AB14" s="124">
        <v>349704142</v>
      </c>
      <c r="AC14" s="125">
        <v>62876122</v>
      </c>
      <c r="AD14" s="125">
        <v>62876122</v>
      </c>
      <c r="AE14" s="139">
        <v>54302358</v>
      </c>
      <c r="AF14" s="125">
        <f>117178480-AD14</f>
        <v>54302358</v>
      </c>
      <c r="AG14" s="125">
        <v>104432327</v>
      </c>
      <c r="AH14" s="125">
        <f>221610807-AF14-AD14</f>
        <v>104432327</v>
      </c>
      <c r="AI14" s="125">
        <v>5682842</v>
      </c>
      <c r="AJ14" s="125">
        <f>227293649-AH14-AF14-AD14</f>
        <v>5682842</v>
      </c>
      <c r="AK14" s="125">
        <v>80059278</v>
      </c>
      <c r="AL14" s="125">
        <f>307352927-AJ14-AH14-AF14-AD14</f>
        <v>80059278</v>
      </c>
      <c r="AM14" s="125">
        <v>16097586</v>
      </c>
      <c r="AN14" s="125">
        <v>19233596</v>
      </c>
      <c r="AO14" s="125">
        <v>0</v>
      </c>
      <c r="AP14" s="125">
        <v>0</v>
      </c>
      <c r="AQ14" s="125">
        <v>0</v>
      </c>
      <c r="AR14" s="125">
        <v>9064999</v>
      </c>
      <c r="AS14" s="125">
        <f>26253629-11970000</f>
        <v>14283629</v>
      </c>
      <c r="AT14" s="125">
        <v>755053</v>
      </c>
      <c r="AU14" s="125">
        <v>0</v>
      </c>
      <c r="AV14" s="125">
        <v>0</v>
      </c>
      <c r="AW14" s="125">
        <v>0</v>
      </c>
      <c r="AX14" s="125">
        <v>337959</v>
      </c>
      <c r="AY14" s="125">
        <v>0</v>
      </c>
      <c r="AZ14" s="125">
        <v>989608</v>
      </c>
      <c r="BA14" s="125">
        <f>AY14+AW14+AU14+AS14+AQ14+AO14+AM14+AK14+AI14+AG14+AE14+AC14</f>
        <v>337734142</v>
      </c>
      <c r="BB14" s="125">
        <f>AC14+AE14+AG14+AI14+AK14+AM14+AO14+AQ14+AS14+AU14+AW14+AY14</f>
        <v>337734142</v>
      </c>
      <c r="BC14" s="125">
        <f>AD14+AF14+AH14+AJ14+AL14+AN14+AP14+AR14+AT14+AV14+AX14+AZ14</f>
        <v>337734142</v>
      </c>
      <c r="BD14" s="125">
        <f>AE14+AG14+AI14+AK14+AM14+AO14+AQ14+AS14+AU14+AW14+AY14+AC14</f>
        <v>337734142</v>
      </c>
      <c r="BE14" s="125">
        <f>AD14+AF14+AH14+AJ14+AL14+AN14+AP14+AR14+AT14+AV14+AX14+AZ14</f>
        <v>337734142</v>
      </c>
      <c r="BF14" s="125">
        <v>557602926</v>
      </c>
      <c r="BG14" s="125">
        <v>14814800</v>
      </c>
      <c r="BH14" s="125"/>
      <c r="BI14" s="125">
        <v>86403771</v>
      </c>
      <c r="BJ14" s="125">
        <v>42955919</v>
      </c>
      <c r="BK14" s="125">
        <v>66341056</v>
      </c>
      <c r="BL14" s="125">
        <v>32677867</v>
      </c>
      <c r="BM14" s="125">
        <v>37348492</v>
      </c>
      <c r="BN14" s="125"/>
      <c r="BO14" s="125">
        <v>6178859</v>
      </c>
      <c r="BP14" s="125"/>
      <c r="BQ14" s="125">
        <v>121462820</v>
      </c>
      <c r="BR14" s="125"/>
      <c r="BS14" s="125">
        <v>216642665</v>
      </c>
      <c r="BT14" s="125"/>
      <c r="BU14" s="125">
        <v>4010463</v>
      </c>
      <c r="BV14" s="125"/>
      <c r="BW14" s="125">
        <v>2400000</v>
      </c>
      <c r="BX14" s="125"/>
      <c r="BY14" s="125">
        <v>2000000</v>
      </c>
      <c r="BZ14" s="125"/>
      <c r="CA14" s="125">
        <v>0</v>
      </c>
      <c r="CB14" s="125"/>
      <c r="CC14" s="125">
        <v>0</v>
      </c>
      <c r="CD14" s="125"/>
      <c r="CE14" s="125">
        <f>CC14+CA14+BY14+BW14+BU14+BS14+BQ14+BO14+BM14+BK14+BI14+BG14</f>
        <v>557602926</v>
      </c>
      <c r="CF14" s="125">
        <f>+BG14+BI14+BK14</f>
        <v>167559627</v>
      </c>
      <c r="CG14" s="125">
        <f>+BH14+BJ14+BL14</f>
        <v>75633786</v>
      </c>
      <c r="CH14" s="124">
        <f>CC14+CA14+BY14+BW14+BU14+BS14+BQ14+BO14+BM14+BK14+BI14+BG14</f>
        <v>557602926</v>
      </c>
      <c r="CI14" s="124">
        <f>+BH14+BJ14+BL14</f>
        <v>75633786</v>
      </c>
      <c r="CJ14" s="125">
        <v>0</v>
      </c>
      <c r="CK14" s="125">
        <v>0</v>
      </c>
      <c r="CL14" s="125">
        <v>0</v>
      </c>
      <c r="CM14" s="125">
        <v>0</v>
      </c>
      <c r="CN14" s="125">
        <v>0</v>
      </c>
      <c r="CO14" s="125">
        <v>0</v>
      </c>
      <c r="CP14" s="125">
        <v>0</v>
      </c>
      <c r="CQ14" s="125">
        <v>0</v>
      </c>
      <c r="CR14" s="125">
        <v>0</v>
      </c>
      <c r="CS14" s="125">
        <v>0</v>
      </c>
      <c r="CT14" s="125">
        <v>0</v>
      </c>
      <c r="CU14" s="125">
        <v>0</v>
      </c>
      <c r="CV14" s="125">
        <v>0</v>
      </c>
      <c r="CW14" s="125">
        <v>0</v>
      </c>
      <c r="CX14" s="125">
        <v>0</v>
      </c>
      <c r="CY14" s="125">
        <v>0</v>
      </c>
      <c r="CZ14" s="125">
        <v>0</v>
      </c>
      <c r="DA14" s="125">
        <v>0</v>
      </c>
      <c r="DB14" s="125">
        <v>0</v>
      </c>
      <c r="DC14" s="125">
        <v>0</v>
      </c>
      <c r="DD14" s="125">
        <v>0</v>
      </c>
      <c r="DE14" s="125">
        <v>0</v>
      </c>
      <c r="DF14" s="125">
        <v>0</v>
      </c>
      <c r="DG14" s="125">
        <v>0</v>
      </c>
      <c r="DH14" s="125">
        <v>0</v>
      </c>
      <c r="DI14" s="124">
        <v>0</v>
      </c>
      <c r="DJ14" s="137">
        <v>0</v>
      </c>
      <c r="DK14" s="137">
        <v>0</v>
      </c>
      <c r="DL14" s="124">
        <v>0</v>
      </c>
      <c r="DM14" s="137">
        <v>0</v>
      </c>
      <c r="DN14" s="125">
        <v>0</v>
      </c>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273">
        <f t="shared" si="16"/>
        <v>0</v>
      </c>
      <c r="EN14" s="128">
        <f t="shared" si="6"/>
        <v>0</v>
      </c>
      <c r="EO14" s="128">
        <f t="shared" si="7"/>
        <v>0</v>
      </c>
      <c r="EP14" s="124">
        <f t="shared" ref="EP14:EP15" si="18">DQ14+DS14+DU14+DW14+DY14+EA14+EC14+EE14+EG14+EI14+EK14+DO14</f>
        <v>0</v>
      </c>
      <c r="EQ14" s="128">
        <f t="shared" si="9"/>
        <v>0</v>
      </c>
      <c r="ER14" s="144">
        <f t="shared" si="10"/>
        <v>0.49257381432095382</v>
      </c>
      <c r="ES14" s="144">
        <f t="shared" si="11"/>
        <v>0.45138430631622256</v>
      </c>
      <c r="ET14" s="145">
        <f t="shared" si="12"/>
        <v>0.13564094174068234</v>
      </c>
      <c r="EU14" s="145">
        <f t="shared" si="13"/>
        <v>0.4616897286776917</v>
      </c>
      <c r="EV14" s="145">
        <f t="shared" si="14"/>
        <v>0.4616897286776917</v>
      </c>
      <c r="EW14" s="542"/>
      <c r="EX14" s="543"/>
      <c r="EY14" s="543"/>
      <c r="EZ14" s="543"/>
      <c r="FA14" s="543"/>
      <c r="FB14" s="362"/>
    </row>
    <row r="15" spans="1:159" s="126" customFormat="1" ht="24.75" customHeight="1" thickBot="1" x14ac:dyDescent="0.3">
      <c r="A15" s="361"/>
      <c r="B15" s="361"/>
      <c r="C15" s="361"/>
      <c r="D15" s="361"/>
      <c r="E15" s="361"/>
      <c r="F15" s="281" t="s">
        <v>42</v>
      </c>
      <c r="G15" s="592">
        <f>+G10+G13</f>
        <v>1</v>
      </c>
      <c r="H15" s="593">
        <f>+H10+H13</f>
        <v>1</v>
      </c>
      <c r="I15" s="594"/>
      <c r="J15" s="594"/>
      <c r="K15" s="594"/>
      <c r="L15" s="594"/>
      <c r="M15" s="594"/>
      <c r="N15" s="595"/>
      <c r="O15" s="594"/>
      <c r="P15" s="595"/>
      <c r="Q15" s="594"/>
      <c r="R15" s="596"/>
      <c r="S15" s="594"/>
      <c r="T15" s="595"/>
      <c r="U15" s="594"/>
      <c r="V15" s="594"/>
      <c r="W15" s="592">
        <f t="shared" ref="W15:AK15" si="19">+W10+W13</f>
        <v>1</v>
      </c>
      <c r="X15" s="592">
        <f t="shared" si="19"/>
        <v>1</v>
      </c>
      <c r="Y15" s="592">
        <f t="shared" si="19"/>
        <v>1</v>
      </c>
      <c r="Z15" s="592">
        <f t="shared" si="19"/>
        <v>1</v>
      </c>
      <c r="AA15" s="592">
        <f t="shared" si="19"/>
        <v>1</v>
      </c>
      <c r="AB15" s="592">
        <f t="shared" si="19"/>
        <v>1</v>
      </c>
      <c r="AC15" s="592">
        <f t="shared" si="19"/>
        <v>1</v>
      </c>
      <c r="AD15" s="592">
        <f t="shared" si="19"/>
        <v>0.86</v>
      </c>
      <c r="AE15" s="592">
        <f t="shared" si="19"/>
        <v>1</v>
      </c>
      <c r="AF15" s="592">
        <f t="shared" si="19"/>
        <v>0.75</v>
      </c>
      <c r="AG15" s="592">
        <f t="shared" si="19"/>
        <v>1</v>
      </c>
      <c r="AH15" s="592">
        <f t="shared" si="19"/>
        <v>0.8</v>
      </c>
      <c r="AI15" s="592">
        <f t="shared" si="19"/>
        <v>1</v>
      </c>
      <c r="AJ15" s="592">
        <f t="shared" si="19"/>
        <v>1</v>
      </c>
      <c r="AK15" s="592">
        <f t="shared" si="19"/>
        <v>1</v>
      </c>
      <c r="AL15" s="592">
        <f t="shared" ref="AL15" si="20">+AL10+AL13</f>
        <v>1</v>
      </c>
      <c r="AM15" s="592">
        <f t="shared" ref="AM15" si="21">+AM10+AM13</f>
        <v>1</v>
      </c>
      <c r="AN15" s="592">
        <f t="shared" ref="AN15" si="22">+AN10+AN13</f>
        <v>1</v>
      </c>
      <c r="AO15" s="592">
        <f t="shared" ref="AO15:AP15" si="23">+AO10+AO13</f>
        <v>1</v>
      </c>
      <c r="AP15" s="592">
        <f t="shared" si="23"/>
        <v>0.95</v>
      </c>
      <c r="AQ15" s="592">
        <f t="shared" ref="AQ15:AR15" si="24">+AQ10+AQ13</f>
        <v>1</v>
      </c>
      <c r="AR15" s="592">
        <f t="shared" si="24"/>
        <v>0.95</v>
      </c>
      <c r="AS15" s="592">
        <f t="shared" ref="AS15:AT15" si="25">+AS10+AS13</f>
        <v>1</v>
      </c>
      <c r="AT15" s="592">
        <f t="shared" si="25"/>
        <v>0.98</v>
      </c>
      <c r="AU15" s="592">
        <f t="shared" ref="AU15:AV15" si="26">+AU10+AU13</f>
        <v>1</v>
      </c>
      <c r="AV15" s="592">
        <f t="shared" si="26"/>
        <v>1</v>
      </c>
      <c r="AW15" s="592">
        <f t="shared" ref="AW15:AX15" si="27">+AW10+AW13</f>
        <v>1</v>
      </c>
      <c r="AX15" s="592">
        <f t="shared" si="27"/>
        <v>1</v>
      </c>
      <c r="AY15" s="592">
        <f t="shared" ref="AY15:AZ15" si="28">+AY10+AY13</f>
        <v>1</v>
      </c>
      <c r="AZ15" s="592">
        <f t="shared" si="28"/>
        <v>1</v>
      </c>
      <c r="BA15" s="592">
        <f>+BA10+BA13</f>
        <v>1</v>
      </c>
      <c r="BB15" s="592">
        <f t="shared" ref="BB15:BE15" si="29">+BB10+BB13</f>
        <v>1</v>
      </c>
      <c r="BC15" s="592">
        <f t="shared" si="29"/>
        <v>1</v>
      </c>
      <c r="BD15" s="592">
        <f t="shared" si="29"/>
        <v>1</v>
      </c>
      <c r="BE15" s="592">
        <f t="shared" si="29"/>
        <v>1</v>
      </c>
      <c r="BF15" s="592">
        <f>+BF10+BF13</f>
        <v>1</v>
      </c>
      <c r="BG15" s="592">
        <f>+BG10+BG13</f>
        <v>1</v>
      </c>
      <c r="BH15" s="592">
        <f t="shared" ref="BH15" si="30">+BH10+BH13</f>
        <v>1</v>
      </c>
      <c r="BI15" s="592">
        <f>+BI10+BI13</f>
        <v>1</v>
      </c>
      <c r="BJ15" s="592">
        <f>+BJ10+BJ13</f>
        <v>1</v>
      </c>
      <c r="BK15" s="592">
        <f t="shared" ref="BK15:CD15" si="31">+BK10+BK13</f>
        <v>1</v>
      </c>
      <c r="BL15" s="592">
        <f t="shared" si="31"/>
        <v>1</v>
      </c>
      <c r="BM15" s="592">
        <f t="shared" si="31"/>
        <v>1</v>
      </c>
      <c r="BN15" s="592">
        <f t="shared" si="31"/>
        <v>0</v>
      </c>
      <c r="BO15" s="592">
        <f t="shared" si="31"/>
        <v>1</v>
      </c>
      <c r="BP15" s="592">
        <f t="shared" si="31"/>
        <v>0</v>
      </c>
      <c r="BQ15" s="592">
        <f t="shared" si="31"/>
        <v>1</v>
      </c>
      <c r="BR15" s="592">
        <f t="shared" si="31"/>
        <v>0</v>
      </c>
      <c r="BS15" s="592">
        <f t="shared" si="31"/>
        <v>1</v>
      </c>
      <c r="BT15" s="592">
        <f t="shared" si="31"/>
        <v>0</v>
      </c>
      <c r="BU15" s="592">
        <f t="shared" si="31"/>
        <v>1</v>
      </c>
      <c r="BV15" s="592">
        <f t="shared" si="31"/>
        <v>0</v>
      </c>
      <c r="BW15" s="592">
        <f t="shared" si="31"/>
        <v>1</v>
      </c>
      <c r="BX15" s="592">
        <f t="shared" si="31"/>
        <v>0</v>
      </c>
      <c r="BY15" s="592">
        <f t="shared" si="31"/>
        <v>1</v>
      </c>
      <c r="BZ15" s="592">
        <f t="shared" si="31"/>
        <v>0</v>
      </c>
      <c r="CA15" s="592">
        <f t="shared" si="31"/>
        <v>1</v>
      </c>
      <c r="CB15" s="592">
        <f t="shared" si="31"/>
        <v>0</v>
      </c>
      <c r="CC15" s="592">
        <f t="shared" si="31"/>
        <v>1</v>
      </c>
      <c r="CD15" s="592">
        <f t="shared" si="31"/>
        <v>0</v>
      </c>
      <c r="CE15" s="592">
        <f>+CE10+CE13</f>
        <v>1</v>
      </c>
      <c r="CF15" s="592">
        <f t="shared" ref="CF15:CI15" si="32">+CF10+CF13</f>
        <v>1</v>
      </c>
      <c r="CG15" s="592">
        <f t="shared" si="32"/>
        <v>1</v>
      </c>
      <c r="CH15" s="592">
        <f t="shared" si="32"/>
        <v>1</v>
      </c>
      <c r="CI15" s="592">
        <f t="shared" si="32"/>
        <v>1</v>
      </c>
      <c r="CJ15" s="592">
        <f>+CJ10+CJ13</f>
        <v>1</v>
      </c>
      <c r="CK15" s="594"/>
      <c r="CL15" s="594"/>
      <c r="CM15" s="594"/>
      <c r="CN15" s="594"/>
      <c r="CO15" s="594"/>
      <c r="CP15" s="594"/>
      <c r="CQ15" s="594"/>
      <c r="CR15" s="594"/>
      <c r="CS15" s="594"/>
      <c r="CT15" s="594"/>
      <c r="CU15" s="594"/>
      <c r="CV15" s="594"/>
      <c r="CW15" s="594"/>
      <c r="CX15" s="594"/>
      <c r="CY15" s="594"/>
      <c r="CZ15" s="594"/>
      <c r="DA15" s="594"/>
      <c r="DB15" s="594"/>
      <c r="DC15" s="594"/>
      <c r="DD15" s="594"/>
      <c r="DE15" s="594"/>
      <c r="DF15" s="594"/>
      <c r="DG15" s="594"/>
      <c r="DH15" s="594"/>
      <c r="DI15" s="594">
        <f t="shared" ref="DI15" si="33">DE15+DC15+DA15+CY15+CW15+CU15+CS15+CQ15+CO15+CM15+CK15+DG15</f>
        <v>0</v>
      </c>
      <c r="DJ15" s="594">
        <f t="shared" si="1"/>
        <v>0</v>
      </c>
      <c r="DK15" s="594">
        <f t="shared" si="2"/>
        <v>0</v>
      </c>
      <c r="DL15" s="597">
        <f t="shared" ref="DL15" si="34">CM15+CO15+CQ15+CS15+CU15+CW15+CY15+DA15+DC15+DE15+DG15+CK15</f>
        <v>0</v>
      </c>
      <c r="DM15" s="594">
        <f t="shared" ref="DM15" si="35">CN15+CP15+CR15+CL15</f>
        <v>0</v>
      </c>
      <c r="DN15" s="592">
        <f t="shared" ref="DN15" si="36">+DN10+DN13</f>
        <v>1</v>
      </c>
      <c r="DO15" s="598"/>
      <c r="DP15" s="598"/>
      <c r="DQ15" s="598"/>
      <c r="DR15" s="598"/>
      <c r="DS15" s="598"/>
      <c r="DT15" s="598"/>
      <c r="DU15" s="598"/>
      <c r="DV15" s="598"/>
      <c r="DW15" s="598"/>
      <c r="DX15" s="598"/>
      <c r="DY15" s="598"/>
      <c r="DZ15" s="598"/>
      <c r="EA15" s="598"/>
      <c r="EB15" s="598"/>
      <c r="EC15" s="598"/>
      <c r="ED15" s="598"/>
      <c r="EE15" s="598"/>
      <c r="EF15" s="598"/>
      <c r="EG15" s="598"/>
      <c r="EH15" s="598"/>
      <c r="EI15" s="598"/>
      <c r="EJ15" s="598"/>
      <c r="EK15" s="598"/>
      <c r="EL15" s="598"/>
      <c r="EM15" s="599">
        <f t="shared" si="16"/>
        <v>0</v>
      </c>
      <c r="EN15" s="600">
        <f t="shared" si="6"/>
        <v>0</v>
      </c>
      <c r="EO15" s="600">
        <f t="shared" si="7"/>
        <v>0</v>
      </c>
      <c r="EP15" s="601">
        <f t="shared" si="18"/>
        <v>0</v>
      </c>
      <c r="EQ15" s="600">
        <f t="shared" ref="EQ15" si="37">DR15+DT15+DV15+DP15</f>
        <v>0</v>
      </c>
      <c r="ER15" s="602">
        <f t="shared" si="10"/>
        <v>1</v>
      </c>
      <c r="ES15" s="602">
        <f t="shared" si="11"/>
        <v>1</v>
      </c>
      <c r="ET15" s="603">
        <f t="shared" si="12"/>
        <v>1</v>
      </c>
      <c r="EU15" s="603">
        <f t="shared" si="13"/>
        <v>1</v>
      </c>
      <c r="EV15" s="603">
        <f>+(AA15+BE15+CI15)/500%</f>
        <v>0.6</v>
      </c>
      <c r="EW15" s="542"/>
      <c r="EX15" s="543"/>
      <c r="EY15" s="543"/>
      <c r="EZ15" s="543"/>
      <c r="FA15" s="543"/>
      <c r="FB15" s="362"/>
    </row>
    <row r="16" spans="1:159" s="130" customFormat="1" ht="24.75" customHeight="1" thickBot="1" x14ac:dyDescent="0.3">
      <c r="A16" s="361"/>
      <c r="B16" s="361"/>
      <c r="C16" s="361"/>
      <c r="D16" s="361"/>
      <c r="E16" s="361"/>
      <c r="F16" s="590" t="s">
        <v>44</v>
      </c>
      <c r="G16" s="611">
        <f>+G11+G14</f>
        <v>8005733705</v>
      </c>
      <c r="H16" s="612">
        <f>+H11+H14</f>
        <v>775545944</v>
      </c>
      <c r="I16" s="612"/>
      <c r="J16" s="612"/>
      <c r="K16" s="612"/>
      <c r="L16" s="612"/>
      <c r="M16" s="612"/>
      <c r="N16" s="612"/>
      <c r="O16" s="612"/>
      <c r="P16" s="612"/>
      <c r="Q16" s="612"/>
      <c r="R16" s="612"/>
      <c r="S16" s="612"/>
      <c r="T16" s="613"/>
      <c r="U16" s="612"/>
      <c r="V16" s="612"/>
      <c r="W16" s="612">
        <f t="shared" ref="W16:AK16" si="38">+W11+W14</f>
        <v>775545944</v>
      </c>
      <c r="X16" s="612">
        <f t="shared" si="38"/>
        <v>775545944</v>
      </c>
      <c r="Y16" s="612">
        <f t="shared" si="38"/>
        <v>731213017</v>
      </c>
      <c r="Z16" s="612">
        <f t="shared" si="38"/>
        <v>780545944</v>
      </c>
      <c r="AA16" s="612">
        <f t="shared" si="38"/>
        <v>731213017</v>
      </c>
      <c r="AB16" s="612">
        <f t="shared" si="38"/>
        <v>1914382142</v>
      </c>
      <c r="AC16" s="612">
        <f t="shared" si="38"/>
        <v>62876122</v>
      </c>
      <c r="AD16" s="612">
        <f t="shared" si="38"/>
        <v>62876122</v>
      </c>
      <c r="AE16" s="612">
        <f t="shared" si="38"/>
        <v>242534358</v>
      </c>
      <c r="AF16" s="612">
        <f t="shared" si="38"/>
        <v>242534358</v>
      </c>
      <c r="AG16" s="612">
        <f t="shared" si="38"/>
        <v>453424327</v>
      </c>
      <c r="AH16" s="612">
        <f t="shared" si="38"/>
        <v>453424327</v>
      </c>
      <c r="AI16" s="612">
        <f t="shared" si="38"/>
        <v>133162699</v>
      </c>
      <c r="AJ16" s="612">
        <f t="shared" si="38"/>
        <v>133162699</v>
      </c>
      <c r="AK16" s="612">
        <f t="shared" si="38"/>
        <v>80059278</v>
      </c>
      <c r="AL16" s="612">
        <f t="shared" ref="AL16" si="39">+AL11+AL14</f>
        <v>80059278</v>
      </c>
      <c r="AM16" s="612">
        <f t="shared" ref="AM16" si="40">+AM11+AM14</f>
        <v>222729343</v>
      </c>
      <c r="AN16" s="612">
        <f t="shared" ref="AN16" si="41">+AN11+AN14</f>
        <v>225711492</v>
      </c>
      <c r="AO16" s="612">
        <f t="shared" ref="AO16:AP16" si="42">+AO11+AO14</f>
        <v>0</v>
      </c>
      <c r="AP16" s="612">
        <f t="shared" si="42"/>
        <v>0</v>
      </c>
      <c r="AQ16" s="612">
        <f t="shared" ref="AQ16:AR16" si="43">+AQ11+AQ14</f>
        <v>145468477</v>
      </c>
      <c r="AR16" s="612">
        <f t="shared" si="43"/>
        <v>9064999</v>
      </c>
      <c r="AS16" s="612">
        <f t="shared" ref="AS16:AT16" si="44">+AS11+AS14</f>
        <v>95595406</v>
      </c>
      <c r="AT16" s="612">
        <f t="shared" si="44"/>
        <v>28395387</v>
      </c>
      <c r="AU16" s="612">
        <f t="shared" ref="AU16:AV16" si="45">+AU11+AU14</f>
        <v>145468477</v>
      </c>
      <c r="AV16" s="612">
        <f t="shared" si="45"/>
        <v>186104768</v>
      </c>
      <c r="AW16" s="612">
        <f t="shared" ref="AW16:AX16" si="46">+AW11+AW14</f>
        <v>145468477</v>
      </c>
      <c r="AX16" s="612">
        <f t="shared" si="46"/>
        <v>226020001</v>
      </c>
      <c r="AY16" s="612">
        <f t="shared" ref="AY16:BA16" si="47">+AY11+AY14</f>
        <v>145468478</v>
      </c>
      <c r="AZ16" s="612">
        <f t="shared" si="47"/>
        <v>186969331</v>
      </c>
      <c r="BA16" s="612">
        <f t="shared" si="47"/>
        <v>1872255442</v>
      </c>
      <c r="BB16" s="612">
        <f t="shared" ref="BB16:BF16" si="48">+BB11+BB14</f>
        <v>1872255442</v>
      </c>
      <c r="BC16" s="612">
        <f t="shared" si="48"/>
        <v>1834322762</v>
      </c>
      <c r="BD16" s="612">
        <f t="shared" si="48"/>
        <v>1872255442</v>
      </c>
      <c r="BE16" s="612">
        <f t="shared" si="48"/>
        <v>1834322762</v>
      </c>
      <c r="BF16" s="612">
        <f t="shared" si="48"/>
        <v>2777211926</v>
      </c>
      <c r="BG16" s="612">
        <f>+BG11+BG14</f>
        <v>1236838800</v>
      </c>
      <c r="BH16" s="612">
        <f>+BH11+BH14</f>
        <v>665963000</v>
      </c>
      <c r="BI16" s="612">
        <f>+BI11+BI14</f>
        <v>114403771</v>
      </c>
      <c r="BJ16" s="612">
        <f>+BJ11+BJ14</f>
        <v>42955919</v>
      </c>
      <c r="BK16" s="612">
        <f t="shared" ref="BK16:CD16" si="49">+BK11+BK14</f>
        <v>810926056</v>
      </c>
      <c r="BL16" s="612">
        <f t="shared" si="49"/>
        <v>32677867</v>
      </c>
      <c r="BM16" s="612">
        <f t="shared" si="49"/>
        <v>37348492</v>
      </c>
      <c r="BN16" s="612">
        <f t="shared" si="49"/>
        <v>0</v>
      </c>
      <c r="BO16" s="612">
        <f t="shared" si="49"/>
        <v>26178859</v>
      </c>
      <c r="BP16" s="612">
        <f t="shared" si="49"/>
        <v>0</v>
      </c>
      <c r="BQ16" s="612">
        <f t="shared" si="49"/>
        <v>151462820</v>
      </c>
      <c r="BR16" s="612">
        <f t="shared" si="49"/>
        <v>0</v>
      </c>
      <c r="BS16" s="612">
        <f t="shared" si="49"/>
        <v>216642665</v>
      </c>
      <c r="BT16" s="612">
        <f t="shared" si="49"/>
        <v>0</v>
      </c>
      <c r="BU16" s="612">
        <f t="shared" si="49"/>
        <v>174010463</v>
      </c>
      <c r="BV16" s="612">
        <f t="shared" si="49"/>
        <v>0</v>
      </c>
      <c r="BW16" s="612">
        <f t="shared" si="49"/>
        <v>2400000</v>
      </c>
      <c r="BX16" s="612">
        <f t="shared" si="49"/>
        <v>0</v>
      </c>
      <c r="BY16" s="612">
        <f t="shared" si="49"/>
        <v>7000000</v>
      </c>
      <c r="BZ16" s="612">
        <f t="shared" si="49"/>
        <v>0</v>
      </c>
      <c r="CA16" s="612">
        <f t="shared" si="49"/>
        <v>0</v>
      </c>
      <c r="CB16" s="612">
        <f t="shared" si="49"/>
        <v>0</v>
      </c>
      <c r="CC16" s="612">
        <f t="shared" si="49"/>
        <v>0</v>
      </c>
      <c r="CD16" s="612">
        <f t="shared" si="49"/>
        <v>0</v>
      </c>
      <c r="CE16" s="612">
        <f>+CE11+CE14</f>
        <v>2777211926</v>
      </c>
      <c r="CF16" s="612">
        <f t="shared" ref="CF16:CI16" si="50">+CF11+CF14</f>
        <v>2162168627</v>
      </c>
      <c r="CG16" s="612">
        <f t="shared" si="50"/>
        <v>741596786</v>
      </c>
      <c r="CH16" s="613">
        <f t="shared" si="50"/>
        <v>2777211926</v>
      </c>
      <c r="CI16" s="613">
        <f t="shared" si="50"/>
        <v>741596786</v>
      </c>
      <c r="CJ16" s="612">
        <f t="shared" ref="CJ16" si="51">+CJ11+CJ14</f>
        <v>1850347000</v>
      </c>
      <c r="CK16" s="612"/>
      <c r="CL16" s="612"/>
      <c r="CM16" s="612"/>
      <c r="CN16" s="612"/>
      <c r="CO16" s="612"/>
      <c r="CP16" s="612"/>
      <c r="CQ16" s="612"/>
      <c r="CR16" s="612"/>
      <c r="CS16" s="612"/>
      <c r="CT16" s="612"/>
      <c r="CU16" s="612"/>
      <c r="CV16" s="612"/>
      <c r="CW16" s="612"/>
      <c r="CX16" s="612"/>
      <c r="CY16" s="612"/>
      <c r="CZ16" s="612"/>
      <c r="DA16" s="612"/>
      <c r="DB16" s="612"/>
      <c r="DC16" s="612"/>
      <c r="DD16" s="612"/>
      <c r="DE16" s="612"/>
      <c r="DF16" s="612"/>
      <c r="DG16" s="612"/>
      <c r="DH16" s="612"/>
      <c r="DI16" s="613">
        <f t="shared" ref="DI16:DI18" si="52">DG16+DE16+DC16+DA16+CY16+CW16+CU16+CS16+CQ16+CO16+CM16+CK16</f>
        <v>0</v>
      </c>
      <c r="DJ16" s="612">
        <f t="shared" ref="DJ16" si="53">+DJ11+DJ14</f>
        <v>0</v>
      </c>
      <c r="DK16" s="614">
        <f t="shared" ref="DK16" si="54">DK11+DK14</f>
        <v>0</v>
      </c>
      <c r="DL16" s="612">
        <f t="shared" ref="DL16:DN16" si="55">+DL11+DL14</f>
        <v>0</v>
      </c>
      <c r="DM16" s="612">
        <f t="shared" si="55"/>
        <v>0</v>
      </c>
      <c r="DN16" s="612">
        <f t="shared" si="55"/>
        <v>812639000</v>
      </c>
      <c r="DO16" s="615"/>
      <c r="DP16" s="615"/>
      <c r="DQ16" s="615"/>
      <c r="DR16" s="615"/>
      <c r="DS16" s="615"/>
      <c r="DT16" s="615"/>
      <c r="DU16" s="615"/>
      <c r="DV16" s="615"/>
      <c r="DW16" s="615"/>
      <c r="DX16" s="615"/>
      <c r="DY16" s="615"/>
      <c r="DZ16" s="615"/>
      <c r="EA16" s="615"/>
      <c r="EB16" s="615"/>
      <c r="EC16" s="615"/>
      <c r="ED16" s="615"/>
      <c r="EE16" s="615"/>
      <c r="EF16" s="615"/>
      <c r="EG16" s="615"/>
      <c r="EH16" s="615"/>
      <c r="EI16" s="615"/>
      <c r="EJ16" s="615"/>
      <c r="EK16" s="615"/>
      <c r="EL16" s="615"/>
      <c r="EM16" s="616">
        <f t="shared" ref="EM16:EM18" si="56">EK16+EI16+EG16+EE16+EC16+EA16+DY16+DW16+DU16+DS16+DQ16+DO16</f>
        <v>0</v>
      </c>
      <c r="EN16" s="617">
        <f t="shared" ref="EN16:EN30" si="57">+EN11+EN14</f>
        <v>0</v>
      </c>
      <c r="EO16" s="618">
        <f t="shared" ref="EO16:EO30" si="58">EO11+EO14</f>
        <v>0</v>
      </c>
      <c r="EP16" s="617">
        <f t="shared" ref="EP16:EQ16" si="59">+EP11+EP14</f>
        <v>0</v>
      </c>
      <c r="EQ16" s="617">
        <f t="shared" si="59"/>
        <v>0</v>
      </c>
      <c r="ER16" s="619">
        <f t="shared" si="10"/>
        <v>4.0296974993241551E-2</v>
      </c>
      <c r="ES16" s="619">
        <f t="shared" si="11"/>
        <v>0.34298748799669826</v>
      </c>
      <c r="ET16" s="620">
        <f t="shared" si="12"/>
        <v>0.2670292385889747</v>
      </c>
      <c r="EU16" s="620">
        <f t="shared" si="13"/>
        <v>0.60904686139377184</v>
      </c>
      <c r="EV16" s="621">
        <f t="shared" si="14"/>
        <v>0.41309549965851633</v>
      </c>
      <c r="EW16" s="591"/>
      <c r="EX16" s="543"/>
      <c r="EY16" s="543"/>
      <c r="EZ16" s="543"/>
      <c r="FA16" s="543"/>
      <c r="FB16" s="362"/>
    </row>
    <row r="17" spans="1:159" s="126" customFormat="1" ht="24.75" customHeight="1" x14ac:dyDescent="0.25">
      <c r="A17" s="361" t="s">
        <v>305</v>
      </c>
      <c r="B17" s="361">
        <v>2</v>
      </c>
      <c r="C17" s="361" t="s">
        <v>310</v>
      </c>
      <c r="D17" s="361" t="s">
        <v>266</v>
      </c>
      <c r="E17" s="361">
        <v>272</v>
      </c>
      <c r="F17" s="281" t="s">
        <v>40</v>
      </c>
      <c r="G17" s="604">
        <f>+AA17+BD17+BF17+CJ17+DN17</f>
        <v>29</v>
      </c>
      <c r="H17" s="605">
        <v>4</v>
      </c>
      <c r="I17" s="605"/>
      <c r="J17" s="605"/>
      <c r="K17" s="605"/>
      <c r="L17" s="605"/>
      <c r="M17" s="605"/>
      <c r="N17" s="605"/>
      <c r="O17" s="605"/>
      <c r="P17" s="605"/>
      <c r="Q17" s="605"/>
      <c r="R17" s="605"/>
      <c r="S17" s="605"/>
      <c r="T17" s="605"/>
      <c r="U17" s="605"/>
      <c r="V17" s="605"/>
      <c r="W17" s="605">
        <v>4</v>
      </c>
      <c r="X17" s="605">
        <v>4</v>
      </c>
      <c r="Y17" s="605">
        <v>4</v>
      </c>
      <c r="Z17" s="605">
        <v>4</v>
      </c>
      <c r="AA17" s="605">
        <v>4</v>
      </c>
      <c r="AB17" s="605">
        <v>8</v>
      </c>
      <c r="AC17" s="606">
        <v>0.2</v>
      </c>
      <c r="AD17" s="606">
        <v>0.2</v>
      </c>
      <c r="AE17" s="606">
        <v>0.25</v>
      </c>
      <c r="AF17" s="606">
        <v>0.25</v>
      </c>
      <c r="AG17" s="606">
        <v>0.55000000000000004</v>
      </c>
      <c r="AH17" s="606">
        <v>0.55000000000000004</v>
      </c>
      <c r="AI17" s="606">
        <v>0.6</v>
      </c>
      <c r="AJ17" s="606">
        <v>0.6</v>
      </c>
      <c r="AK17" s="606">
        <v>0.7</v>
      </c>
      <c r="AL17" s="606">
        <v>0.7</v>
      </c>
      <c r="AM17" s="606">
        <v>0.7</v>
      </c>
      <c r="AN17" s="606">
        <v>0.7</v>
      </c>
      <c r="AO17" s="606">
        <v>0.75</v>
      </c>
      <c r="AP17" s="606">
        <v>0.75</v>
      </c>
      <c r="AQ17" s="606">
        <v>0.85</v>
      </c>
      <c r="AR17" s="606">
        <v>0.85</v>
      </c>
      <c r="AS17" s="606">
        <v>1.05</v>
      </c>
      <c r="AT17" s="606">
        <v>1.05</v>
      </c>
      <c r="AU17" s="606">
        <v>0.85</v>
      </c>
      <c r="AV17" s="606">
        <v>0.85</v>
      </c>
      <c r="AW17" s="606">
        <v>0.6</v>
      </c>
      <c r="AX17" s="606">
        <v>0.6</v>
      </c>
      <c r="AY17" s="606">
        <v>0.9</v>
      </c>
      <c r="AZ17" s="606">
        <v>0.9</v>
      </c>
      <c r="BA17" s="605">
        <f>AY17+AW17+AU17+AS17+AQ17+AO17+AM17+AK17+AI17+AG17+AE17+AC17</f>
        <v>8</v>
      </c>
      <c r="BB17" s="605">
        <f t="shared" ref="BB17:BC21" si="60">AC17+AE17+AG17+AI17+AK17+AM17+AO17+AQ17+AS17+AU17+AW17+AY17</f>
        <v>7.9999999999999991</v>
      </c>
      <c r="BC17" s="605">
        <f t="shared" si="60"/>
        <v>7.9999999999999991</v>
      </c>
      <c r="BD17" s="605">
        <f>AE17+AG17+AI17+AK17+AM17+AO17+AQ17+AS17+AU17+AW17+AY17+AC17</f>
        <v>7.9999999999999991</v>
      </c>
      <c r="BE17" s="605">
        <f>AD17+AF17+AH17+AJ17+AL17+AN17+AP17+AR17+AT17+AV17+AX17+AZ17</f>
        <v>7.9999999999999991</v>
      </c>
      <c r="BF17" s="605">
        <v>6</v>
      </c>
      <c r="BG17" s="606">
        <v>0.2</v>
      </c>
      <c r="BH17" s="605">
        <v>0</v>
      </c>
      <c r="BI17" s="606">
        <v>0.25</v>
      </c>
      <c r="BJ17" s="605">
        <v>0.45</v>
      </c>
      <c r="BK17" s="606">
        <v>0.55000000000000004</v>
      </c>
      <c r="BL17" s="606">
        <v>0.55000000000000004</v>
      </c>
      <c r="BM17" s="606">
        <v>0.60000000000000009</v>
      </c>
      <c r="BN17" s="605"/>
      <c r="BO17" s="606">
        <v>0.7</v>
      </c>
      <c r="BP17" s="605"/>
      <c r="BQ17" s="606">
        <v>0.7</v>
      </c>
      <c r="BR17" s="605"/>
      <c r="BS17" s="606">
        <v>0.30000000000000004</v>
      </c>
      <c r="BT17" s="605"/>
      <c r="BU17" s="606">
        <v>0.2</v>
      </c>
      <c r="BV17" s="605"/>
      <c r="BW17" s="606">
        <v>0.6</v>
      </c>
      <c r="BX17" s="605"/>
      <c r="BY17" s="606">
        <v>0.6</v>
      </c>
      <c r="BZ17" s="605"/>
      <c r="CA17" s="606">
        <v>0.7</v>
      </c>
      <c r="CB17" s="605"/>
      <c r="CC17" s="606">
        <v>0.6</v>
      </c>
      <c r="CD17" s="605"/>
      <c r="CE17" s="605">
        <f>CC17+CA17+BY17+BW17+BU17+BS17+BQ17+BO17+BM17+BK17+BI17+BG17</f>
        <v>6</v>
      </c>
      <c r="CF17" s="605">
        <f t="shared" ref="CF17:CG21" si="61">+BG17+BI17+BK17</f>
        <v>1</v>
      </c>
      <c r="CG17" s="607">
        <f t="shared" si="61"/>
        <v>1</v>
      </c>
      <c r="CH17" s="607">
        <f>CC17+CA17+BY17+BW17+BU17+BS17+BQ17+BO17+BM17+BK17+BI17+BG17</f>
        <v>6</v>
      </c>
      <c r="CI17" s="607">
        <f>+BH17+BJ17+BL17</f>
        <v>1</v>
      </c>
      <c r="CJ17" s="606">
        <v>7</v>
      </c>
      <c r="CK17" s="605"/>
      <c r="CL17" s="605"/>
      <c r="CM17" s="605"/>
      <c r="CN17" s="605"/>
      <c r="CO17" s="605"/>
      <c r="CP17" s="605"/>
      <c r="CQ17" s="605"/>
      <c r="CR17" s="605"/>
      <c r="CS17" s="605"/>
      <c r="CT17" s="605"/>
      <c r="CU17" s="605"/>
      <c r="CV17" s="605"/>
      <c r="CW17" s="605"/>
      <c r="CX17" s="605"/>
      <c r="CY17" s="605"/>
      <c r="CZ17" s="605"/>
      <c r="DA17" s="605"/>
      <c r="DB17" s="605"/>
      <c r="DC17" s="605"/>
      <c r="DD17" s="605"/>
      <c r="DE17" s="605"/>
      <c r="DF17" s="605"/>
      <c r="DG17" s="605"/>
      <c r="DH17" s="605"/>
      <c r="DI17" s="605">
        <f t="shared" si="52"/>
        <v>0</v>
      </c>
      <c r="DJ17" s="605">
        <f t="shared" ref="DJ17:DJ18" si="62">CK17+CM17+CO17+CQ17</f>
        <v>0</v>
      </c>
      <c r="DK17" s="605">
        <f t="shared" ref="DK17:DK18" si="63">CL17+CN17+CP17+CR17</f>
        <v>0</v>
      </c>
      <c r="DL17" s="608">
        <f t="shared" ref="DL17:DL18" si="64">CM17+CO17+CQ17+CS17+CU17+CW17+CY17+DA17+DC17+DE17+DG17+CK17</f>
        <v>0</v>
      </c>
      <c r="DM17" s="605">
        <f t="shared" ref="DM17:DM18" si="65">CL17+CN17+CP17+CR17</f>
        <v>0</v>
      </c>
      <c r="DN17" s="606">
        <v>4</v>
      </c>
      <c r="DO17" s="567"/>
      <c r="DP17" s="567"/>
      <c r="DQ17" s="567"/>
      <c r="DR17" s="567"/>
      <c r="DS17" s="567"/>
      <c r="DT17" s="567"/>
      <c r="DU17" s="567"/>
      <c r="DV17" s="567"/>
      <c r="DW17" s="567"/>
      <c r="DX17" s="567"/>
      <c r="DY17" s="567"/>
      <c r="DZ17" s="567"/>
      <c r="EA17" s="567"/>
      <c r="EB17" s="567"/>
      <c r="EC17" s="567"/>
      <c r="ED17" s="567"/>
      <c r="EE17" s="567"/>
      <c r="EF17" s="567"/>
      <c r="EG17" s="566"/>
      <c r="EH17" s="566"/>
      <c r="EI17" s="566"/>
      <c r="EJ17" s="566"/>
      <c r="EK17" s="566"/>
      <c r="EL17" s="566"/>
      <c r="EM17" s="325">
        <f t="shared" si="56"/>
        <v>0</v>
      </c>
      <c r="EN17" s="566">
        <f t="shared" ref="EN17:EN22" si="66">DO17+DQ17+DS17+DU17</f>
        <v>0</v>
      </c>
      <c r="EO17" s="325">
        <f t="shared" ref="EO17:EO22" si="67">DP17+DR17+DT17+DV17</f>
        <v>0</v>
      </c>
      <c r="EP17" s="569">
        <f t="shared" ref="EP17:EP18" si="68">DQ17+DS17+DU17+DW17+DY17+EA17+EC17+EE17+EG17+EI17+EK17+DO17</f>
        <v>0</v>
      </c>
      <c r="EQ17" s="566">
        <f t="shared" ref="EQ17:EQ21" si="69">DP17+DR17+DT17+DV17</f>
        <v>0</v>
      </c>
      <c r="ER17" s="609">
        <f t="shared" si="10"/>
        <v>1</v>
      </c>
      <c r="ES17" s="609">
        <f t="shared" si="11"/>
        <v>1</v>
      </c>
      <c r="ET17" s="610">
        <f t="shared" si="12"/>
        <v>0.16666666666666666</v>
      </c>
      <c r="EU17" s="610">
        <f t="shared" si="13"/>
        <v>0.72222222222222221</v>
      </c>
      <c r="EV17" s="610">
        <f t="shared" si="14"/>
        <v>0.44827586206896552</v>
      </c>
      <c r="EW17" s="542" t="s">
        <v>647</v>
      </c>
      <c r="EX17" s="543" t="s">
        <v>576</v>
      </c>
      <c r="EY17" s="543" t="s">
        <v>576</v>
      </c>
      <c r="EZ17" s="543" t="s">
        <v>582</v>
      </c>
      <c r="FA17" s="543" t="s">
        <v>583</v>
      </c>
      <c r="FB17" s="362"/>
      <c r="FC17" s="4"/>
    </row>
    <row r="18" spans="1:159" s="130" customFormat="1" ht="24.75" customHeight="1" x14ac:dyDescent="0.25">
      <c r="A18" s="361"/>
      <c r="B18" s="361"/>
      <c r="C18" s="361"/>
      <c r="D18" s="361"/>
      <c r="E18" s="361"/>
      <c r="F18" s="282" t="s">
        <v>3</v>
      </c>
      <c r="G18" s="125">
        <f>+AA18+BE18+CH18+CJ18+DN18</f>
        <v>10534478905</v>
      </c>
      <c r="H18" s="124">
        <v>613840322</v>
      </c>
      <c r="I18" s="125"/>
      <c r="J18" s="125"/>
      <c r="K18" s="125"/>
      <c r="L18" s="125"/>
      <c r="M18" s="125"/>
      <c r="N18" s="125"/>
      <c r="O18" s="125"/>
      <c r="P18" s="125"/>
      <c r="Q18" s="125"/>
      <c r="R18" s="125"/>
      <c r="S18" s="125"/>
      <c r="T18" s="124"/>
      <c r="U18" s="139"/>
      <c r="V18" s="139"/>
      <c r="W18" s="124">
        <v>613840322</v>
      </c>
      <c r="X18" s="124">
        <v>613840322</v>
      </c>
      <c r="Y18" s="139">
        <v>670473105</v>
      </c>
      <c r="Z18" s="139">
        <v>826840322</v>
      </c>
      <c r="AA18" s="139">
        <v>670473105</v>
      </c>
      <c r="AB18" s="139">
        <v>1374057000</v>
      </c>
      <c r="AC18" s="125">
        <v>0</v>
      </c>
      <c r="AD18" s="125">
        <v>0</v>
      </c>
      <c r="AE18" s="139">
        <v>582050000</v>
      </c>
      <c r="AF18" s="125">
        <f>582050000-AD18</f>
        <v>582050000</v>
      </c>
      <c r="AG18" s="125">
        <v>539567000</v>
      </c>
      <c r="AH18" s="125">
        <f>1121617000-AF18-AD18</f>
        <v>539567000</v>
      </c>
      <c r="AI18" s="125">
        <v>94112000</v>
      </c>
      <c r="AJ18" s="125">
        <f>1215729000-AH18-AF18-AD18</f>
        <v>94112000</v>
      </c>
      <c r="AK18" s="125">
        <v>0</v>
      </c>
      <c r="AL18" s="125">
        <f>1215729000-AJ18-AH18-AF18-AD18</f>
        <v>0</v>
      </c>
      <c r="AM18" s="125">
        <v>0</v>
      </c>
      <c r="AN18" s="125">
        <v>0</v>
      </c>
      <c r="AO18" s="125">
        <v>0</v>
      </c>
      <c r="AP18" s="125">
        <v>24890000</v>
      </c>
      <c r="AQ18" s="125">
        <f>15755000+22212600</f>
        <v>37967600</v>
      </c>
      <c r="AR18" s="125">
        <v>0</v>
      </c>
      <c r="AS18" s="125">
        <f>15755000+22212600+15940314</f>
        <v>53907914</v>
      </c>
      <c r="AT18" s="125">
        <v>15763667</v>
      </c>
      <c r="AU18" s="125">
        <f>15755000+22212600</f>
        <v>37967600</v>
      </c>
      <c r="AV18" s="125">
        <v>42747866</v>
      </c>
      <c r="AW18" s="125">
        <v>22212600</v>
      </c>
      <c r="AX18" s="125">
        <v>26787667</v>
      </c>
      <c r="AY18" s="125">
        <v>22212600</v>
      </c>
      <c r="AZ18" s="125">
        <v>12430600</v>
      </c>
      <c r="BA18" s="137">
        <f>AY18+AW18+AU18+AS18+AQ18+AO18+AM18+AK18+AI18+AG18+AE18+AC18</f>
        <v>1389997314</v>
      </c>
      <c r="BB18" s="137">
        <f t="shared" si="60"/>
        <v>1389997314</v>
      </c>
      <c r="BC18" s="137">
        <f t="shared" si="60"/>
        <v>1338348800</v>
      </c>
      <c r="BD18" s="137">
        <f>AE18+AG18+AI18+AK18+AM18+AO18+AQ18+AS18+AU18+AW18+AY18+AC18</f>
        <v>1389997314</v>
      </c>
      <c r="BE18" s="137">
        <f>AD18+AF18+AH18+AJ18+AL18+AN18+AP18+AR18+AT18+AV18+AX18+AZ18</f>
        <v>1338348800</v>
      </c>
      <c r="BF18" s="137">
        <v>6130432000</v>
      </c>
      <c r="BG18" s="125">
        <v>1620441000</v>
      </c>
      <c r="BH18" s="125">
        <v>1835843000</v>
      </c>
      <c r="BI18" s="125">
        <v>0</v>
      </c>
      <c r="BJ18" s="125">
        <v>0</v>
      </c>
      <c r="BK18" s="125">
        <f>25000000+88827000</f>
        <v>113827000</v>
      </c>
      <c r="BL18" s="125">
        <v>0</v>
      </c>
      <c r="BM18" s="125">
        <v>450000000</v>
      </c>
      <c r="BN18" s="125"/>
      <c r="BO18" s="125">
        <v>0</v>
      </c>
      <c r="BP18" s="125"/>
      <c r="BQ18" s="125">
        <v>4034991000</v>
      </c>
      <c r="BR18" s="125"/>
      <c r="BS18" s="125">
        <v>0</v>
      </c>
      <c r="BT18" s="125"/>
      <c r="BU18" s="125">
        <v>0</v>
      </c>
      <c r="BV18" s="125"/>
      <c r="BW18" s="125">
        <v>0</v>
      </c>
      <c r="BX18" s="125"/>
      <c r="BY18" s="125">
        <v>0</v>
      </c>
      <c r="BZ18" s="125"/>
      <c r="CA18" s="125">
        <v>0</v>
      </c>
      <c r="CB18" s="125"/>
      <c r="CC18" s="125">
        <v>0</v>
      </c>
      <c r="CD18" s="125"/>
      <c r="CE18" s="125">
        <f>CC18+CA18+BY18+BW18+BU18+BS18+BQ18+BO18+BM18+BK18+BI18+BG18</f>
        <v>6219259000</v>
      </c>
      <c r="CF18" s="125">
        <f t="shared" si="61"/>
        <v>1734268000</v>
      </c>
      <c r="CG18" s="124">
        <f t="shared" si="61"/>
        <v>1835843000</v>
      </c>
      <c r="CH18" s="124">
        <f>CC18+CA18+BY18+BW18+BU18+BS18+BQ18+BO18+BM18+BK18+BI18+BG18</f>
        <v>6219259000</v>
      </c>
      <c r="CI18" s="124">
        <f>+BH18+BJ18+BL18</f>
        <v>1835843000</v>
      </c>
      <c r="CJ18" s="125">
        <v>1515392000</v>
      </c>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4">
        <f t="shared" si="52"/>
        <v>0</v>
      </c>
      <c r="DJ18" s="137">
        <f t="shared" si="62"/>
        <v>0</v>
      </c>
      <c r="DK18" s="137">
        <f t="shared" si="63"/>
        <v>0</v>
      </c>
      <c r="DL18" s="124">
        <f t="shared" si="64"/>
        <v>0</v>
      </c>
      <c r="DM18" s="137">
        <f t="shared" si="65"/>
        <v>0</v>
      </c>
      <c r="DN18" s="125">
        <v>791006000</v>
      </c>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67">
        <f t="shared" si="56"/>
        <v>0</v>
      </c>
      <c r="EN18" s="128">
        <f t="shared" si="66"/>
        <v>0</v>
      </c>
      <c r="EO18" s="128">
        <f t="shared" si="67"/>
        <v>0</v>
      </c>
      <c r="EP18" s="129">
        <f t="shared" si="68"/>
        <v>0</v>
      </c>
      <c r="EQ18" s="128">
        <f t="shared" si="69"/>
        <v>0</v>
      </c>
      <c r="ER18" s="144">
        <f t="shared" si="10"/>
        <v>0</v>
      </c>
      <c r="ES18" s="144">
        <f t="shared" si="11"/>
        <v>1.0585693791271014</v>
      </c>
      <c r="ET18" s="145">
        <f t="shared" si="12"/>
        <v>0.29518677385842912</v>
      </c>
      <c r="EU18" s="145">
        <f t="shared" si="13"/>
        <v>0.45573978948905913</v>
      </c>
      <c r="EV18" s="145">
        <f t="shared" si="14"/>
        <v>0.36496014085473172</v>
      </c>
      <c r="EW18" s="542"/>
      <c r="EX18" s="543"/>
      <c r="EY18" s="543"/>
      <c r="EZ18" s="543"/>
      <c r="FA18" s="543"/>
      <c r="FB18" s="362"/>
    </row>
    <row r="19" spans="1:159" s="130" customFormat="1" ht="24.75" customHeight="1" x14ac:dyDescent="0.25">
      <c r="A19" s="361"/>
      <c r="B19" s="361"/>
      <c r="C19" s="361"/>
      <c r="D19" s="361"/>
      <c r="E19" s="361"/>
      <c r="F19" s="283" t="s">
        <v>216</v>
      </c>
      <c r="G19" s="125"/>
      <c r="H19" s="124"/>
      <c r="I19" s="125"/>
      <c r="J19" s="125"/>
      <c r="K19" s="125"/>
      <c r="L19" s="125"/>
      <c r="M19" s="125"/>
      <c r="N19" s="125"/>
      <c r="O19" s="125"/>
      <c r="P19" s="125"/>
      <c r="Q19" s="125"/>
      <c r="R19" s="125"/>
      <c r="S19" s="125"/>
      <c r="T19" s="124"/>
      <c r="U19" s="139"/>
      <c r="V19" s="139"/>
      <c r="W19" s="124"/>
      <c r="X19" s="124"/>
      <c r="Y19" s="124"/>
      <c r="Z19" s="139"/>
      <c r="AA19" s="139"/>
      <c r="AB19" s="139"/>
      <c r="AC19" s="125">
        <v>0</v>
      </c>
      <c r="AD19" s="125">
        <v>0</v>
      </c>
      <c r="AE19" s="139">
        <v>0</v>
      </c>
      <c r="AF19" s="125">
        <v>0</v>
      </c>
      <c r="AG19" s="125">
        <v>3498367</v>
      </c>
      <c r="AH19" s="125">
        <v>3498367</v>
      </c>
      <c r="AI19" s="125">
        <v>88785267</v>
      </c>
      <c r="AJ19" s="125">
        <f>92283634-AH19</f>
        <v>88785267</v>
      </c>
      <c r="AK19" s="125">
        <v>122743101</v>
      </c>
      <c r="AL19" s="125">
        <f>211528368-AJ19-AH19</f>
        <v>119244734</v>
      </c>
      <c r="AM19" s="125">
        <v>175067700</v>
      </c>
      <c r="AN19" s="125">
        <v>175067700</v>
      </c>
      <c r="AO19" s="125">
        <v>0</v>
      </c>
      <c r="AP19" s="125">
        <v>147283000</v>
      </c>
      <c r="AQ19" s="125">
        <v>0</v>
      </c>
      <c r="AR19" s="125">
        <v>142960000</v>
      </c>
      <c r="AS19" s="125">
        <v>0</v>
      </c>
      <c r="AT19" s="125">
        <v>149431400</v>
      </c>
      <c r="AU19" s="125">
        <v>0</v>
      </c>
      <c r="AV19" s="125">
        <v>147938000</v>
      </c>
      <c r="AW19" s="125">
        <v>0</v>
      </c>
      <c r="AX19" s="125">
        <v>139522000</v>
      </c>
      <c r="AY19" s="125">
        <v>0</v>
      </c>
      <c r="AZ19" s="125">
        <v>169754698</v>
      </c>
      <c r="BA19" s="137">
        <f>AY19+AW19+AU19+AS19+AQ19+AO19+AM19+AK19+AI19+AG19+AE19+AC19</f>
        <v>390094435</v>
      </c>
      <c r="BB19" s="137">
        <f t="shared" si="60"/>
        <v>390094435</v>
      </c>
      <c r="BC19" s="137">
        <f t="shared" si="60"/>
        <v>1283485166</v>
      </c>
      <c r="BD19" s="137">
        <f>AE19+AG19+AI19+AK19+AM19+AO19+AQ19+AS19+AU19+AW19+AY19+AC19</f>
        <v>390094435</v>
      </c>
      <c r="BE19" s="137">
        <f>AD19+AF19+AH19+AJ19+AL19+AN19+AP19+AR19+AT19+AV19+AX19+AZ19</f>
        <v>1283485166</v>
      </c>
      <c r="BF19" s="125">
        <v>0</v>
      </c>
      <c r="BG19" s="125">
        <v>0</v>
      </c>
      <c r="BH19" s="125">
        <v>0</v>
      </c>
      <c r="BI19" s="125"/>
      <c r="BJ19" s="125">
        <v>3828801</v>
      </c>
      <c r="BK19" s="125"/>
      <c r="BL19" s="125">
        <v>168435968</v>
      </c>
      <c r="BM19" s="125"/>
      <c r="BN19" s="125"/>
      <c r="BO19" s="125"/>
      <c r="BP19" s="125"/>
      <c r="BQ19" s="125"/>
      <c r="BR19" s="125"/>
      <c r="BS19" s="125"/>
      <c r="BT19" s="125"/>
      <c r="BU19" s="125"/>
      <c r="BV19" s="125"/>
      <c r="BW19" s="125"/>
      <c r="BX19" s="125"/>
      <c r="BY19" s="125"/>
      <c r="BZ19" s="125"/>
      <c r="CA19" s="125"/>
      <c r="CB19" s="125"/>
      <c r="CC19" s="125"/>
      <c r="CD19" s="125"/>
      <c r="CE19" s="125">
        <f>CC19+CA19+BY19+BW19+BU19+BS19+BQ19+BO19+BM19+BK19+BI19+BG19</f>
        <v>0</v>
      </c>
      <c r="CF19" s="125">
        <f t="shared" si="61"/>
        <v>0</v>
      </c>
      <c r="CG19" s="124">
        <f t="shared" si="61"/>
        <v>172264769</v>
      </c>
      <c r="CH19" s="124">
        <f>CC19+CA19+BY19+BW19+BU19+BS19+BQ19+BO19+BM19+BK19+BI19+BG19</f>
        <v>0</v>
      </c>
      <c r="CI19" s="124">
        <f>+BH19+BJ19+BL19</f>
        <v>172264769</v>
      </c>
      <c r="CJ19" s="125">
        <v>0</v>
      </c>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4"/>
      <c r="DJ19" s="137"/>
      <c r="DK19" s="137"/>
      <c r="DL19" s="124"/>
      <c r="DM19" s="137"/>
      <c r="DN19" s="125">
        <v>0</v>
      </c>
      <c r="DO19" s="127"/>
      <c r="DP19" s="127"/>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27"/>
      <c r="EM19" s="67">
        <f t="shared" ref="EM19:EM22" si="70">EI19+EG19+EE19+EC19+EA19+DY19+DW19+DU19+DS19+DQ19+DO19+EK19</f>
        <v>0</v>
      </c>
      <c r="EN19" s="128">
        <f t="shared" si="66"/>
        <v>0</v>
      </c>
      <c r="EO19" s="128">
        <f t="shared" si="67"/>
        <v>0</v>
      </c>
      <c r="EP19" s="124">
        <f t="shared" ref="EP19:EP20" si="71">DQ19+DS19+DU19+DW19+DY19+EA19+EC19+EE19+EG19+EI19+EK19</f>
        <v>0</v>
      </c>
      <c r="EQ19" s="128">
        <f t="shared" si="69"/>
        <v>0</v>
      </c>
      <c r="ER19" s="144" t="e">
        <f t="shared" si="10"/>
        <v>#DIV/0!</v>
      </c>
      <c r="ES19" s="144" t="e">
        <f t="shared" si="11"/>
        <v>#DIV/0!</v>
      </c>
      <c r="ET19" s="145" t="e">
        <f t="shared" si="12"/>
        <v>#DIV/0!</v>
      </c>
      <c r="EU19" s="145">
        <f t="shared" si="13"/>
        <v>3.7317885219254667</v>
      </c>
      <c r="EV19" s="145" t="e">
        <f t="shared" si="14"/>
        <v>#DIV/0!</v>
      </c>
      <c r="EW19" s="542"/>
      <c r="EX19" s="543"/>
      <c r="EY19" s="543"/>
      <c r="EZ19" s="543"/>
      <c r="FA19" s="543"/>
      <c r="FB19" s="362"/>
    </row>
    <row r="20" spans="1:159" s="126" customFormat="1" ht="24.75" customHeight="1" x14ac:dyDescent="0.25">
      <c r="A20" s="361"/>
      <c r="B20" s="361"/>
      <c r="C20" s="361"/>
      <c r="D20" s="361"/>
      <c r="E20" s="361"/>
      <c r="F20" s="281" t="s">
        <v>41</v>
      </c>
      <c r="G20" s="141">
        <f>+AA20+BD20+BF20+CJ20+DN20</f>
        <v>0</v>
      </c>
      <c r="H20" s="324">
        <v>0</v>
      </c>
      <c r="I20" s="324"/>
      <c r="J20" s="324"/>
      <c r="K20" s="324"/>
      <c r="L20" s="324"/>
      <c r="M20" s="324"/>
      <c r="N20" s="324"/>
      <c r="O20" s="324"/>
      <c r="P20" s="324"/>
      <c r="Q20" s="324"/>
      <c r="R20" s="324"/>
      <c r="S20" s="324"/>
      <c r="T20" s="324"/>
      <c r="U20" s="324"/>
      <c r="V20" s="324"/>
      <c r="W20" s="324">
        <v>0</v>
      </c>
      <c r="X20" s="324">
        <v>0</v>
      </c>
      <c r="Y20" s="324">
        <v>0</v>
      </c>
      <c r="Z20" s="324">
        <v>0</v>
      </c>
      <c r="AA20" s="324">
        <v>0</v>
      </c>
      <c r="AB20" s="324">
        <v>0</v>
      </c>
      <c r="AC20" s="324">
        <v>0</v>
      </c>
      <c r="AD20" s="324">
        <v>0</v>
      </c>
      <c r="AE20" s="324">
        <v>0</v>
      </c>
      <c r="AF20" s="324">
        <v>0</v>
      </c>
      <c r="AG20" s="324">
        <v>0</v>
      </c>
      <c r="AH20" s="324">
        <v>0</v>
      </c>
      <c r="AI20" s="324">
        <v>0</v>
      </c>
      <c r="AJ20" s="324">
        <v>0</v>
      </c>
      <c r="AK20" s="324">
        <v>0</v>
      </c>
      <c r="AL20" s="324">
        <v>0</v>
      </c>
      <c r="AM20" s="324">
        <v>0</v>
      </c>
      <c r="AN20" s="324">
        <v>0</v>
      </c>
      <c r="AO20" s="324">
        <v>0</v>
      </c>
      <c r="AP20" s="324">
        <v>0</v>
      </c>
      <c r="AQ20" s="324">
        <v>0</v>
      </c>
      <c r="AR20" s="324">
        <v>0</v>
      </c>
      <c r="AS20" s="324">
        <v>0</v>
      </c>
      <c r="AT20" s="324">
        <v>0</v>
      </c>
      <c r="AU20" s="324">
        <v>0</v>
      </c>
      <c r="AV20" s="324">
        <v>0</v>
      </c>
      <c r="AW20" s="324">
        <v>0</v>
      </c>
      <c r="AX20" s="324">
        <v>0</v>
      </c>
      <c r="AY20" s="324">
        <v>0</v>
      </c>
      <c r="AZ20" s="324">
        <v>0</v>
      </c>
      <c r="BA20" s="324">
        <f>AY20+AW20+AU20+AS20+AQ20+AO20+AM20+AK20+AI20+AG20+AE20+AC20</f>
        <v>0</v>
      </c>
      <c r="BB20" s="324">
        <f t="shared" si="60"/>
        <v>0</v>
      </c>
      <c r="BC20" s="324">
        <f t="shared" si="60"/>
        <v>0</v>
      </c>
      <c r="BD20" s="324">
        <f>AE20+AG20+AI20+AK20+AM20+AO20+AQ20+AS20+AU20+AW20+AY20+AC20</f>
        <v>0</v>
      </c>
      <c r="BE20" s="324">
        <f>AD20+AF20+AH20+AJ20+AL20+AN20+AP20+AR20+AT20+AV20+AX20+AZ20</f>
        <v>0</v>
      </c>
      <c r="BF20" s="324">
        <v>0</v>
      </c>
      <c r="BG20" s="299">
        <v>0</v>
      </c>
      <c r="BH20" s="299">
        <v>0</v>
      </c>
      <c r="BI20" s="299">
        <v>0</v>
      </c>
      <c r="BJ20" s="299">
        <v>0</v>
      </c>
      <c r="BK20" s="299">
        <v>0</v>
      </c>
      <c r="BL20" s="324">
        <v>0</v>
      </c>
      <c r="BM20" s="299">
        <v>0</v>
      </c>
      <c r="BN20" s="324"/>
      <c r="BO20" s="299">
        <v>0</v>
      </c>
      <c r="BP20" s="324"/>
      <c r="BQ20" s="299">
        <v>0</v>
      </c>
      <c r="BR20" s="324"/>
      <c r="BS20" s="299">
        <v>0</v>
      </c>
      <c r="BT20" s="324"/>
      <c r="BU20" s="299">
        <v>0</v>
      </c>
      <c r="BV20" s="324"/>
      <c r="BW20" s="299">
        <v>0</v>
      </c>
      <c r="BX20" s="324"/>
      <c r="BY20" s="299">
        <v>0</v>
      </c>
      <c r="BZ20" s="324"/>
      <c r="CA20" s="299">
        <v>0</v>
      </c>
      <c r="CB20" s="324"/>
      <c r="CC20" s="299">
        <v>0</v>
      </c>
      <c r="CD20" s="324"/>
      <c r="CE20" s="299">
        <f>CC20+CA20+BY20+BW20+BU20+BS20+BQ20+BO20+BM20+BK20+BI20+BG20</f>
        <v>0</v>
      </c>
      <c r="CF20" s="299">
        <f t="shared" si="61"/>
        <v>0</v>
      </c>
      <c r="CG20" s="285">
        <f t="shared" si="61"/>
        <v>0</v>
      </c>
      <c r="CH20" s="285">
        <f>CC20+CA20+BY20+BW20+BU20+BS20+BQ20+BO20+BM20+BK20+BI20+BG20</f>
        <v>0</v>
      </c>
      <c r="CI20" s="285">
        <f>+BH20+BJ20+BL20</f>
        <v>0</v>
      </c>
      <c r="CJ20" s="324">
        <v>0</v>
      </c>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f t="shared" ref="DI20:DI23" si="72">DE20+DC20+DA20+CY20+CW20+CU20+CS20+CQ20+CO20+CM20+CK20+DG20</f>
        <v>0</v>
      </c>
      <c r="DJ20" s="324">
        <f t="shared" ref="DJ20:DK23" si="73">CK20+CM20+CO20+CQ20</f>
        <v>0</v>
      </c>
      <c r="DK20" s="324">
        <f t="shared" si="73"/>
        <v>0</v>
      </c>
      <c r="DL20" s="142">
        <f t="shared" ref="DL20:DL21" si="74">CM20+CO20+CQ20+CS20+CU20+CW20+CY20+DA20+DC20+DE20+DG20</f>
        <v>0</v>
      </c>
      <c r="DM20" s="324">
        <f>CL20+CN20+CP20+CR20</f>
        <v>0</v>
      </c>
      <c r="DN20" s="324">
        <v>0</v>
      </c>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273">
        <f t="shared" si="70"/>
        <v>0</v>
      </c>
      <c r="EN20" s="131">
        <f t="shared" si="66"/>
        <v>0</v>
      </c>
      <c r="EO20" s="132">
        <f t="shared" si="67"/>
        <v>0</v>
      </c>
      <c r="EP20" s="112">
        <f t="shared" si="71"/>
        <v>0</v>
      </c>
      <c r="EQ20" s="273">
        <f t="shared" si="69"/>
        <v>0</v>
      </c>
      <c r="ER20" s="144" t="e">
        <f t="shared" si="10"/>
        <v>#DIV/0!</v>
      </c>
      <c r="ES20" s="144" t="e">
        <f t="shared" si="11"/>
        <v>#DIV/0!</v>
      </c>
      <c r="ET20" s="145" t="e">
        <f t="shared" si="12"/>
        <v>#DIV/0!</v>
      </c>
      <c r="EU20" s="145" t="e">
        <f t="shared" si="13"/>
        <v>#DIV/0!</v>
      </c>
      <c r="EV20" s="145" t="e">
        <f t="shared" si="14"/>
        <v>#DIV/0!</v>
      </c>
      <c r="EW20" s="542"/>
      <c r="EX20" s="543"/>
      <c r="EY20" s="543"/>
      <c r="EZ20" s="543"/>
      <c r="FA20" s="543"/>
      <c r="FB20" s="362"/>
    </row>
    <row r="21" spans="1:159" s="126" customFormat="1" ht="24.75" customHeight="1" x14ac:dyDescent="0.25">
      <c r="A21" s="361"/>
      <c r="B21" s="361"/>
      <c r="C21" s="361"/>
      <c r="D21" s="361"/>
      <c r="E21" s="361"/>
      <c r="F21" s="282" t="s">
        <v>4</v>
      </c>
      <c r="G21" s="125">
        <f>+AA21+BE21+CH21+CJ21+DN21</f>
        <v>225488235</v>
      </c>
      <c r="H21" s="124">
        <v>0</v>
      </c>
      <c r="I21" s="125">
        <v>0</v>
      </c>
      <c r="J21" s="125">
        <v>0</v>
      </c>
      <c r="K21" s="125">
        <v>0</v>
      </c>
      <c r="L21" s="125">
        <v>0</v>
      </c>
      <c r="M21" s="125">
        <v>0</v>
      </c>
      <c r="N21" s="125">
        <v>0</v>
      </c>
      <c r="O21" s="125">
        <v>0</v>
      </c>
      <c r="P21" s="125">
        <v>0</v>
      </c>
      <c r="Q21" s="125">
        <v>0</v>
      </c>
      <c r="R21" s="125">
        <v>0</v>
      </c>
      <c r="S21" s="125">
        <v>0</v>
      </c>
      <c r="T21" s="124">
        <v>0</v>
      </c>
      <c r="U21" s="139">
        <v>0</v>
      </c>
      <c r="V21" s="139">
        <v>0</v>
      </c>
      <c r="W21" s="124">
        <v>0</v>
      </c>
      <c r="X21" s="124">
        <v>0</v>
      </c>
      <c r="Y21" s="124">
        <v>0</v>
      </c>
      <c r="Z21" s="139">
        <v>0</v>
      </c>
      <c r="AA21" s="139">
        <v>0</v>
      </c>
      <c r="AB21" s="139">
        <v>220512384</v>
      </c>
      <c r="AC21" s="125">
        <v>62045867</v>
      </c>
      <c r="AD21" s="125">
        <v>62045867</v>
      </c>
      <c r="AE21" s="139">
        <v>68053533</v>
      </c>
      <c r="AF21" s="125">
        <f>130099400-AD21</f>
        <v>68053533</v>
      </c>
      <c r="AG21" s="125">
        <v>10948200</v>
      </c>
      <c r="AH21" s="125">
        <f>141047600-AF21-AD21</f>
        <v>10948200</v>
      </c>
      <c r="AI21" s="125">
        <v>8101667</v>
      </c>
      <c r="AJ21" s="125">
        <f>149149267-AH21-AF21-AD21</f>
        <v>8101667</v>
      </c>
      <c r="AK21" s="125">
        <v>15903967</v>
      </c>
      <c r="AL21" s="125">
        <f>165053234-AJ21-AH21-AF21-AD21</f>
        <v>15903967</v>
      </c>
      <c r="AM21" s="125">
        <v>5571367</v>
      </c>
      <c r="AN21" s="125">
        <v>5571367</v>
      </c>
      <c r="AO21" s="125">
        <v>0</v>
      </c>
      <c r="AP21" s="125">
        <v>0</v>
      </c>
      <c r="AQ21" s="125">
        <v>49887783</v>
      </c>
      <c r="AR21" s="125">
        <v>0</v>
      </c>
      <c r="AS21" s="125">
        <v>0</v>
      </c>
      <c r="AT21" s="125">
        <v>0</v>
      </c>
      <c r="AU21" s="125">
        <v>0</v>
      </c>
      <c r="AV21" s="125">
        <v>0</v>
      </c>
      <c r="AW21" s="125">
        <v>0</v>
      </c>
      <c r="AX21" s="125">
        <v>0</v>
      </c>
      <c r="AY21" s="125">
        <v>0</v>
      </c>
      <c r="AZ21" s="125"/>
      <c r="BA21" s="137">
        <f>AY21+AW21+AU21+AS21+AQ21+AO21+AM21+AK21+AI21+AG21+AE21+AC21</f>
        <v>220512384</v>
      </c>
      <c r="BB21" s="137">
        <f t="shared" si="60"/>
        <v>220512384</v>
      </c>
      <c r="BC21" s="137">
        <f t="shared" si="60"/>
        <v>170624601</v>
      </c>
      <c r="BD21" s="137">
        <f>AE21+AG21+AI21+AK21+AM21+AO21+AQ21+AS21+AU21+AW21+AY21+AC21</f>
        <v>220512384</v>
      </c>
      <c r="BE21" s="137">
        <f>AD21+AF21+AH21+AJ21+AL21+AN21+AP21+AR21+AT21+AV21+AX21+AZ21</f>
        <v>170624601</v>
      </c>
      <c r="BF21" s="125">
        <v>54863634</v>
      </c>
      <c r="BG21" s="125">
        <v>9071666</v>
      </c>
      <c r="BH21" s="125">
        <v>0</v>
      </c>
      <c r="BI21" s="125">
        <v>45791968</v>
      </c>
      <c r="BJ21" s="125">
        <v>45990566</v>
      </c>
      <c r="BK21" s="125"/>
      <c r="BL21" s="125">
        <v>5554400</v>
      </c>
      <c r="BM21" s="125"/>
      <c r="BN21" s="125"/>
      <c r="BO21" s="125"/>
      <c r="BP21" s="125"/>
      <c r="BQ21" s="125"/>
      <c r="BR21" s="125"/>
      <c r="BS21" s="125"/>
      <c r="BT21" s="125"/>
      <c r="BU21" s="125"/>
      <c r="BV21" s="125"/>
      <c r="BW21" s="125"/>
      <c r="BX21" s="125"/>
      <c r="BY21" s="125"/>
      <c r="BZ21" s="125"/>
      <c r="CA21" s="125"/>
      <c r="CB21" s="125"/>
      <c r="CC21" s="125"/>
      <c r="CD21" s="125"/>
      <c r="CE21" s="125">
        <f>CC21+CA21+BY21+BW21+BU21+BS21+BQ21+BO21+BM21+BK21+BI21+BG21</f>
        <v>54863634</v>
      </c>
      <c r="CF21" s="125">
        <f t="shared" si="61"/>
        <v>54863634</v>
      </c>
      <c r="CG21" s="124">
        <f t="shared" si="61"/>
        <v>51544966</v>
      </c>
      <c r="CH21" s="124">
        <f>CC21+CA21+BY21+BW21+BU21+BS21+BQ21+BO21+BM21+BK21+BI21+BG21</f>
        <v>54863634</v>
      </c>
      <c r="CI21" s="139">
        <f>+BH21+BJ21+BL21</f>
        <v>51544966</v>
      </c>
      <c r="CJ21" s="125">
        <v>0</v>
      </c>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4">
        <f t="shared" si="72"/>
        <v>0</v>
      </c>
      <c r="DJ21" s="137">
        <f t="shared" si="73"/>
        <v>0</v>
      </c>
      <c r="DK21" s="137">
        <f t="shared" si="73"/>
        <v>0</v>
      </c>
      <c r="DL21" s="124">
        <f t="shared" si="74"/>
        <v>0</v>
      </c>
      <c r="DM21" s="137">
        <f>CL21+CN21+CP21+CR21</f>
        <v>0</v>
      </c>
      <c r="DN21" s="125">
        <v>0</v>
      </c>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273">
        <f t="shared" si="70"/>
        <v>0</v>
      </c>
      <c r="EN21" s="128">
        <f t="shared" si="66"/>
        <v>0</v>
      </c>
      <c r="EO21" s="128">
        <f t="shared" si="67"/>
        <v>0</v>
      </c>
      <c r="EP21" s="124">
        <f t="shared" ref="EP21:EP22" si="75">DQ21+DS21+DU21+DW21+DY21+EA21+EC21+EE21+EG21+EI21+EK21+DO21</f>
        <v>0</v>
      </c>
      <c r="EQ21" s="128">
        <f t="shared" si="69"/>
        <v>0</v>
      </c>
      <c r="ER21" s="144" t="e">
        <f t="shared" si="10"/>
        <v>#DIV/0!</v>
      </c>
      <c r="ES21" s="144">
        <f t="shared" si="11"/>
        <v>0.93951060551329868</v>
      </c>
      <c r="ET21" s="145">
        <f t="shared" si="12"/>
        <v>0.93951060551329868</v>
      </c>
      <c r="EU21" s="145">
        <f t="shared" si="13"/>
        <v>0.80678618499015409</v>
      </c>
      <c r="EV21" s="145">
        <f t="shared" si="14"/>
        <v>0.98528230087037583</v>
      </c>
      <c r="EW21" s="542"/>
      <c r="EX21" s="543"/>
      <c r="EY21" s="543"/>
      <c r="EZ21" s="543"/>
      <c r="FA21" s="543"/>
      <c r="FB21" s="362"/>
    </row>
    <row r="22" spans="1:159" s="126" customFormat="1" ht="24.75" customHeight="1" thickBot="1" x14ac:dyDescent="0.3">
      <c r="A22" s="361"/>
      <c r="B22" s="361"/>
      <c r="C22" s="361"/>
      <c r="D22" s="361"/>
      <c r="E22" s="361"/>
      <c r="F22" s="281" t="s">
        <v>42</v>
      </c>
      <c r="G22" s="622">
        <f>+G17+G20</f>
        <v>29</v>
      </c>
      <c r="H22" s="595">
        <f>+H17+H19</f>
        <v>4</v>
      </c>
      <c r="I22" s="595"/>
      <c r="J22" s="595"/>
      <c r="K22" s="595"/>
      <c r="L22" s="595"/>
      <c r="M22" s="595"/>
      <c r="N22" s="595"/>
      <c r="O22" s="595"/>
      <c r="P22" s="595"/>
      <c r="Q22" s="595"/>
      <c r="R22" s="595"/>
      <c r="S22" s="595"/>
      <c r="T22" s="595"/>
      <c r="U22" s="595"/>
      <c r="V22" s="595"/>
      <c r="W22" s="595">
        <f t="shared" ref="W22:X23" si="76">+W17+W19</f>
        <v>4</v>
      </c>
      <c r="X22" s="595">
        <f t="shared" si="76"/>
        <v>4</v>
      </c>
      <c r="Y22" s="595">
        <f t="shared" ref="Y22:AM22" si="77">+Y17+Y20</f>
        <v>4</v>
      </c>
      <c r="Z22" s="595">
        <f t="shared" si="77"/>
        <v>4</v>
      </c>
      <c r="AA22" s="595">
        <f t="shared" si="77"/>
        <v>4</v>
      </c>
      <c r="AB22" s="595">
        <f t="shared" si="77"/>
        <v>8</v>
      </c>
      <c r="AC22" s="595">
        <f t="shared" si="77"/>
        <v>0.2</v>
      </c>
      <c r="AD22" s="595">
        <f t="shared" si="77"/>
        <v>0.2</v>
      </c>
      <c r="AE22" s="595">
        <f t="shared" si="77"/>
        <v>0.25</v>
      </c>
      <c r="AF22" s="595">
        <f t="shared" si="77"/>
        <v>0.25</v>
      </c>
      <c r="AG22" s="595">
        <f t="shared" si="77"/>
        <v>0.55000000000000004</v>
      </c>
      <c r="AH22" s="595">
        <f t="shared" si="77"/>
        <v>0.55000000000000004</v>
      </c>
      <c r="AI22" s="595">
        <f t="shared" si="77"/>
        <v>0.6</v>
      </c>
      <c r="AJ22" s="595">
        <f t="shared" si="77"/>
        <v>0.6</v>
      </c>
      <c r="AK22" s="595">
        <f t="shared" si="77"/>
        <v>0.7</v>
      </c>
      <c r="AL22" s="595">
        <f t="shared" si="77"/>
        <v>0.7</v>
      </c>
      <c r="AM22" s="595">
        <f t="shared" si="77"/>
        <v>0.7</v>
      </c>
      <c r="AN22" s="595">
        <f t="shared" ref="AN22" si="78">+AN17+AN20</f>
        <v>0.7</v>
      </c>
      <c r="AO22" s="595">
        <f t="shared" ref="AO22:AQ23" si="79">+AO17+AO20</f>
        <v>0.75</v>
      </c>
      <c r="AP22" s="595">
        <f t="shared" si="79"/>
        <v>0.75</v>
      </c>
      <c r="AQ22" s="595">
        <f t="shared" si="79"/>
        <v>0.85</v>
      </c>
      <c r="AR22" s="595">
        <f t="shared" ref="AR22" si="80">+AR17+AR20</f>
        <v>0.85</v>
      </c>
      <c r="AS22" s="595">
        <f t="shared" ref="AS22:AU23" si="81">+AS17+AS20</f>
        <v>1.05</v>
      </c>
      <c r="AT22" s="595">
        <f t="shared" si="81"/>
        <v>1.05</v>
      </c>
      <c r="AU22" s="595">
        <f t="shared" si="81"/>
        <v>0.85</v>
      </c>
      <c r="AV22" s="595">
        <f t="shared" ref="AV22:AX22" si="82">+AV17+AV20</f>
        <v>0.85</v>
      </c>
      <c r="AW22" s="595">
        <f>+AW17+AW20</f>
        <v>0.6</v>
      </c>
      <c r="AX22" s="595">
        <f t="shared" si="82"/>
        <v>0.6</v>
      </c>
      <c r="AY22" s="595">
        <f>+AY17+AY20</f>
        <v>0.9</v>
      </c>
      <c r="AZ22" s="595">
        <f t="shared" ref="AZ22" si="83">+AZ17+AZ20</f>
        <v>0.9</v>
      </c>
      <c r="BA22" s="595">
        <f t="shared" ref="BA22:BE23" si="84">+BA17+BA20</f>
        <v>8</v>
      </c>
      <c r="BB22" s="595">
        <f>+BB17+BB20</f>
        <v>7.9999999999999991</v>
      </c>
      <c r="BC22" s="595">
        <f t="shared" si="84"/>
        <v>7.9999999999999991</v>
      </c>
      <c r="BD22" s="595">
        <f t="shared" si="84"/>
        <v>7.9999999999999991</v>
      </c>
      <c r="BE22" s="595">
        <f t="shared" si="84"/>
        <v>7.9999999999999991</v>
      </c>
      <c r="BF22" s="595">
        <f t="shared" ref="BF22:CD22" si="85">+BF17+BF20</f>
        <v>6</v>
      </c>
      <c r="BG22" s="595">
        <f t="shared" si="85"/>
        <v>0.2</v>
      </c>
      <c r="BH22" s="595">
        <f t="shared" si="85"/>
        <v>0</v>
      </c>
      <c r="BI22" s="595">
        <f t="shared" si="85"/>
        <v>0.25</v>
      </c>
      <c r="BJ22" s="595">
        <f t="shared" ref="BJ22" si="86">+BJ17+BJ20</f>
        <v>0.45</v>
      </c>
      <c r="BK22" s="595">
        <f t="shared" si="85"/>
        <v>0.55000000000000004</v>
      </c>
      <c r="BL22" s="595">
        <f t="shared" si="85"/>
        <v>0.55000000000000004</v>
      </c>
      <c r="BM22" s="595">
        <f t="shared" si="85"/>
        <v>0.60000000000000009</v>
      </c>
      <c r="BN22" s="595">
        <f t="shared" si="85"/>
        <v>0</v>
      </c>
      <c r="BO22" s="595">
        <f t="shared" si="85"/>
        <v>0.7</v>
      </c>
      <c r="BP22" s="595">
        <f t="shared" si="85"/>
        <v>0</v>
      </c>
      <c r="BQ22" s="595">
        <f t="shared" si="85"/>
        <v>0.7</v>
      </c>
      <c r="BR22" s="595">
        <f t="shared" si="85"/>
        <v>0</v>
      </c>
      <c r="BS22" s="595">
        <f t="shared" si="85"/>
        <v>0.30000000000000004</v>
      </c>
      <c r="BT22" s="595">
        <f t="shared" si="85"/>
        <v>0</v>
      </c>
      <c r="BU22" s="595">
        <f t="shared" si="85"/>
        <v>0.2</v>
      </c>
      <c r="BV22" s="595">
        <f t="shared" si="85"/>
        <v>0</v>
      </c>
      <c r="BW22" s="595">
        <f t="shared" si="85"/>
        <v>0.6</v>
      </c>
      <c r="BX22" s="595">
        <f t="shared" si="85"/>
        <v>0</v>
      </c>
      <c r="BY22" s="595">
        <f t="shared" si="85"/>
        <v>0.6</v>
      </c>
      <c r="BZ22" s="595">
        <f t="shared" si="85"/>
        <v>0</v>
      </c>
      <c r="CA22" s="595">
        <f t="shared" si="85"/>
        <v>0.7</v>
      </c>
      <c r="CB22" s="595">
        <f t="shared" si="85"/>
        <v>0</v>
      </c>
      <c r="CC22" s="595">
        <f t="shared" si="85"/>
        <v>0.6</v>
      </c>
      <c r="CD22" s="595">
        <f t="shared" si="85"/>
        <v>0</v>
      </c>
      <c r="CE22" s="595">
        <f>+CE17+CE20</f>
        <v>6</v>
      </c>
      <c r="CF22" s="595">
        <f t="shared" ref="CF22:CI22" si="87">+CF17+CF20</f>
        <v>1</v>
      </c>
      <c r="CG22" s="595">
        <f t="shared" si="87"/>
        <v>1</v>
      </c>
      <c r="CH22" s="623">
        <f t="shared" si="87"/>
        <v>6</v>
      </c>
      <c r="CI22" s="623">
        <f t="shared" si="87"/>
        <v>1</v>
      </c>
      <c r="CJ22" s="595">
        <v>8</v>
      </c>
      <c r="CK22" s="595"/>
      <c r="CL22" s="595"/>
      <c r="CM22" s="595"/>
      <c r="CN22" s="595"/>
      <c r="CO22" s="595"/>
      <c r="CP22" s="595"/>
      <c r="CQ22" s="595"/>
      <c r="CR22" s="595"/>
      <c r="CS22" s="595"/>
      <c r="CT22" s="595"/>
      <c r="CU22" s="595"/>
      <c r="CV22" s="595"/>
      <c r="CW22" s="595"/>
      <c r="CX22" s="595"/>
      <c r="CY22" s="595"/>
      <c r="CZ22" s="595"/>
      <c r="DA22" s="595"/>
      <c r="DB22" s="595"/>
      <c r="DC22" s="595"/>
      <c r="DD22" s="595"/>
      <c r="DE22" s="595"/>
      <c r="DF22" s="595"/>
      <c r="DG22" s="595"/>
      <c r="DH22" s="595"/>
      <c r="DI22" s="595">
        <f t="shared" si="72"/>
        <v>0</v>
      </c>
      <c r="DJ22" s="595">
        <f t="shared" si="73"/>
        <v>0</v>
      </c>
      <c r="DK22" s="595">
        <f t="shared" si="73"/>
        <v>0</v>
      </c>
      <c r="DL22" s="624">
        <f t="shared" ref="DL22:DL23" si="88">CM22+CO22+CQ22+CS22+CU22+CW22+CY22+DA22+DC22+DE22+DG22+CK22</f>
        <v>0</v>
      </c>
      <c r="DM22" s="595">
        <f>CL22+CN22+CP22+CR22</f>
        <v>0</v>
      </c>
      <c r="DN22" s="595">
        <v>4</v>
      </c>
      <c r="DO22" s="625"/>
      <c r="DP22" s="625"/>
      <c r="DQ22" s="625"/>
      <c r="DR22" s="625"/>
      <c r="DS22" s="625"/>
      <c r="DT22" s="625"/>
      <c r="DU22" s="625"/>
      <c r="DV22" s="625"/>
      <c r="DW22" s="625"/>
      <c r="DX22" s="625"/>
      <c r="DY22" s="625"/>
      <c r="DZ22" s="625"/>
      <c r="EA22" s="625"/>
      <c r="EB22" s="625"/>
      <c r="EC22" s="625"/>
      <c r="ED22" s="625"/>
      <c r="EE22" s="625"/>
      <c r="EF22" s="625"/>
      <c r="EG22" s="625"/>
      <c r="EH22" s="625"/>
      <c r="EI22" s="625"/>
      <c r="EJ22" s="625"/>
      <c r="EK22" s="625"/>
      <c r="EL22" s="625"/>
      <c r="EM22" s="595">
        <f t="shared" si="70"/>
        <v>0</v>
      </c>
      <c r="EN22" s="626">
        <f t="shared" si="66"/>
        <v>0</v>
      </c>
      <c r="EO22" s="626">
        <f t="shared" si="67"/>
        <v>0</v>
      </c>
      <c r="EP22" s="597">
        <f t="shared" si="75"/>
        <v>0</v>
      </c>
      <c r="EQ22" s="626">
        <f t="shared" ref="EQ22" si="89">DR22+DT22+DV22+DP22</f>
        <v>0</v>
      </c>
      <c r="ER22" s="602">
        <f t="shared" si="10"/>
        <v>1</v>
      </c>
      <c r="ES22" s="602">
        <f t="shared" si="11"/>
        <v>1</v>
      </c>
      <c r="ET22" s="603">
        <f t="shared" si="12"/>
        <v>0.16666666666666666</v>
      </c>
      <c r="EU22" s="603">
        <f t="shared" si="13"/>
        <v>0.72222222222222221</v>
      </c>
      <c r="EV22" s="603">
        <f t="shared" si="14"/>
        <v>0.44827586206896552</v>
      </c>
      <c r="EW22" s="542"/>
      <c r="EX22" s="543"/>
      <c r="EY22" s="543"/>
      <c r="EZ22" s="543"/>
      <c r="FA22" s="543"/>
      <c r="FB22" s="362"/>
    </row>
    <row r="23" spans="1:159" s="136" customFormat="1" ht="24.75" customHeight="1" thickBot="1" x14ac:dyDescent="0.3">
      <c r="A23" s="361"/>
      <c r="B23" s="361"/>
      <c r="C23" s="361"/>
      <c r="D23" s="361"/>
      <c r="E23" s="361"/>
      <c r="F23" s="590" t="s">
        <v>44</v>
      </c>
      <c r="G23" s="611">
        <f>+G18+G21</f>
        <v>10759967140</v>
      </c>
      <c r="H23" s="613">
        <f>+H18+H20</f>
        <v>613840322</v>
      </c>
      <c r="I23" s="612"/>
      <c r="J23" s="612"/>
      <c r="K23" s="612"/>
      <c r="L23" s="612"/>
      <c r="M23" s="612"/>
      <c r="N23" s="612"/>
      <c r="O23" s="612"/>
      <c r="P23" s="612"/>
      <c r="Q23" s="612"/>
      <c r="R23" s="612"/>
      <c r="S23" s="612"/>
      <c r="T23" s="613"/>
      <c r="U23" s="633"/>
      <c r="V23" s="633"/>
      <c r="W23" s="613">
        <f t="shared" si="76"/>
        <v>613840322</v>
      </c>
      <c r="X23" s="613">
        <f t="shared" si="76"/>
        <v>613840322</v>
      </c>
      <c r="Y23" s="613">
        <f t="shared" ref="Y23:AM23" si="90">+Y18+Y21</f>
        <v>670473105</v>
      </c>
      <c r="Z23" s="633">
        <f t="shared" si="90"/>
        <v>826840322</v>
      </c>
      <c r="AA23" s="633">
        <f t="shared" si="90"/>
        <v>670473105</v>
      </c>
      <c r="AB23" s="633">
        <f t="shared" si="90"/>
        <v>1594569384</v>
      </c>
      <c r="AC23" s="633">
        <f t="shared" si="90"/>
        <v>62045867</v>
      </c>
      <c r="AD23" s="612">
        <f t="shared" si="90"/>
        <v>62045867</v>
      </c>
      <c r="AE23" s="633">
        <f t="shared" si="90"/>
        <v>650103533</v>
      </c>
      <c r="AF23" s="612">
        <f t="shared" si="90"/>
        <v>650103533</v>
      </c>
      <c r="AG23" s="612">
        <f t="shared" si="90"/>
        <v>550515200</v>
      </c>
      <c r="AH23" s="612">
        <f t="shared" si="90"/>
        <v>550515200</v>
      </c>
      <c r="AI23" s="612">
        <f t="shared" si="90"/>
        <v>102213667</v>
      </c>
      <c r="AJ23" s="612">
        <f t="shared" si="90"/>
        <v>102213667</v>
      </c>
      <c r="AK23" s="612">
        <f t="shared" si="90"/>
        <v>15903967</v>
      </c>
      <c r="AL23" s="612">
        <f>+AL18+AL21</f>
        <v>15903967</v>
      </c>
      <c r="AM23" s="612">
        <f t="shared" si="90"/>
        <v>5571367</v>
      </c>
      <c r="AN23" s="612">
        <f t="shared" ref="AN23" si="91">+AN18+AN21</f>
        <v>5571367</v>
      </c>
      <c r="AO23" s="612">
        <f t="shared" si="79"/>
        <v>0</v>
      </c>
      <c r="AP23" s="612">
        <f t="shared" si="79"/>
        <v>24890000</v>
      </c>
      <c r="AQ23" s="612">
        <f t="shared" si="79"/>
        <v>87855383</v>
      </c>
      <c r="AR23" s="612">
        <f t="shared" ref="AR23" si="92">+AR18+AR21</f>
        <v>0</v>
      </c>
      <c r="AS23" s="612">
        <f t="shared" si="81"/>
        <v>53907914</v>
      </c>
      <c r="AT23" s="612">
        <f t="shared" si="81"/>
        <v>15763667</v>
      </c>
      <c r="AU23" s="612">
        <f t="shared" si="81"/>
        <v>37967600</v>
      </c>
      <c r="AV23" s="612">
        <f t="shared" ref="AV23:AX23" si="93">+AV18+AV21</f>
        <v>42747866</v>
      </c>
      <c r="AW23" s="612">
        <f>+AW18+AW21</f>
        <v>22212600</v>
      </c>
      <c r="AX23" s="612">
        <f t="shared" si="93"/>
        <v>26787667</v>
      </c>
      <c r="AY23" s="612">
        <f>+AY18+AY21</f>
        <v>22212600</v>
      </c>
      <c r="AZ23" s="612">
        <f t="shared" ref="AZ23" si="94">+AZ18+AZ21</f>
        <v>12430600</v>
      </c>
      <c r="BA23" s="614">
        <f t="shared" si="84"/>
        <v>1610509698</v>
      </c>
      <c r="BB23" s="614">
        <f t="shared" si="84"/>
        <v>1610509698</v>
      </c>
      <c r="BC23" s="614">
        <f t="shared" si="84"/>
        <v>1508973401</v>
      </c>
      <c r="BD23" s="614">
        <f t="shared" si="84"/>
        <v>1610509698</v>
      </c>
      <c r="BE23" s="614">
        <f t="shared" si="84"/>
        <v>1508973401</v>
      </c>
      <c r="BF23" s="614">
        <f t="shared" ref="BF23:CD23" si="95">+BF18+BF21</f>
        <v>6185295634</v>
      </c>
      <c r="BG23" s="614">
        <f t="shared" si="95"/>
        <v>1629512666</v>
      </c>
      <c r="BH23" s="614">
        <f>+BH18+BH21</f>
        <v>1835843000</v>
      </c>
      <c r="BI23" s="614">
        <f t="shared" si="95"/>
        <v>45791968</v>
      </c>
      <c r="BJ23" s="614">
        <f t="shared" ref="BJ23" si="96">+BJ18+BJ21</f>
        <v>45990566</v>
      </c>
      <c r="BK23" s="614">
        <f t="shared" si="95"/>
        <v>113827000</v>
      </c>
      <c r="BL23" s="614">
        <f t="shared" si="95"/>
        <v>5554400</v>
      </c>
      <c r="BM23" s="614">
        <f t="shared" si="95"/>
        <v>450000000</v>
      </c>
      <c r="BN23" s="614">
        <f t="shared" si="95"/>
        <v>0</v>
      </c>
      <c r="BO23" s="614">
        <f t="shared" si="95"/>
        <v>0</v>
      </c>
      <c r="BP23" s="614">
        <f t="shared" si="95"/>
        <v>0</v>
      </c>
      <c r="BQ23" s="614">
        <f t="shared" si="95"/>
        <v>4034991000</v>
      </c>
      <c r="BR23" s="614">
        <f t="shared" si="95"/>
        <v>0</v>
      </c>
      <c r="BS23" s="614">
        <f t="shared" si="95"/>
        <v>0</v>
      </c>
      <c r="BT23" s="614">
        <f t="shared" si="95"/>
        <v>0</v>
      </c>
      <c r="BU23" s="614">
        <f t="shared" si="95"/>
        <v>0</v>
      </c>
      <c r="BV23" s="614">
        <f t="shared" si="95"/>
        <v>0</v>
      </c>
      <c r="BW23" s="614">
        <f t="shared" si="95"/>
        <v>0</v>
      </c>
      <c r="BX23" s="614">
        <f t="shared" si="95"/>
        <v>0</v>
      </c>
      <c r="BY23" s="614">
        <f t="shared" si="95"/>
        <v>0</v>
      </c>
      <c r="BZ23" s="614">
        <f t="shared" si="95"/>
        <v>0</v>
      </c>
      <c r="CA23" s="614">
        <f t="shared" si="95"/>
        <v>0</v>
      </c>
      <c r="CB23" s="614">
        <f t="shared" si="95"/>
        <v>0</v>
      </c>
      <c r="CC23" s="614">
        <f t="shared" si="95"/>
        <v>0</v>
      </c>
      <c r="CD23" s="614">
        <f t="shared" si="95"/>
        <v>0</v>
      </c>
      <c r="CE23" s="614">
        <f>+CE18+CE21</f>
        <v>6274122634</v>
      </c>
      <c r="CF23" s="614">
        <f t="shared" ref="CF23:CI23" si="97">+CF18+CF21</f>
        <v>1789131634</v>
      </c>
      <c r="CG23" s="614">
        <f t="shared" si="97"/>
        <v>1887387966</v>
      </c>
      <c r="CH23" s="613">
        <f t="shared" si="97"/>
        <v>6274122634</v>
      </c>
      <c r="CI23" s="613">
        <f t="shared" si="97"/>
        <v>1887387966</v>
      </c>
      <c r="CJ23" s="612">
        <v>1515392000</v>
      </c>
      <c r="CK23" s="612"/>
      <c r="CL23" s="612"/>
      <c r="CM23" s="612"/>
      <c r="CN23" s="612"/>
      <c r="CO23" s="612"/>
      <c r="CP23" s="612"/>
      <c r="CQ23" s="612"/>
      <c r="CR23" s="612"/>
      <c r="CS23" s="612"/>
      <c r="CT23" s="612"/>
      <c r="CU23" s="612"/>
      <c r="CV23" s="612"/>
      <c r="CW23" s="612"/>
      <c r="CX23" s="612"/>
      <c r="CY23" s="612"/>
      <c r="CZ23" s="612"/>
      <c r="DA23" s="612"/>
      <c r="DB23" s="612"/>
      <c r="DC23" s="612"/>
      <c r="DD23" s="612"/>
      <c r="DE23" s="612"/>
      <c r="DF23" s="612"/>
      <c r="DG23" s="612"/>
      <c r="DH23" s="612"/>
      <c r="DI23" s="613">
        <f t="shared" si="72"/>
        <v>0</v>
      </c>
      <c r="DJ23" s="614">
        <f t="shared" si="73"/>
        <v>0</v>
      </c>
      <c r="DK23" s="614">
        <f t="shared" si="73"/>
        <v>0</v>
      </c>
      <c r="DL23" s="613">
        <f t="shared" si="88"/>
        <v>0</v>
      </c>
      <c r="DM23" s="614">
        <f t="shared" ref="DM23" si="98">CN23+CP23+CR23+CL23</f>
        <v>0</v>
      </c>
      <c r="DN23" s="612">
        <v>791006000</v>
      </c>
      <c r="DO23" s="634"/>
      <c r="DP23" s="634"/>
      <c r="DQ23" s="634"/>
      <c r="DR23" s="634"/>
      <c r="DS23" s="634"/>
      <c r="DT23" s="634"/>
      <c r="DU23" s="634"/>
      <c r="DV23" s="634"/>
      <c r="DW23" s="634"/>
      <c r="DX23" s="634"/>
      <c r="DY23" s="634"/>
      <c r="DZ23" s="634"/>
      <c r="EA23" s="634"/>
      <c r="EB23" s="634"/>
      <c r="EC23" s="634"/>
      <c r="ED23" s="634"/>
      <c r="EE23" s="634"/>
      <c r="EF23" s="634"/>
      <c r="EG23" s="634"/>
      <c r="EH23" s="634"/>
      <c r="EI23" s="634"/>
      <c r="EJ23" s="634"/>
      <c r="EK23" s="634"/>
      <c r="EL23" s="634"/>
      <c r="EM23" s="616">
        <f t="shared" ref="EM23:EM25" si="99">EK23+EI23+EG23+EE23+EC23+EA23+DY23+DW23+DU23+DS23+DQ23+DO23</f>
        <v>0</v>
      </c>
      <c r="EN23" s="617">
        <f t="shared" si="57"/>
        <v>0</v>
      </c>
      <c r="EO23" s="618">
        <f t="shared" si="58"/>
        <v>0</v>
      </c>
      <c r="EP23" s="617">
        <f t="shared" ref="EP23:EQ23" si="100">+EP18+EP21</f>
        <v>0</v>
      </c>
      <c r="EQ23" s="617">
        <f t="shared" si="100"/>
        <v>0</v>
      </c>
      <c r="ER23" s="619">
        <f t="shared" si="10"/>
        <v>4.8796858390364323E-2</v>
      </c>
      <c r="ES23" s="619">
        <f t="shared" si="11"/>
        <v>1.0549184476607383</v>
      </c>
      <c r="ET23" s="620">
        <f t="shared" si="12"/>
        <v>0.3008210193042905</v>
      </c>
      <c r="EU23" s="620">
        <f t="shared" si="13"/>
        <v>0.46683662263838405</v>
      </c>
      <c r="EV23" s="621">
        <f t="shared" si="14"/>
        <v>0.37795974830458451</v>
      </c>
      <c r="EW23" s="591"/>
      <c r="EX23" s="543"/>
      <c r="EY23" s="543"/>
      <c r="EZ23" s="543"/>
      <c r="FA23" s="543"/>
      <c r="FB23" s="362"/>
    </row>
    <row r="24" spans="1:159" s="4" customFormat="1" ht="24.75" customHeight="1" x14ac:dyDescent="0.25">
      <c r="A24" s="361" t="s">
        <v>305</v>
      </c>
      <c r="B24" s="361">
        <v>3</v>
      </c>
      <c r="C24" s="361" t="s">
        <v>591</v>
      </c>
      <c r="D24" s="361" t="s">
        <v>266</v>
      </c>
      <c r="E24" s="361">
        <v>272</v>
      </c>
      <c r="F24" s="281" t="s">
        <v>40</v>
      </c>
      <c r="G24" s="604">
        <f>+AA24+BD24+BF24+CJ24+DN24</f>
        <v>8</v>
      </c>
      <c r="H24" s="605">
        <v>1</v>
      </c>
      <c r="I24" s="605"/>
      <c r="J24" s="605"/>
      <c r="K24" s="605"/>
      <c r="L24" s="605"/>
      <c r="M24" s="605"/>
      <c r="N24" s="605"/>
      <c r="O24" s="605"/>
      <c r="P24" s="605"/>
      <c r="Q24" s="605"/>
      <c r="R24" s="605"/>
      <c r="S24" s="605"/>
      <c r="T24" s="605"/>
      <c r="U24" s="605"/>
      <c r="V24" s="605"/>
      <c r="W24" s="605">
        <v>1</v>
      </c>
      <c r="X24" s="605">
        <v>1</v>
      </c>
      <c r="Y24" s="605">
        <v>1</v>
      </c>
      <c r="Z24" s="605">
        <v>1</v>
      </c>
      <c r="AA24" s="605">
        <v>1</v>
      </c>
      <c r="AB24" s="605">
        <v>2</v>
      </c>
      <c r="AC24" s="606">
        <v>0.17</v>
      </c>
      <c r="AD24" s="606">
        <v>0.15</v>
      </c>
      <c r="AE24" s="606">
        <v>0.17</v>
      </c>
      <c r="AF24" s="606">
        <v>0.11</v>
      </c>
      <c r="AG24" s="606">
        <v>0.17</v>
      </c>
      <c r="AH24" s="606">
        <v>0.1</v>
      </c>
      <c r="AI24" s="606">
        <v>0.17</v>
      </c>
      <c r="AJ24" s="606">
        <v>0.15</v>
      </c>
      <c r="AK24" s="606">
        <v>0.14000000000000001</v>
      </c>
      <c r="AL24" s="606">
        <v>0.14000000000000001</v>
      </c>
      <c r="AM24" s="606">
        <v>0.17</v>
      </c>
      <c r="AN24" s="606">
        <v>0.35</v>
      </c>
      <c r="AO24" s="606">
        <v>0.17</v>
      </c>
      <c r="AP24" s="606">
        <v>0.26</v>
      </c>
      <c r="AQ24" s="606">
        <v>0.17</v>
      </c>
      <c r="AR24" s="606">
        <v>0.13</v>
      </c>
      <c r="AS24" s="606">
        <v>0.17</v>
      </c>
      <c r="AT24" s="606">
        <v>0.17</v>
      </c>
      <c r="AU24" s="606">
        <v>0.17</v>
      </c>
      <c r="AV24" s="606">
        <v>0.21</v>
      </c>
      <c r="AW24" s="606">
        <v>0.17</v>
      </c>
      <c r="AX24" s="606">
        <v>0.17</v>
      </c>
      <c r="AY24" s="606">
        <v>0.16</v>
      </c>
      <c r="AZ24" s="606">
        <v>0.06</v>
      </c>
      <c r="BA24" s="627">
        <f>AY24+AW24+AU24+AS24+AQ24+AO24+AM24+AK24+AI24+AG24+AE24+AC24</f>
        <v>1.9999999999999996</v>
      </c>
      <c r="BB24" s="627">
        <f t="shared" ref="BB24:BC28" si="101">AC24+AE24+AG24+AI24+AK24+AM24+AO24+AQ24+AS24+AU24+AW24+AY24</f>
        <v>1.9999999999999998</v>
      </c>
      <c r="BC24" s="627">
        <f t="shared" si="101"/>
        <v>2</v>
      </c>
      <c r="BD24" s="627">
        <f>AE24+AG24+AI24+AK24+AM24+AO24+AQ24+AS24+AU24+AW24+AY24+AC24</f>
        <v>1.9999999999999998</v>
      </c>
      <c r="BE24" s="627">
        <f>AD24+AF24+AH24+AJ24+AL24+AN24+AP24+AR24+AT24+AV24+AX24+AZ24</f>
        <v>2</v>
      </c>
      <c r="BF24" s="605">
        <v>2</v>
      </c>
      <c r="BG24" s="606">
        <v>0.17</v>
      </c>
      <c r="BH24" s="606">
        <v>0</v>
      </c>
      <c r="BI24" s="606">
        <v>0.17</v>
      </c>
      <c r="BJ24" s="606">
        <v>0.33</v>
      </c>
      <c r="BK24" s="606">
        <v>0.17</v>
      </c>
      <c r="BL24" s="606">
        <v>0.17</v>
      </c>
      <c r="BM24" s="606">
        <v>0.17</v>
      </c>
      <c r="BN24" s="606"/>
      <c r="BO24" s="606">
        <v>0.14000000000000001</v>
      </c>
      <c r="BP24" s="606"/>
      <c r="BQ24" s="606">
        <v>0.18</v>
      </c>
      <c r="BR24" s="606"/>
      <c r="BS24" s="606">
        <v>0.17</v>
      </c>
      <c r="BT24" s="606"/>
      <c r="BU24" s="606">
        <v>0.17</v>
      </c>
      <c r="BV24" s="606"/>
      <c r="BW24" s="606">
        <v>0.17</v>
      </c>
      <c r="BX24" s="606"/>
      <c r="BY24" s="606">
        <v>0.17</v>
      </c>
      <c r="BZ24" s="606"/>
      <c r="CA24" s="606">
        <v>0.17</v>
      </c>
      <c r="CB24" s="606"/>
      <c r="CC24" s="606">
        <v>0.15</v>
      </c>
      <c r="CD24" s="606"/>
      <c r="CE24" s="605">
        <f>CC24+CA24+BY24+BW24+BU24+BS24+BQ24+BO24+BM24+BK24+BI24+BG24</f>
        <v>1.9999999999999996</v>
      </c>
      <c r="CF24" s="605">
        <f t="shared" ref="CF24:CG28" si="102">+BG24+BI24+BK24</f>
        <v>0.51</v>
      </c>
      <c r="CG24" s="607">
        <f t="shared" si="102"/>
        <v>0.5</v>
      </c>
      <c r="CH24" s="607">
        <f>CC24+CA24+BY24+BW24+BU24+BS24+BQ24+BO24+BM24+BK24+BI24+BG24</f>
        <v>1.9999999999999996</v>
      </c>
      <c r="CI24" s="607">
        <f>+BH24+BJ24+BL24</f>
        <v>0.5</v>
      </c>
      <c r="CJ24" s="605">
        <v>2</v>
      </c>
      <c r="CK24" s="605"/>
      <c r="CL24" s="605"/>
      <c r="CM24" s="605"/>
      <c r="CN24" s="605"/>
      <c r="CO24" s="605"/>
      <c r="CP24" s="605"/>
      <c r="CQ24" s="605"/>
      <c r="CR24" s="605"/>
      <c r="CS24" s="605"/>
      <c r="CT24" s="605"/>
      <c r="CU24" s="605"/>
      <c r="CV24" s="605"/>
      <c r="CW24" s="605"/>
      <c r="CX24" s="605"/>
      <c r="CY24" s="605"/>
      <c r="CZ24" s="605"/>
      <c r="DA24" s="605"/>
      <c r="DB24" s="605"/>
      <c r="DC24" s="605"/>
      <c r="DD24" s="605"/>
      <c r="DE24" s="605"/>
      <c r="DF24" s="605"/>
      <c r="DG24" s="605"/>
      <c r="DH24" s="605"/>
      <c r="DI24" s="605">
        <v>0</v>
      </c>
      <c r="DJ24" s="605">
        <v>0</v>
      </c>
      <c r="DK24" s="605">
        <v>0</v>
      </c>
      <c r="DL24" s="608">
        <v>0</v>
      </c>
      <c r="DM24" s="605">
        <v>0</v>
      </c>
      <c r="DN24" s="605">
        <v>1</v>
      </c>
      <c r="DO24" s="628"/>
      <c r="DP24" s="628"/>
      <c r="DQ24" s="628"/>
      <c r="DR24" s="628"/>
      <c r="DS24" s="628"/>
      <c r="DT24" s="628"/>
      <c r="DU24" s="628"/>
      <c r="DV24" s="628"/>
      <c r="DW24" s="628"/>
      <c r="DX24" s="628"/>
      <c r="DY24" s="628"/>
      <c r="DZ24" s="628"/>
      <c r="EA24" s="628"/>
      <c r="EB24" s="628"/>
      <c r="EC24" s="628"/>
      <c r="ED24" s="628"/>
      <c r="EE24" s="628"/>
      <c r="EF24" s="628"/>
      <c r="EG24" s="629"/>
      <c r="EH24" s="629"/>
      <c r="EI24" s="629"/>
      <c r="EJ24" s="629"/>
      <c r="EK24" s="629"/>
      <c r="EL24" s="629"/>
      <c r="EM24" s="630">
        <f t="shared" si="99"/>
        <v>0</v>
      </c>
      <c r="EN24" s="629">
        <f t="shared" ref="EN24:EN29" si="103">DO24+DQ24+DS24+DU24</f>
        <v>0</v>
      </c>
      <c r="EO24" s="631">
        <f t="shared" ref="EO24:EO29" si="104">DP24+DR24+DT24+DV24</f>
        <v>0</v>
      </c>
      <c r="EP24" s="632">
        <f t="shared" ref="EP24:EP25" si="105">DQ24+DS24+DU24+DW24+DY24+EA24+EC24+EE24+EG24+EI24+EK24+DO24</f>
        <v>0</v>
      </c>
      <c r="EQ24" s="629">
        <f t="shared" ref="EQ24:EQ28" si="106">DP24+DR24+DT24+DV24</f>
        <v>0</v>
      </c>
      <c r="ER24" s="609">
        <f t="shared" si="10"/>
        <v>1</v>
      </c>
      <c r="ES24" s="609">
        <f t="shared" si="11"/>
        <v>0.98039215686274506</v>
      </c>
      <c r="ET24" s="610">
        <f t="shared" si="12"/>
        <v>0.25000000000000006</v>
      </c>
      <c r="EU24" s="610">
        <f t="shared" si="13"/>
        <v>0.7</v>
      </c>
      <c r="EV24" s="610">
        <f t="shared" si="14"/>
        <v>0.4375</v>
      </c>
      <c r="EW24" s="544" t="s">
        <v>648</v>
      </c>
      <c r="EX24" s="543" t="s">
        <v>576</v>
      </c>
      <c r="EY24" s="543" t="s">
        <v>576</v>
      </c>
      <c r="EZ24" s="543" t="s">
        <v>584</v>
      </c>
      <c r="FA24" s="543" t="s">
        <v>583</v>
      </c>
      <c r="FB24" s="360"/>
    </row>
    <row r="25" spans="1:159" s="65" customFormat="1" ht="24.75" customHeight="1" x14ac:dyDescent="0.25">
      <c r="A25" s="361"/>
      <c r="B25" s="361"/>
      <c r="C25" s="361"/>
      <c r="D25" s="361"/>
      <c r="E25" s="361"/>
      <c r="F25" s="282" t="s">
        <v>3</v>
      </c>
      <c r="G25" s="125">
        <f>+AA25+BE25+CH25+CJ25+DN25</f>
        <v>13806518386</v>
      </c>
      <c r="H25" s="124">
        <v>1412790000</v>
      </c>
      <c r="I25" s="125"/>
      <c r="J25" s="125"/>
      <c r="K25" s="125"/>
      <c r="L25" s="125"/>
      <c r="M25" s="125"/>
      <c r="N25" s="125"/>
      <c r="O25" s="125"/>
      <c r="P25" s="125"/>
      <c r="Q25" s="125"/>
      <c r="R25" s="125"/>
      <c r="S25" s="125"/>
      <c r="T25" s="124"/>
      <c r="U25" s="139"/>
      <c r="V25" s="139"/>
      <c r="W25" s="124">
        <v>1412790000</v>
      </c>
      <c r="X25" s="124">
        <v>1412790000</v>
      </c>
      <c r="Y25" s="124">
        <v>1326141063</v>
      </c>
      <c r="Z25" s="139">
        <v>1399790000</v>
      </c>
      <c r="AA25" s="139">
        <v>1326141063</v>
      </c>
      <c r="AB25" s="139">
        <v>2973776000</v>
      </c>
      <c r="AC25" s="139">
        <v>0</v>
      </c>
      <c r="AD25" s="139">
        <v>0</v>
      </c>
      <c r="AE25" s="139">
        <v>408790000</v>
      </c>
      <c r="AF25" s="139">
        <f>408790000-AD25</f>
        <v>408790000</v>
      </c>
      <c r="AG25" s="139">
        <v>1385154150</v>
      </c>
      <c r="AH25" s="139">
        <f>(1793944150-AF25-AD25)</f>
        <v>1385154150</v>
      </c>
      <c r="AI25" s="139">
        <v>557630000</v>
      </c>
      <c r="AJ25" s="139">
        <f>1942784150-AH25-AF25-AD25</f>
        <v>148840000</v>
      </c>
      <c r="AK25" s="125">
        <v>0</v>
      </c>
      <c r="AL25" s="125">
        <f>1942784150-AJ25-AH25-AF25-AD25+5000000</f>
        <v>5000000</v>
      </c>
      <c r="AM25" s="125">
        <v>244731564</v>
      </c>
      <c r="AN25" s="125">
        <v>244731564</v>
      </c>
      <c r="AO25" s="125">
        <v>0</v>
      </c>
      <c r="AP25" s="125">
        <v>0</v>
      </c>
      <c r="AQ25" s="125">
        <v>62546600</v>
      </c>
      <c r="AR25" s="125">
        <v>0</v>
      </c>
      <c r="AS25" s="125">
        <f>62546600+16124316</f>
        <v>78670916</v>
      </c>
      <c r="AT25" s="125">
        <v>13226834</v>
      </c>
      <c r="AU25" s="125">
        <f>5737286+62546600</f>
        <v>68283886</v>
      </c>
      <c r="AV25" s="125">
        <v>37553138</v>
      </c>
      <c r="AW25" s="125">
        <v>62546600</v>
      </c>
      <c r="AX25" s="125">
        <v>81644647</v>
      </c>
      <c r="AY25" s="125">
        <v>62546600</v>
      </c>
      <c r="AZ25" s="125">
        <v>357168990</v>
      </c>
      <c r="BA25" s="124">
        <f>AY25+AW25+AU25+AS25+AQ25+AO25+AM25+AK25+AI25+AG25+AE25+AC25</f>
        <v>2930900316</v>
      </c>
      <c r="BB25" s="124">
        <f t="shared" si="101"/>
        <v>2930900316</v>
      </c>
      <c r="BC25" s="124">
        <f t="shared" si="101"/>
        <v>2682109323</v>
      </c>
      <c r="BD25" s="124">
        <f>AE25+AG25+AI25+AK25+AM25+AO25+AQ25+AS25+AU25+AW25+AY25+AC25</f>
        <v>2930900316</v>
      </c>
      <c r="BE25" s="124">
        <f>AD25+AF25+AH25+AJ25+AL25+AN25+AP25+AR25+AT25+AV25+AX25+AZ25</f>
        <v>2682109323</v>
      </c>
      <c r="BF25" s="124">
        <v>3364237000</v>
      </c>
      <c r="BG25" s="125">
        <v>2599004000</v>
      </c>
      <c r="BH25" s="125">
        <v>2534638908</v>
      </c>
      <c r="BI25" s="125">
        <v>0</v>
      </c>
      <c r="BJ25" s="125">
        <v>0</v>
      </c>
      <c r="BK25" s="125">
        <v>599096000</v>
      </c>
      <c r="BL25" s="125">
        <v>50000000</v>
      </c>
      <c r="BM25" s="125">
        <v>81137000</v>
      </c>
      <c r="BN25" s="125"/>
      <c r="BO25" s="125">
        <v>0</v>
      </c>
      <c r="BP25" s="125"/>
      <c r="BQ25" s="125">
        <v>85000000</v>
      </c>
      <c r="BR25" s="125"/>
      <c r="BS25" s="125">
        <v>0</v>
      </c>
      <c r="BT25" s="125"/>
      <c r="BU25" s="125">
        <v>0</v>
      </c>
      <c r="BV25" s="125"/>
      <c r="BW25" s="125">
        <v>0</v>
      </c>
      <c r="BX25" s="125"/>
      <c r="BY25" s="125">
        <v>0</v>
      </c>
      <c r="BZ25" s="125"/>
      <c r="CA25" s="125">
        <v>0</v>
      </c>
      <c r="CB25" s="125"/>
      <c r="CC25" s="125">
        <v>0</v>
      </c>
      <c r="CD25" s="125"/>
      <c r="CE25" s="125">
        <f>CC25+CA25+BY25+BW25+BU25+BS25+BQ25+BO25+BM25+BK25+BI25+BG25</f>
        <v>3364237000</v>
      </c>
      <c r="CF25" s="125">
        <f t="shared" si="102"/>
        <v>3198100000</v>
      </c>
      <c r="CG25" s="124">
        <f>+BH25+BJ25+BL25</f>
        <v>2584638908</v>
      </c>
      <c r="CH25" s="124">
        <f>CC25+CA25+BY25+BW25+BU25+BS25+BQ25+BO25+BM25+BK25+BI25+BG25</f>
        <v>3364237000</v>
      </c>
      <c r="CI25" s="124">
        <f>+BH25+BJ25+BL25</f>
        <v>2584638908</v>
      </c>
      <c r="CJ25" s="125">
        <v>4321368000</v>
      </c>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4">
        <v>0</v>
      </c>
      <c r="DJ25" s="137">
        <v>0</v>
      </c>
      <c r="DK25" s="137">
        <v>0</v>
      </c>
      <c r="DL25" s="124">
        <v>0</v>
      </c>
      <c r="DM25" s="137">
        <v>0</v>
      </c>
      <c r="DN25" s="125">
        <v>2112663000</v>
      </c>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108">
        <f t="shared" si="99"/>
        <v>0</v>
      </c>
      <c r="EN25" s="98">
        <f t="shared" si="103"/>
        <v>0</v>
      </c>
      <c r="EO25" s="98">
        <f t="shared" si="104"/>
        <v>0</v>
      </c>
      <c r="EP25" s="99">
        <f t="shared" si="105"/>
        <v>0</v>
      </c>
      <c r="EQ25" s="98">
        <f t="shared" si="106"/>
        <v>0</v>
      </c>
      <c r="ER25" s="144">
        <f t="shared" si="10"/>
        <v>8.345907834470602E-2</v>
      </c>
      <c r="ES25" s="144">
        <f t="shared" si="11"/>
        <v>0.80817951533723154</v>
      </c>
      <c r="ET25" s="145">
        <f t="shared" si="12"/>
        <v>0.76826897391592808</v>
      </c>
      <c r="EU25" s="145">
        <f t="shared" si="13"/>
        <v>0.85678382956151633</v>
      </c>
      <c r="EV25" s="145">
        <f t="shared" si="14"/>
        <v>0.47752004594331909</v>
      </c>
      <c r="EW25" s="544"/>
      <c r="EX25" s="543"/>
      <c r="EY25" s="543"/>
      <c r="EZ25" s="543"/>
      <c r="FA25" s="543"/>
      <c r="FB25" s="360"/>
    </row>
    <row r="26" spans="1:159" s="65" customFormat="1" ht="24.75" customHeight="1" x14ac:dyDescent="0.25">
      <c r="A26" s="361"/>
      <c r="B26" s="361"/>
      <c r="C26" s="361"/>
      <c r="D26" s="361"/>
      <c r="E26" s="361"/>
      <c r="F26" s="283" t="s">
        <v>216</v>
      </c>
      <c r="G26" s="125"/>
      <c r="H26" s="143"/>
      <c r="I26" s="125"/>
      <c r="J26" s="125"/>
      <c r="K26" s="125"/>
      <c r="L26" s="125"/>
      <c r="M26" s="125"/>
      <c r="N26" s="125"/>
      <c r="O26" s="125"/>
      <c r="P26" s="125"/>
      <c r="Q26" s="125"/>
      <c r="R26" s="125"/>
      <c r="S26" s="125"/>
      <c r="T26" s="124"/>
      <c r="U26" s="139"/>
      <c r="V26" s="139"/>
      <c r="W26" s="143"/>
      <c r="X26" s="143"/>
      <c r="Y26" s="143"/>
      <c r="Z26" s="139"/>
      <c r="AA26" s="139"/>
      <c r="AB26" s="139"/>
      <c r="AC26" s="125">
        <v>0</v>
      </c>
      <c r="AD26" s="125">
        <v>0</v>
      </c>
      <c r="AE26" s="139">
        <v>0</v>
      </c>
      <c r="AF26" s="125">
        <v>0</v>
      </c>
      <c r="AG26" s="125">
        <v>38410320</v>
      </c>
      <c r="AH26" s="125">
        <v>38410320</v>
      </c>
      <c r="AI26" s="125">
        <f>121559153-AG26</f>
        <v>83148833</v>
      </c>
      <c r="AJ26" s="125">
        <f>121559153-AH26</f>
        <v>83148833</v>
      </c>
      <c r="AK26" s="125">
        <v>253856212</v>
      </c>
      <c r="AL26" s="125">
        <f>375415365-AJ26-AH26-AF26-AD26-5062267</f>
        <v>248793945</v>
      </c>
      <c r="AM26" s="125">
        <v>303351665</v>
      </c>
      <c r="AN26" s="125">
        <v>303351665</v>
      </c>
      <c r="AO26" s="125">
        <v>0</v>
      </c>
      <c r="AP26" s="125">
        <v>207894550</v>
      </c>
      <c r="AQ26" s="125">
        <v>0</v>
      </c>
      <c r="AR26" s="125">
        <v>206559350</v>
      </c>
      <c r="AS26" s="125">
        <v>0</v>
      </c>
      <c r="AT26" s="125">
        <v>243123239</v>
      </c>
      <c r="AU26" s="125">
        <v>0</v>
      </c>
      <c r="AV26" s="125">
        <v>245622893</v>
      </c>
      <c r="AW26" s="125">
        <v>0</v>
      </c>
      <c r="AX26" s="125">
        <v>192872568</v>
      </c>
      <c r="AY26" s="125">
        <v>0</v>
      </c>
      <c r="AZ26" s="125">
        <v>365953417.93756247</v>
      </c>
      <c r="BA26" s="124">
        <f>AY26+AW26+AU26+AS26+AQ26+AO26+AM26+AK26+AI26+AG26+AE26+AC26</f>
        <v>678767030</v>
      </c>
      <c r="BB26" s="124">
        <f t="shared" si="101"/>
        <v>678767030</v>
      </c>
      <c r="BC26" s="124">
        <f t="shared" si="101"/>
        <v>2135730780.9375625</v>
      </c>
      <c r="BD26" s="124">
        <f t="shared" ref="BD26:BD28" si="107">AE26+AG26+AI26+AK26+AM26+AO26+AQ26+AS26+AU26+AW26+AY26+AC26</f>
        <v>678767030</v>
      </c>
      <c r="BE26" s="124">
        <f>AD26+AF26+AH26+AJ26+AL26+AN26+AP26+AR26+AT26+AV26+AX26+AZ26</f>
        <v>2135730780.9375625</v>
      </c>
      <c r="BF26" s="125">
        <v>0</v>
      </c>
      <c r="BG26" s="125">
        <v>0</v>
      </c>
      <c r="BH26" s="125">
        <v>0</v>
      </c>
      <c r="BI26" s="125"/>
      <c r="BJ26" s="125">
        <v>9067333</v>
      </c>
      <c r="BK26" s="125"/>
      <c r="BL26" s="125">
        <v>212285736</v>
      </c>
      <c r="BM26" s="125"/>
      <c r="BN26" s="125"/>
      <c r="BO26" s="125"/>
      <c r="BP26" s="125"/>
      <c r="BQ26" s="125"/>
      <c r="BR26" s="125"/>
      <c r="BS26" s="125"/>
      <c r="BT26" s="125"/>
      <c r="BU26" s="125"/>
      <c r="BV26" s="125"/>
      <c r="BW26" s="125"/>
      <c r="BX26" s="125"/>
      <c r="BY26" s="125"/>
      <c r="BZ26" s="125"/>
      <c r="CA26" s="125"/>
      <c r="CB26" s="125"/>
      <c r="CC26" s="125"/>
      <c r="CD26" s="125"/>
      <c r="CE26" s="125">
        <f>CC26+CA26+BY26+BW26+BU26+BS26+BQ26+BO26+BM26+BK26+BI26+BG26</f>
        <v>0</v>
      </c>
      <c r="CF26" s="125">
        <f t="shared" si="102"/>
        <v>0</v>
      </c>
      <c r="CG26" s="124">
        <f t="shared" si="102"/>
        <v>221353069</v>
      </c>
      <c r="CH26" s="124">
        <f>CC26+CA26+BY26+BW26+BU26+BS26+BQ26+BO26+BM26+BK26+BI26+BG26</f>
        <v>0</v>
      </c>
      <c r="CI26" s="124">
        <f>+BH26+BJ26+BL26</f>
        <v>221353069</v>
      </c>
      <c r="CJ26" s="125">
        <v>0</v>
      </c>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4"/>
      <c r="DJ26" s="137"/>
      <c r="DK26" s="137"/>
      <c r="DL26" s="124"/>
      <c r="DM26" s="137"/>
      <c r="DN26" s="125">
        <v>0</v>
      </c>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108">
        <f t="shared" ref="EM26:EM29" si="108">EI26+EG26+EE26+EC26+EA26+DY26+DW26+DU26+DS26+DQ26+DO26+EK26</f>
        <v>0</v>
      </c>
      <c r="EN26" s="98">
        <f t="shared" si="103"/>
        <v>0</v>
      </c>
      <c r="EO26" s="98">
        <f t="shared" si="104"/>
        <v>0</v>
      </c>
      <c r="EP26" s="94">
        <f t="shared" ref="EP26:EP27" si="109">DQ26+DS26+DU26+DW26+DY26+EA26+EC26+EE26+EG26+EI26+EK26</f>
        <v>0</v>
      </c>
      <c r="EQ26" s="98">
        <f t="shared" si="106"/>
        <v>0</v>
      </c>
      <c r="ER26" s="144" t="e">
        <f t="shared" si="10"/>
        <v>#DIV/0!</v>
      </c>
      <c r="ES26" s="144" t="e">
        <f t="shared" si="11"/>
        <v>#DIV/0!</v>
      </c>
      <c r="ET26" s="145" t="e">
        <f t="shared" si="12"/>
        <v>#DIV/0!</v>
      </c>
      <c r="EU26" s="145">
        <f t="shared" si="13"/>
        <v>3.4725962602184177</v>
      </c>
      <c r="EV26" s="145" t="e">
        <f t="shared" si="14"/>
        <v>#DIV/0!</v>
      </c>
      <c r="EW26" s="544"/>
      <c r="EX26" s="543"/>
      <c r="EY26" s="543"/>
      <c r="EZ26" s="543"/>
      <c r="FA26" s="543"/>
      <c r="FB26" s="360"/>
    </row>
    <row r="27" spans="1:159" s="4" customFormat="1" ht="24.75" customHeight="1" x14ac:dyDescent="0.25">
      <c r="A27" s="361"/>
      <c r="B27" s="361"/>
      <c r="C27" s="361"/>
      <c r="D27" s="361"/>
      <c r="E27" s="361"/>
      <c r="F27" s="281" t="s">
        <v>41</v>
      </c>
      <c r="G27" s="141">
        <f>+AA27+BD27+BF27+CJ27+DN27</f>
        <v>0</v>
      </c>
      <c r="H27" s="124">
        <v>0</v>
      </c>
      <c r="I27" s="324"/>
      <c r="J27" s="324"/>
      <c r="K27" s="324"/>
      <c r="L27" s="324"/>
      <c r="M27" s="324"/>
      <c r="N27" s="324"/>
      <c r="O27" s="324"/>
      <c r="P27" s="324"/>
      <c r="Q27" s="324"/>
      <c r="R27" s="324"/>
      <c r="S27" s="324"/>
      <c r="T27" s="324"/>
      <c r="U27" s="324"/>
      <c r="V27" s="324"/>
      <c r="W27" s="124">
        <v>0</v>
      </c>
      <c r="X27" s="124">
        <v>0</v>
      </c>
      <c r="Y27" s="124">
        <v>0</v>
      </c>
      <c r="Z27" s="124">
        <v>0</v>
      </c>
      <c r="AA27" s="124">
        <v>0</v>
      </c>
      <c r="AB27" s="324">
        <v>0</v>
      </c>
      <c r="AC27" s="324">
        <v>0</v>
      </c>
      <c r="AD27" s="324">
        <v>0</v>
      </c>
      <c r="AE27" s="324">
        <v>0</v>
      </c>
      <c r="AF27" s="324">
        <v>0</v>
      </c>
      <c r="AG27" s="324">
        <v>0</v>
      </c>
      <c r="AH27" s="324">
        <v>0</v>
      </c>
      <c r="AI27" s="324">
        <v>0</v>
      </c>
      <c r="AJ27" s="324">
        <v>0</v>
      </c>
      <c r="AK27" s="324">
        <v>0</v>
      </c>
      <c r="AL27" s="324">
        <v>0</v>
      </c>
      <c r="AM27" s="324">
        <v>0</v>
      </c>
      <c r="AN27" s="324">
        <v>0</v>
      </c>
      <c r="AO27" s="324">
        <v>0</v>
      </c>
      <c r="AP27" s="324">
        <v>0</v>
      </c>
      <c r="AQ27" s="324">
        <v>0</v>
      </c>
      <c r="AR27" s="324">
        <v>0</v>
      </c>
      <c r="AS27" s="324">
        <v>0</v>
      </c>
      <c r="AT27" s="324">
        <v>0</v>
      </c>
      <c r="AU27" s="324">
        <v>0</v>
      </c>
      <c r="AV27" s="324">
        <v>0</v>
      </c>
      <c r="AW27" s="324">
        <v>0</v>
      </c>
      <c r="AX27" s="324">
        <v>0</v>
      </c>
      <c r="AY27" s="324">
        <v>0</v>
      </c>
      <c r="AZ27" s="324">
        <v>0</v>
      </c>
      <c r="BA27" s="141">
        <f>AY27+AW27+AU27+AS27+AQ27+AO27+AM27+AK27+AI27+AG27+AE27+AC27</f>
        <v>0</v>
      </c>
      <c r="BB27" s="141">
        <f t="shared" si="101"/>
        <v>0</v>
      </c>
      <c r="BC27" s="141">
        <f t="shared" si="101"/>
        <v>0</v>
      </c>
      <c r="BD27" s="141">
        <f t="shared" si="107"/>
        <v>0</v>
      </c>
      <c r="BE27" s="141">
        <f>AD27+AF27+AH27+AJ27+AL27+AN27+AP27+AR27+AT27+AV27+AX27+AZ27</f>
        <v>0</v>
      </c>
      <c r="BF27" s="324">
        <v>0</v>
      </c>
      <c r="BG27" s="324">
        <v>0</v>
      </c>
      <c r="BH27" s="324">
        <v>0</v>
      </c>
      <c r="BI27" s="324">
        <v>0</v>
      </c>
      <c r="BJ27" s="324">
        <v>0</v>
      </c>
      <c r="BK27" s="324">
        <v>0</v>
      </c>
      <c r="BL27" s="324">
        <v>0</v>
      </c>
      <c r="BM27" s="324">
        <v>0</v>
      </c>
      <c r="BN27" s="324"/>
      <c r="BO27" s="324">
        <v>0</v>
      </c>
      <c r="BP27" s="324"/>
      <c r="BQ27" s="324">
        <v>0</v>
      </c>
      <c r="BR27" s="324"/>
      <c r="BS27" s="324">
        <v>0</v>
      </c>
      <c r="BT27" s="324"/>
      <c r="BU27" s="324">
        <v>0</v>
      </c>
      <c r="BV27" s="324"/>
      <c r="BW27" s="324">
        <v>0</v>
      </c>
      <c r="BX27" s="324"/>
      <c r="BY27" s="324">
        <v>0</v>
      </c>
      <c r="BZ27" s="324"/>
      <c r="CA27" s="324">
        <v>0</v>
      </c>
      <c r="CB27" s="324"/>
      <c r="CC27" s="324">
        <v>0</v>
      </c>
      <c r="CD27" s="324"/>
      <c r="CE27" s="299">
        <f>CC27+CA27+BY27+BW27+BU27+BS27+BQ27+BO27+BM27+BK27+BI27+BG27</f>
        <v>0</v>
      </c>
      <c r="CF27" s="299">
        <f t="shared" si="102"/>
        <v>0</v>
      </c>
      <c r="CG27" s="285">
        <f t="shared" si="102"/>
        <v>0</v>
      </c>
      <c r="CH27" s="285">
        <f>CC27+CA27+BY27+BW27+BU27+BS27+BQ27+BO27+BM27+BK27+BI27+BG27</f>
        <v>0</v>
      </c>
      <c r="CI27" s="285">
        <f>+BH27+BJ27+BL27</f>
        <v>0</v>
      </c>
      <c r="CJ27" s="324">
        <v>0</v>
      </c>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v>0</v>
      </c>
      <c r="DJ27" s="324">
        <v>0</v>
      </c>
      <c r="DK27" s="324">
        <v>0</v>
      </c>
      <c r="DL27" s="142">
        <v>0</v>
      </c>
      <c r="DM27" s="324">
        <v>0</v>
      </c>
      <c r="DN27" s="324">
        <v>0</v>
      </c>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109">
        <f t="shared" si="108"/>
        <v>0</v>
      </c>
      <c r="EN27" s="120">
        <f t="shared" si="103"/>
        <v>0</v>
      </c>
      <c r="EO27" s="100">
        <f t="shared" si="104"/>
        <v>0</v>
      </c>
      <c r="EP27" s="101">
        <f t="shared" si="109"/>
        <v>0</v>
      </c>
      <c r="EQ27" s="109">
        <f t="shared" si="106"/>
        <v>0</v>
      </c>
      <c r="ER27" s="144" t="e">
        <f t="shared" si="10"/>
        <v>#DIV/0!</v>
      </c>
      <c r="ES27" s="144" t="e">
        <f t="shared" si="11"/>
        <v>#DIV/0!</v>
      </c>
      <c r="ET27" s="145" t="e">
        <f t="shared" si="12"/>
        <v>#DIV/0!</v>
      </c>
      <c r="EU27" s="145" t="e">
        <f t="shared" si="13"/>
        <v>#DIV/0!</v>
      </c>
      <c r="EV27" s="145" t="e">
        <f t="shared" si="14"/>
        <v>#DIV/0!</v>
      </c>
      <c r="EW27" s="544"/>
      <c r="EX27" s="543"/>
      <c r="EY27" s="543"/>
      <c r="EZ27" s="543"/>
      <c r="FA27" s="543"/>
      <c r="FB27" s="360"/>
    </row>
    <row r="28" spans="1:159" s="4" customFormat="1" ht="24.75" customHeight="1" x14ac:dyDescent="0.25">
      <c r="A28" s="361"/>
      <c r="B28" s="361"/>
      <c r="C28" s="361"/>
      <c r="D28" s="361"/>
      <c r="E28" s="361"/>
      <c r="F28" s="282" t="s">
        <v>4</v>
      </c>
      <c r="G28" s="125">
        <f>+AA28+BE28+CH28+CJ28+DN28</f>
        <v>1043945993</v>
      </c>
      <c r="H28" s="324">
        <v>0</v>
      </c>
      <c r="I28" s="125">
        <v>0</v>
      </c>
      <c r="J28" s="125">
        <v>0</v>
      </c>
      <c r="K28" s="125">
        <v>0</v>
      </c>
      <c r="L28" s="125">
        <v>0</v>
      </c>
      <c r="M28" s="125">
        <v>0</v>
      </c>
      <c r="N28" s="125">
        <v>0</v>
      </c>
      <c r="O28" s="125">
        <v>0</v>
      </c>
      <c r="P28" s="125">
        <v>0</v>
      </c>
      <c r="Q28" s="125">
        <v>0</v>
      </c>
      <c r="R28" s="125">
        <v>0</v>
      </c>
      <c r="S28" s="125">
        <v>0</v>
      </c>
      <c r="T28" s="124">
        <v>0</v>
      </c>
      <c r="U28" s="139">
        <v>0</v>
      </c>
      <c r="V28" s="139">
        <v>0</v>
      </c>
      <c r="W28" s="324">
        <v>0</v>
      </c>
      <c r="X28" s="324">
        <v>0</v>
      </c>
      <c r="Y28" s="324">
        <v>0</v>
      </c>
      <c r="Z28" s="139">
        <v>0</v>
      </c>
      <c r="AA28" s="139">
        <v>0</v>
      </c>
      <c r="AB28" s="139">
        <v>592742679</v>
      </c>
      <c r="AC28" s="125">
        <v>91072667</v>
      </c>
      <c r="AD28" s="125">
        <v>91072667</v>
      </c>
      <c r="AE28" s="125">
        <f>205477567-AC28</f>
        <v>114404900</v>
      </c>
      <c r="AF28" s="125">
        <f>205477567-AD28</f>
        <v>114404900</v>
      </c>
      <c r="AG28" s="125">
        <v>43650195</v>
      </c>
      <c r="AH28" s="125">
        <f>249127762-AF28-AD28</f>
        <v>43650195</v>
      </c>
      <c r="AI28" s="125">
        <v>52211433</v>
      </c>
      <c r="AJ28" s="125">
        <f>301339195-AH28-AF28-AD28</f>
        <v>52211433</v>
      </c>
      <c r="AK28" s="125">
        <v>38507889</v>
      </c>
      <c r="AL28" s="125">
        <f>339847084-AJ28-AH28-AF28-AD28</f>
        <v>38507889</v>
      </c>
      <c r="AM28" s="125">
        <v>92916500</v>
      </c>
      <c r="AN28" s="125">
        <v>91626500</v>
      </c>
      <c r="AO28" s="125">
        <v>63971107</v>
      </c>
      <c r="AP28" s="125">
        <v>0</v>
      </c>
      <c r="AQ28" s="125">
        <v>16343157</v>
      </c>
      <c r="AR28" s="125">
        <v>100496560</v>
      </c>
      <c r="AS28" s="125">
        <f>23000000+56664831</f>
        <v>79664831</v>
      </c>
      <c r="AT28" s="125">
        <v>809200</v>
      </c>
      <c r="AU28" s="125">
        <v>0</v>
      </c>
      <c r="AV28" s="125">
        <v>12817727</v>
      </c>
      <c r="AW28" s="125">
        <v>-1342800</v>
      </c>
      <c r="AX28" s="125">
        <v>29874112</v>
      </c>
      <c r="AY28" s="125">
        <v>0</v>
      </c>
      <c r="AZ28" s="125">
        <v>9604961</v>
      </c>
      <c r="BA28" s="124">
        <f>AY28+AW28+AU28+AS28+AQ28+AO28+AM28+AK28+AI28+AG28+AE28+AC28</f>
        <v>591399879</v>
      </c>
      <c r="BB28" s="124">
        <f t="shared" si="101"/>
        <v>591399879</v>
      </c>
      <c r="BC28" s="124">
        <f t="shared" si="101"/>
        <v>585076144</v>
      </c>
      <c r="BD28" s="124">
        <f t="shared" si="107"/>
        <v>591399879</v>
      </c>
      <c r="BE28" s="124">
        <f>AD28+AF28+AH28+AJ28+AL28+AN28+AP28+AR28+AT28+AV28+AX28+AZ28</f>
        <v>585076144</v>
      </c>
      <c r="BF28" s="125">
        <v>458869849</v>
      </c>
      <c r="BG28" s="125">
        <v>34305183</v>
      </c>
      <c r="BH28" s="125"/>
      <c r="BI28" s="125">
        <f>101870690- 1122133</f>
        <v>100748557</v>
      </c>
      <c r="BJ28" s="125">
        <v>71062834</v>
      </c>
      <c r="BK28" s="125">
        <v>62175676</v>
      </c>
      <c r="BL28" s="125">
        <v>73511666</v>
      </c>
      <c r="BM28" s="125">
        <v>99000000</v>
      </c>
      <c r="BN28" s="125"/>
      <c r="BO28" s="125">
        <v>22023119</v>
      </c>
      <c r="BP28" s="125"/>
      <c r="BQ28" s="125">
        <v>102726512</v>
      </c>
      <c r="BR28" s="125"/>
      <c r="BS28" s="125">
        <v>35867683</v>
      </c>
      <c r="BT28" s="125"/>
      <c r="BU28" s="125">
        <v>2023119</v>
      </c>
      <c r="BV28" s="125"/>
      <c r="BW28" s="125"/>
      <c r="BX28" s="125"/>
      <c r="BY28" s="125"/>
      <c r="BZ28" s="125"/>
      <c r="CA28" s="125"/>
      <c r="CB28" s="125"/>
      <c r="CC28" s="125"/>
      <c r="CD28" s="125"/>
      <c r="CE28" s="125">
        <f>CC28+CA28+BY28+BW28+BU28+BS28+BQ28+BO28+BM28+BK28+BI28+BG28</f>
        <v>458869849</v>
      </c>
      <c r="CF28" s="125">
        <f t="shared" si="102"/>
        <v>197229416</v>
      </c>
      <c r="CG28" s="124">
        <f t="shared" si="102"/>
        <v>144574500</v>
      </c>
      <c r="CH28" s="124">
        <f>CC28+CA28+BY28+BW28+BU28+BS28+BQ28+BO28+BM28+BK28+BI28+BG28</f>
        <v>458869849</v>
      </c>
      <c r="CI28" s="139">
        <f>+BH28+BJ28+BL28</f>
        <v>144574500</v>
      </c>
      <c r="CJ28" s="125">
        <v>0</v>
      </c>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4">
        <v>0</v>
      </c>
      <c r="DJ28" s="137">
        <v>0</v>
      </c>
      <c r="DK28" s="137">
        <v>0</v>
      </c>
      <c r="DL28" s="124">
        <v>0</v>
      </c>
      <c r="DM28" s="137">
        <v>0</v>
      </c>
      <c r="DN28" s="125">
        <v>0</v>
      </c>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109">
        <f t="shared" si="108"/>
        <v>0</v>
      </c>
      <c r="EN28" s="98">
        <f t="shared" si="103"/>
        <v>0</v>
      </c>
      <c r="EO28" s="98">
        <f t="shared" si="104"/>
        <v>0</v>
      </c>
      <c r="EP28" s="94">
        <f t="shared" ref="EP28:EP29" si="110">DQ28+DS28+DU28+DW28+DY28+EA28+EC28+EE28+EG28+EI28+EK28+DO28</f>
        <v>0</v>
      </c>
      <c r="EQ28" s="98">
        <f t="shared" si="106"/>
        <v>0</v>
      </c>
      <c r="ER28" s="144">
        <f t="shared" si="10"/>
        <v>1.1823219421048192</v>
      </c>
      <c r="ES28" s="144">
        <f t="shared" si="11"/>
        <v>0.73302706529334349</v>
      </c>
      <c r="ET28" s="145">
        <f t="shared" si="12"/>
        <v>0.31506646234235364</v>
      </c>
      <c r="EU28" s="145">
        <f t="shared" si="13"/>
        <v>0.69472691114258223</v>
      </c>
      <c r="EV28" s="145">
        <f t="shared" si="14"/>
        <v>0.6989352408003352</v>
      </c>
      <c r="EW28" s="544"/>
      <c r="EX28" s="543"/>
      <c r="EY28" s="543"/>
      <c r="EZ28" s="543"/>
      <c r="FA28" s="543"/>
      <c r="FB28" s="360"/>
    </row>
    <row r="29" spans="1:159" s="4" customFormat="1" ht="24.75" customHeight="1" thickBot="1" x14ac:dyDescent="0.3">
      <c r="A29" s="361"/>
      <c r="B29" s="361"/>
      <c r="C29" s="361"/>
      <c r="D29" s="361"/>
      <c r="E29" s="361"/>
      <c r="F29" s="281" t="s">
        <v>42</v>
      </c>
      <c r="G29" s="622">
        <f>+G24+G27</f>
        <v>8</v>
      </c>
      <c r="H29" s="622">
        <f>+H24+H27</f>
        <v>1</v>
      </c>
      <c r="I29" s="595"/>
      <c r="J29" s="595"/>
      <c r="K29" s="595"/>
      <c r="L29" s="595"/>
      <c r="M29" s="595"/>
      <c r="N29" s="595"/>
      <c r="O29" s="595"/>
      <c r="P29" s="595"/>
      <c r="Q29" s="595"/>
      <c r="R29" s="595"/>
      <c r="S29" s="595"/>
      <c r="T29" s="595"/>
      <c r="U29" s="595"/>
      <c r="V29" s="595"/>
      <c r="W29" s="622">
        <f t="shared" ref="W29:AK29" si="111">+W24+W27</f>
        <v>1</v>
      </c>
      <c r="X29" s="622">
        <f t="shared" si="111"/>
        <v>1</v>
      </c>
      <c r="Y29" s="622">
        <f t="shared" si="111"/>
        <v>1</v>
      </c>
      <c r="Z29" s="622">
        <f t="shared" si="111"/>
        <v>1</v>
      </c>
      <c r="AA29" s="622">
        <f t="shared" si="111"/>
        <v>1</v>
      </c>
      <c r="AB29" s="622">
        <f t="shared" si="111"/>
        <v>2</v>
      </c>
      <c r="AC29" s="622">
        <f t="shared" si="111"/>
        <v>0.17</v>
      </c>
      <c r="AD29" s="622">
        <f t="shared" si="111"/>
        <v>0.15</v>
      </c>
      <c r="AE29" s="622">
        <f t="shared" si="111"/>
        <v>0.17</v>
      </c>
      <c r="AF29" s="622">
        <f t="shared" si="111"/>
        <v>0.11</v>
      </c>
      <c r="AG29" s="622">
        <f t="shared" si="111"/>
        <v>0.17</v>
      </c>
      <c r="AH29" s="622">
        <f t="shared" si="111"/>
        <v>0.1</v>
      </c>
      <c r="AI29" s="622">
        <f t="shared" si="111"/>
        <v>0.17</v>
      </c>
      <c r="AJ29" s="622">
        <f t="shared" si="111"/>
        <v>0.15</v>
      </c>
      <c r="AK29" s="622">
        <f t="shared" si="111"/>
        <v>0.14000000000000001</v>
      </c>
      <c r="AL29" s="622">
        <f t="shared" ref="AL29:AP29" si="112">+AL24+AL27</f>
        <v>0.14000000000000001</v>
      </c>
      <c r="AM29" s="622">
        <f t="shared" si="112"/>
        <v>0.17</v>
      </c>
      <c r="AN29" s="622">
        <f t="shared" si="112"/>
        <v>0.35</v>
      </c>
      <c r="AO29" s="622">
        <f t="shared" si="112"/>
        <v>0.17</v>
      </c>
      <c r="AP29" s="622">
        <f t="shared" si="112"/>
        <v>0.26</v>
      </c>
      <c r="AQ29" s="622">
        <f t="shared" ref="AQ29:AR29" si="113">+AQ24+AQ27</f>
        <v>0.17</v>
      </c>
      <c r="AR29" s="622">
        <f t="shared" si="113"/>
        <v>0.13</v>
      </c>
      <c r="AS29" s="622">
        <f t="shared" ref="AS29:AT29" si="114">+AS24+AS27</f>
        <v>0.17</v>
      </c>
      <c r="AT29" s="622">
        <f t="shared" si="114"/>
        <v>0.17</v>
      </c>
      <c r="AU29" s="622">
        <f t="shared" ref="AU29:AV29" si="115">+AU24+AU27</f>
        <v>0.17</v>
      </c>
      <c r="AV29" s="622">
        <f t="shared" si="115"/>
        <v>0.21</v>
      </c>
      <c r="AW29" s="622">
        <f t="shared" ref="AW29:AX29" si="116">+AW24+AW27</f>
        <v>0.17</v>
      </c>
      <c r="AX29" s="622">
        <f t="shared" si="116"/>
        <v>0.17</v>
      </c>
      <c r="AY29" s="622">
        <f t="shared" ref="AY29:AZ29" si="117">+AY24+AY27</f>
        <v>0.16</v>
      </c>
      <c r="AZ29" s="622">
        <f t="shared" si="117"/>
        <v>0.06</v>
      </c>
      <c r="BA29" s="622">
        <f t="shared" ref="BA29:BE30" si="118">+BA24+BA27</f>
        <v>1.9999999999999996</v>
      </c>
      <c r="BB29" s="595">
        <f t="shared" si="118"/>
        <v>1.9999999999999998</v>
      </c>
      <c r="BC29" s="595">
        <f t="shared" si="118"/>
        <v>2</v>
      </c>
      <c r="BD29" s="595">
        <f t="shared" si="118"/>
        <v>1.9999999999999998</v>
      </c>
      <c r="BE29" s="595">
        <f t="shared" si="118"/>
        <v>2</v>
      </c>
      <c r="BF29" s="595">
        <f t="shared" ref="BF29:BI30" si="119">+BF24+BF27</f>
        <v>2</v>
      </c>
      <c r="BG29" s="595">
        <f t="shared" si="119"/>
        <v>0.17</v>
      </c>
      <c r="BH29" s="595">
        <f t="shared" si="119"/>
        <v>0</v>
      </c>
      <c r="BI29" s="595">
        <f t="shared" si="119"/>
        <v>0.17</v>
      </c>
      <c r="BJ29" s="595">
        <f t="shared" ref="BJ29" si="120">+BJ24+BJ27</f>
        <v>0.33</v>
      </c>
      <c r="BK29" s="595">
        <f t="shared" ref="BK29:CI29" si="121">+BK24+BK27</f>
        <v>0.17</v>
      </c>
      <c r="BL29" s="595">
        <f t="shared" si="121"/>
        <v>0.17</v>
      </c>
      <c r="BM29" s="595">
        <f t="shared" si="121"/>
        <v>0.17</v>
      </c>
      <c r="BN29" s="595">
        <f t="shared" si="121"/>
        <v>0</v>
      </c>
      <c r="BO29" s="595">
        <f t="shared" si="121"/>
        <v>0.14000000000000001</v>
      </c>
      <c r="BP29" s="595">
        <f t="shared" si="121"/>
        <v>0</v>
      </c>
      <c r="BQ29" s="595">
        <f t="shared" si="121"/>
        <v>0.18</v>
      </c>
      <c r="BR29" s="595">
        <f t="shared" si="121"/>
        <v>0</v>
      </c>
      <c r="BS29" s="595">
        <f t="shared" si="121"/>
        <v>0.17</v>
      </c>
      <c r="BT29" s="595">
        <f t="shared" si="121"/>
        <v>0</v>
      </c>
      <c r="BU29" s="595">
        <f t="shared" si="121"/>
        <v>0.17</v>
      </c>
      <c r="BV29" s="595">
        <f t="shared" si="121"/>
        <v>0</v>
      </c>
      <c r="BW29" s="595">
        <f t="shared" si="121"/>
        <v>0.17</v>
      </c>
      <c r="BX29" s="595">
        <f t="shared" si="121"/>
        <v>0</v>
      </c>
      <c r="BY29" s="595">
        <f t="shared" si="121"/>
        <v>0.17</v>
      </c>
      <c r="BZ29" s="595">
        <f t="shared" si="121"/>
        <v>0</v>
      </c>
      <c r="CA29" s="595">
        <f t="shared" si="121"/>
        <v>0.17</v>
      </c>
      <c r="CB29" s="595">
        <f t="shared" si="121"/>
        <v>0</v>
      </c>
      <c r="CC29" s="595">
        <f t="shared" si="121"/>
        <v>0.15</v>
      </c>
      <c r="CD29" s="595">
        <f t="shared" si="121"/>
        <v>0</v>
      </c>
      <c r="CE29" s="595">
        <f t="shared" si="121"/>
        <v>1.9999999999999996</v>
      </c>
      <c r="CF29" s="595">
        <f t="shared" si="121"/>
        <v>0.51</v>
      </c>
      <c r="CG29" s="595">
        <f t="shared" si="121"/>
        <v>0.5</v>
      </c>
      <c r="CH29" s="595">
        <f t="shared" si="121"/>
        <v>1.9999999999999996</v>
      </c>
      <c r="CI29" s="595">
        <f t="shared" si="121"/>
        <v>0.5</v>
      </c>
      <c r="CJ29" s="595">
        <f t="shared" ref="CJ29" si="122">+CJ24+CJ27</f>
        <v>2</v>
      </c>
      <c r="CK29" s="595"/>
      <c r="CL29" s="595"/>
      <c r="CM29" s="595"/>
      <c r="CN29" s="595"/>
      <c r="CO29" s="595"/>
      <c r="CP29" s="595"/>
      <c r="CQ29" s="595"/>
      <c r="CR29" s="595"/>
      <c r="CS29" s="595"/>
      <c r="CT29" s="595"/>
      <c r="CU29" s="595"/>
      <c r="CV29" s="595"/>
      <c r="CW29" s="595"/>
      <c r="CX29" s="595"/>
      <c r="CY29" s="595"/>
      <c r="CZ29" s="595"/>
      <c r="DA29" s="595"/>
      <c r="DB29" s="595"/>
      <c r="DC29" s="595"/>
      <c r="DD29" s="595"/>
      <c r="DE29" s="595"/>
      <c r="DF29" s="595"/>
      <c r="DG29" s="595"/>
      <c r="DH29" s="595"/>
      <c r="DI29" s="595">
        <v>0</v>
      </c>
      <c r="DJ29" s="595">
        <v>0</v>
      </c>
      <c r="DK29" s="595">
        <v>0</v>
      </c>
      <c r="DL29" s="624">
        <v>0</v>
      </c>
      <c r="DM29" s="595">
        <v>0</v>
      </c>
      <c r="DN29" s="595">
        <f t="shared" ref="DN29" si="123">+DN24+DN27</f>
        <v>1</v>
      </c>
      <c r="DO29" s="636"/>
      <c r="DP29" s="636"/>
      <c r="DQ29" s="636"/>
      <c r="DR29" s="636"/>
      <c r="DS29" s="636"/>
      <c r="DT29" s="636"/>
      <c r="DU29" s="636"/>
      <c r="DV29" s="636"/>
      <c r="DW29" s="636"/>
      <c r="DX29" s="636"/>
      <c r="DY29" s="636"/>
      <c r="DZ29" s="636"/>
      <c r="EA29" s="636"/>
      <c r="EB29" s="636"/>
      <c r="EC29" s="636"/>
      <c r="ED29" s="636"/>
      <c r="EE29" s="636"/>
      <c r="EF29" s="636"/>
      <c r="EG29" s="636"/>
      <c r="EH29" s="636"/>
      <c r="EI29" s="636"/>
      <c r="EJ29" s="636"/>
      <c r="EK29" s="636"/>
      <c r="EL29" s="636"/>
      <c r="EM29" s="637">
        <f t="shared" si="108"/>
        <v>0</v>
      </c>
      <c r="EN29" s="638">
        <f t="shared" si="103"/>
        <v>0</v>
      </c>
      <c r="EO29" s="638">
        <f t="shared" si="104"/>
        <v>0</v>
      </c>
      <c r="EP29" s="639">
        <f t="shared" si="110"/>
        <v>0</v>
      </c>
      <c r="EQ29" s="638">
        <f t="shared" ref="EQ29" si="124">DR29+DT29+DV29+DP29</f>
        <v>0</v>
      </c>
      <c r="ER29" s="602">
        <f t="shared" si="10"/>
        <v>1</v>
      </c>
      <c r="ES29" s="602">
        <f t="shared" si="11"/>
        <v>0.98039215686274506</v>
      </c>
      <c r="ET29" s="603">
        <f t="shared" si="12"/>
        <v>0.25000000000000006</v>
      </c>
      <c r="EU29" s="603">
        <f t="shared" si="13"/>
        <v>0.7</v>
      </c>
      <c r="EV29" s="603">
        <f t="shared" si="14"/>
        <v>0.4375</v>
      </c>
      <c r="EW29" s="544"/>
      <c r="EX29" s="543"/>
      <c r="EY29" s="543"/>
      <c r="EZ29" s="543"/>
      <c r="FA29" s="543"/>
      <c r="FB29" s="360"/>
    </row>
    <row r="30" spans="1:159" s="33" customFormat="1" ht="24.75" customHeight="1" thickBot="1" x14ac:dyDescent="0.3">
      <c r="A30" s="361"/>
      <c r="B30" s="361"/>
      <c r="C30" s="361"/>
      <c r="D30" s="361"/>
      <c r="E30" s="361"/>
      <c r="F30" s="590" t="s">
        <v>44</v>
      </c>
      <c r="G30" s="611">
        <f>+G25+G28</f>
        <v>14850464379</v>
      </c>
      <c r="H30" s="612">
        <f>+H25+H28</f>
        <v>1412790000</v>
      </c>
      <c r="I30" s="612"/>
      <c r="J30" s="612"/>
      <c r="K30" s="612"/>
      <c r="L30" s="612"/>
      <c r="M30" s="612"/>
      <c r="N30" s="612"/>
      <c r="O30" s="612"/>
      <c r="P30" s="612"/>
      <c r="Q30" s="612"/>
      <c r="R30" s="612"/>
      <c r="S30" s="612"/>
      <c r="T30" s="613"/>
      <c r="U30" s="633"/>
      <c r="V30" s="633"/>
      <c r="W30" s="612">
        <f t="shared" ref="W30:AK30" si="125">+W25+W28</f>
        <v>1412790000</v>
      </c>
      <c r="X30" s="612">
        <f t="shared" si="125"/>
        <v>1412790000</v>
      </c>
      <c r="Y30" s="612">
        <f t="shared" si="125"/>
        <v>1326141063</v>
      </c>
      <c r="Z30" s="612">
        <f t="shared" si="125"/>
        <v>1399790000</v>
      </c>
      <c r="AA30" s="612">
        <f t="shared" si="125"/>
        <v>1326141063</v>
      </c>
      <c r="AB30" s="612">
        <f t="shared" si="125"/>
        <v>3566518679</v>
      </c>
      <c r="AC30" s="612">
        <f t="shared" si="125"/>
        <v>91072667</v>
      </c>
      <c r="AD30" s="612">
        <f t="shared" si="125"/>
        <v>91072667</v>
      </c>
      <c r="AE30" s="612">
        <f t="shared" si="125"/>
        <v>523194900</v>
      </c>
      <c r="AF30" s="612">
        <f t="shared" si="125"/>
        <v>523194900</v>
      </c>
      <c r="AG30" s="612">
        <f t="shared" si="125"/>
        <v>1428804345</v>
      </c>
      <c r="AH30" s="612">
        <f t="shared" si="125"/>
        <v>1428804345</v>
      </c>
      <c r="AI30" s="612">
        <f t="shared" si="125"/>
        <v>609841433</v>
      </c>
      <c r="AJ30" s="612">
        <f t="shared" si="125"/>
        <v>201051433</v>
      </c>
      <c r="AK30" s="612">
        <f t="shared" si="125"/>
        <v>38507889</v>
      </c>
      <c r="AL30" s="612">
        <f t="shared" ref="AL30:AP30" si="126">+AL25+AL28</f>
        <v>43507889</v>
      </c>
      <c r="AM30" s="612">
        <f t="shared" si="126"/>
        <v>337648064</v>
      </c>
      <c r="AN30" s="612">
        <f t="shared" si="126"/>
        <v>336358064</v>
      </c>
      <c r="AO30" s="612">
        <f t="shared" si="126"/>
        <v>63971107</v>
      </c>
      <c r="AP30" s="612">
        <f t="shared" si="126"/>
        <v>0</v>
      </c>
      <c r="AQ30" s="612">
        <f t="shared" ref="AQ30:AR30" si="127">+AQ25+AQ28</f>
        <v>78889757</v>
      </c>
      <c r="AR30" s="612">
        <f t="shared" si="127"/>
        <v>100496560</v>
      </c>
      <c r="AS30" s="612">
        <f t="shared" ref="AS30:AT30" si="128">+AS25+AS28</f>
        <v>158335747</v>
      </c>
      <c r="AT30" s="612">
        <f t="shared" si="128"/>
        <v>14036034</v>
      </c>
      <c r="AU30" s="612">
        <f t="shared" ref="AU30:AV30" si="129">+AU25+AU28</f>
        <v>68283886</v>
      </c>
      <c r="AV30" s="612">
        <f t="shared" si="129"/>
        <v>50370865</v>
      </c>
      <c r="AW30" s="612">
        <f t="shared" ref="AW30:AX30" si="130">+AW25+AW28</f>
        <v>61203800</v>
      </c>
      <c r="AX30" s="612">
        <f t="shared" si="130"/>
        <v>111518759</v>
      </c>
      <c r="AY30" s="612">
        <f t="shared" ref="AY30:AZ30" si="131">+AY25+AY28</f>
        <v>62546600</v>
      </c>
      <c r="AZ30" s="612">
        <f t="shared" si="131"/>
        <v>366773951</v>
      </c>
      <c r="BA30" s="613">
        <f t="shared" si="118"/>
        <v>3522300195</v>
      </c>
      <c r="BB30" s="614">
        <f t="shared" si="118"/>
        <v>3522300195</v>
      </c>
      <c r="BC30" s="614">
        <f t="shared" si="118"/>
        <v>3267185467</v>
      </c>
      <c r="BD30" s="614">
        <f t="shared" si="118"/>
        <v>3522300195</v>
      </c>
      <c r="BE30" s="614">
        <f t="shared" si="118"/>
        <v>3267185467</v>
      </c>
      <c r="BF30" s="614">
        <f t="shared" si="119"/>
        <v>3823106849</v>
      </c>
      <c r="BG30" s="614">
        <f t="shared" si="119"/>
        <v>2633309183</v>
      </c>
      <c r="BH30" s="614">
        <f t="shared" si="119"/>
        <v>2534638908</v>
      </c>
      <c r="BI30" s="614">
        <f t="shared" si="119"/>
        <v>100748557</v>
      </c>
      <c r="BJ30" s="614">
        <f t="shared" ref="BJ30" si="132">+BJ25+BJ28</f>
        <v>71062834</v>
      </c>
      <c r="BK30" s="614">
        <f t="shared" ref="BK30:CI30" si="133">+BK25+BK28</f>
        <v>661271676</v>
      </c>
      <c r="BL30" s="614">
        <f t="shared" si="133"/>
        <v>123511666</v>
      </c>
      <c r="BM30" s="614">
        <f t="shared" si="133"/>
        <v>180137000</v>
      </c>
      <c r="BN30" s="614">
        <f t="shared" si="133"/>
        <v>0</v>
      </c>
      <c r="BO30" s="614">
        <f t="shared" si="133"/>
        <v>22023119</v>
      </c>
      <c r="BP30" s="614">
        <f t="shared" si="133"/>
        <v>0</v>
      </c>
      <c r="BQ30" s="614">
        <f t="shared" si="133"/>
        <v>187726512</v>
      </c>
      <c r="BR30" s="614">
        <f t="shared" si="133"/>
        <v>0</v>
      </c>
      <c r="BS30" s="614">
        <f t="shared" si="133"/>
        <v>35867683</v>
      </c>
      <c r="BT30" s="614">
        <f t="shared" si="133"/>
        <v>0</v>
      </c>
      <c r="BU30" s="614">
        <f t="shared" si="133"/>
        <v>2023119</v>
      </c>
      <c r="BV30" s="614">
        <f t="shared" si="133"/>
        <v>0</v>
      </c>
      <c r="BW30" s="614">
        <f t="shared" si="133"/>
        <v>0</v>
      </c>
      <c r="BX30" s="614">
        <f t="shared" si="133"/>
        <v>0</v>
      </c>
      <c r="BY30" s="614">
        <f t="shared" si="133"/>
        <v>0</v>
      </c>
      <c r="BZ30" s="614">
        <f t="shared" si="133"/>
        <v>0</v>
      </c>
      <c r="CA30" s="614">
        <f t="shared" si="133"/>
        <v>0</v>
      </c>
      <c r="CB30" s="614">
        <f t="shared" si="133"/>
        <v>0</v>
      </c>
      <c r="CC30" s="614">
        <f t="shared" si="133"/>
        <v>0</v>
      </c>
      <c r="CD30" s="614">
        <f t="shared" si="133"/>
        <v>0</v>
      </c>
      <c r="CE30" s="614">
        <f t="shared" si="133"/>
        <v>3823106849</v>
      </c>
      <c r="CF30" s="614">
        <f t="shared" si="133"/>
        <v>3395329416</v>
      </c>
      <c r="CG30" s="614">
        <f t="shared" si="133"/>
        <v>2729213408</v>
      </c>
      <c r="CH30" s="614">
        <f t="shared" si="133"/>
        <v>3823106849</v>
      </c>
      <c r="CI30" s="614">
        <f t="shared" si="133"/>
        <v>2729213408</v>
      </c>
      <c r="CJ30" s="614">
        <f t="shared" ref="CJ30" si="134">+CJ25+CJ28</f>
        <v>4321368000</v>
      </c>
      <c r="CK30" s="612"/>
      <c r="CL30" s="612"/>
      <c r="CM30" s="612"/>
      <c r="CN30" s="612"/>
      <c r="CO30" s="612"/>
      <c r="CP30" s="612"/>
      <c r="CQ30" s="612"/>
      <c r="CR30" s="612"/>
      <c r="CS30" s="612"/>
      <c r="CT30" s="612"/>
      <c r="CU30" s="612"/>
      <c r="CV30" s="612"/>
      <c r="CW30" s="612"/>
      <c r="CX30" s="612"/>
      <c r="CY30" s="612"/>
      <c r="CZ30" s="612"/>
      <c r="DA30" s="612"/>
      <c r="DB30" s="612"/>
      <c r="DC30" s="612"/>
      <c r="DD30" s="612"/>
      <c r="DE30" s="612"/>
      <c r="DF30" s="612"/>
      <c r="DG30" s="612"/>
      <c r="DH30" s="612"/>
      <c r="DI30" s="613">
        <v>0</v>
      </c>
      <c r="DJ30" s="614">
        <v>0</v>
      </c>
      <c r="DK30" s="614">
        <v>0</v>
      </c>
      <c r="DL30" s="613">
        <v>0</v>
      </c>
      <c r="DM30" s="614">
        <v>0</v>
      </c>
      <c r="DN30" s="614">
        <f t="shared" ref="DN30" si="135">+DN25+DN28</f>
        <v>2112663000</v>
      </c>
      <c r="DO30" s="641"/>
      <c r="DP30" s="641"/>
      <c r="DQ30" s="641"/>
      <c r="DR30" s="641"/>
      <c r="DS30" s="641"/>
      <c r="DT30" s="641"/>
      <c r="DU30" s="641"/>
      <c r="DV30" s="641"/>
      <c r="DW30" s="641"/>
      <c r="DX30" s="641"/>
      <c r="DY30" s="641"/>
      <c r="DZ30" s="641"/>
      <c r="EA30" s="641"/>
      <c r="EB30" s="641"/>
      <c r="EC30" s="641"/>
      <c r="ED30" s="641"/>
      <c r="EE30" s="641"/>
      <c r="EF30" s="641"/>
      <c r="EG30" s="641"/>
      <c r="EH30" s="641"/>
      <c r="EI30" s="641"/>
      <c r="EJ30" s="641"/>
      <c r="EK30" s="641"/>
      <c r="EL30" s="641"/>
      <c r="EM30" s="642">
        <f t="shared" ref="EM30:EM32" si="136">EK30+EI30+EG30+EE30+EC30+EA30+DY30+DW30+DU30+DS30+DQ30+DO30</f>
        <v>0</v>
      </c>
      <c r="EN30" s="643">
        <f t="shared" si="57"/>
        <v>0</v>
      </c>
      <c r="EO30" s="644">
        <f t="shared" si="58"/>
        <v>0</v>
      </c>
      <c r="EP30" s="643">
        <f t="shared" ref="EP30:EQ30" si="137">+EP25+EP28</f>
        <v>0</v>
      </c>
      <c r="EQ30" s="643">
        <f t="shared" si="137"/>
        <v>0</v>
      </c>
      <c r="ER30" s="619">
        <f t="shared" si="10"/>
        <v>0.18677900548699744</v>
      </c>
      <c r="ES30" s="619">
        <f t="shared" si="11"/>
        <v>0.8038140261557466</v>
      </c>
      <c r="ET30" s="620">
        <f t="shared" si="12"/>
        <v>0.71387317064232014</v>
      </c>
      <c r="EU30" s="620">
        <f t="shared" si="13"/>
        <v>0.8373213206240937</v>
      </c>
      <c r="EV30" s="621">
        <f t="shared" si="14"/>
        <v>0.49308491311253427</v>
      </c>
      <c r="EW30" s="635"/>
      <c r="EX30" s="543"/>
      <c r="EY30" s="543"/>
      <c r="EZ30" s="543"/>
      <c r="FA30" s="543"/>
      <c r="FB30" s="360"/>
    </row>
    <row r="31" spans="1:159" s="4" customFormat="1" ht="24.75" customHeight="1" x14ac:dyDescent="0.25">
      <c r="A31" s="361" t="s">
        <v>306</v>
      </c>
      <c r="B31" s="361">
        <v>4</v>
      </c>
      <c r="C31" s="361" t="s">
        <v>311</v>
      </c>
      <c r="D31" s="361" t="s">
        <v>266</v>
      </c>
      <c r="E31" s="361">
        <v>269</v>
      </c>
      <c r="F31" s="281" t="s">
        <v>40</v>
      </c>
      <c r="G31" s="640">
        <f>+AA31+BE31+BF31+CJ31+DN31</f>
        <v>4700</v>
      </c>
      <c r="H31" s="640">
        <v>491</v>
      </c>
      <c r="I31" s="566"/>
      <c r="J31" s="566"/>
      <c r="K31" s="566"/>
      <c r="L31" s="566"/>
      <c r="M31" s="566"/>
      <c r="N31" s="566"/>
      <c r="O31" s="566"/>
      <c r="P31" s="566"/>
      <c r="Q31" s="566"/>
      <c r="R31" s="566"/>
      <c r="S31" s="566"/>
      <c r="T31" s="566"/>
      <c r="U31" s="566"/>
      <c r="V31" s="566"/>
      <c r="W31" s="640">
        <v>491</v>
      </c>
      <c r="X31" s="640">
        <v>491</v>
      </c>
      <c r="Y31" s="566">
        <v>491</v>
      </c>
      <c r="Z31" s="640">
        <v>491</v>
      </c>
      <c r="AA31" s="566">
        <v>491</v>
      </c>
      <c r="AB31" s="566">
        <v>893</v>
      </c>
      <c r="AC31" s="566">
        <v>15</v>
      </c>
      <c r="AD31" s="566">
        <v>36</v>
      </c>
      <c r="AE31" s="566">
        <v>18</v>
      </c>
      <c r="AF31" s="566">
        <v>16</v>
      </c>
      <c r="AG31" s="566">
        <v>90</v>
      </c>
      <c r="AH31" s="566">
        <v>104</v>
      </c>
      <c r="AI31" s="566">
        <v>97</v>
      </c>
      <c r="AJ31" s="566">
        <v>116</v>
      </c>
      <c r="AK31" s="566">
        <v>97</v>
      </c>
      <c r="AL31" s="566">
        <v>76</v>
      </c>
      <c r="AM31" s="566">
        <v>97</v>
      </c>
      <c r="AN31" s="566">
        <v>115</v>
      </c>
      <c r="AO31" s="566">
        <v>97</v>
      </c>
      <c r="AP31" s="566">
        <v>96</v>
      </c>
      <c r="AQ31" s="566">
        <v>97</v>
      </c>
      <c r="AR31" s="566">
        <v>102</v>
      </c>
      <c r="AS31" s="566">
        <v>97</v>
      </c>
      <c r="AT31" s="566">
        <v>96</v>
      </c>
      <c r="AU31" s="566">
        <v>97</v>
      </c>
      <c r="AV31" s="566">
        <v>69</v>
      </c>
      <c r="AW31" s="566">
        <v>91</v>
      </c>
      <c r="AX31" s="566">
        <v>65</v>
      </c>
      <c r="AY31" s="566">
        <v>4</v>
      </c>
      <c r="AZ31" s="566">
        <v>6</v>
      </c>
      <c r="BA31" s="640">
        <f>AY31+AW31+AU31+AS31+AQ31+AO31+AM31+AK31+AI31+AG31+AE31+AC31</f>
        <v>897</v>
      </c>
      <c r="BB31" s="640">
        <f>AC31+AE31+AG31+AI31+AK31+AM31+AO31+AQ31+AS31+AU31+AW31+AY31</f>
        <v>897</v>
      </c>
      <c r="BC31" s="640">
        <f>AD31+AF31+AH31+AJ31+AL31+AN31+AP31+AR31+AT31+AV31+AX31+AZ31</f>
        <v>897</v>
      </c>
      <c r="BD31" s="640">
        <f>AE31+AG31+AI31+AK31+AM31+AO31+AQ31+AS31+AU31+AW31+AY31+AC31</f>
        <v>897</v>
      </c>
      <c r="BE31" s="640">
        <f>AD31+AF31+AH31+AJ31+AL31+AN31+AP31+AR31+AT31+AV31+AX31+AZ31</f>
        <v>897</v>
      </c>
      <c r="BF31" s="640">
        <v>1272</v>
      </c>
      <c r="BG31" s="640">
        <v>0</v>
      </c>
      <c r="BH31" s="640">
        <v>11</v>
      </c>
      <c r="BI31" s="640">
        <v>102</v>
      </c>
      <c r="BJ31" s="640">
        <v>129</v>
      </c>
      <c r="BK31" s="640">
        <v>130</v>
      </c>
      <c r="BL31" s="640">
        <v>109</v>
      </c>
      <c r="BM31" s="640">
        <v>130</v>
      </c>
      <c r="BN31" s="640"/>
      <c r="BO31" s="640">
        <v>130</v>
      </c>
      <c r="BP31" s="640"/>
      <c r="BQ31" s="640">
        <v>130</v>
      </c>
      <c r="BR31" s="640"/>
      <c r="BS31" s="640">
        <v>130</v>
      </c>
      <c r="BT31" s="640"/>
      <c r="BU31" s="640">
        <v>130</v>
      </c>
      <c r="BV31" s="640">
        <v>0</v>
      </c>
      <c r="BW31" s="566">
        <v>130</v>
      </c>
      <c r="BX31" s="640"/>
      <c r="BY31" s="566">
        <v>130</v>
      </c>
      <c r="BZ31" s="640"/>
      <c r="CA31" s="566">
        <v>130</v>
      </c>
      <c r="CB31" s="640"/>
      <c r="CC31" s="640">
        <v>0</v>
      </c>
      <c r="CD31" s="640"/>
      <c r="CE31" s="605">
        <f>CC31+CA31+BY31+BW31+BU31+BS31+BQ31+BO31+BM31+BK31+BI31+BG31</f>
        <v>1272</v>
      </c>
      <c r="CF31" s="605">
        <f t="shared" ref="CF31:CG35" si="138">+BG31+BI31+BK31</f>
        <v>232</v>
      </c>
      <c r="CG31" s="607">
        <f t="shared" si="138"/>
        <v>249</v>
      </c>
      <c r="CH31" s="607">
        <f>CC31+CA31+BY31+BW31+BU31+BS31+BQ31+BO31+BM31+BK31+BI31+BG31</f>
        <v>1272</v>
      </c>
      <c r="CI31" s="607">
        <f>+BH31+BJ31+BL31</f>
        <v>249</v>
      </c>
      <c r="CJ31" s="640">
        <v>1585</v>
      </c>
      <c r="CK31" s="640"/>
      <c r="CL31" s="640"/>
      <c r="CM31" s="640"/>
      <c r="CN31" s="640"/>
      <c r="CO31" s="640"/>
      <c r="CP31" s="640"/>
      <c r="CQ31" s="640"/>
      <c r="CR31" s="640"/>
      <c r="CS31" s="640"/>
      <c r="CT31" s="640"/>
      <c r="CU31" s="640"/>
      <c r="CV31" s="640"/>
      <c r="CW31" s="640"/>
      <c r="CX31" s="640"/>
      <c r="CY31" s="640"/>
      <c r="CZ31" s="640"/>
      <c r="DA31" s="640"/>
      <c r="DB31" s="640"/>
      <c r="DC31" s="640"/>
      <c r="DD31" s="640"/>
      <c r="DE31" s="640"/>
      <c r="DF31" s="640"/>
      <c r="DG31" s="640"/>
      <c r="DH31" s="640"/>
      <c r="DI31" s="640">
        <v>0</v>
      </c>
      <c r="DJ31" s="640">
        <v>0</v>
      </c>
      <c r="DK31" s="640">
        <v>0</v>
      </c>
      <c r="DL31" s="640">
        <v>0</v>
      </c>
      <c r="DM31" s="640">
        <v>0</v>
      </c>
      <c r="DN31" s="640">
        <v>455</v>
      </c>
      <c r="DO31" s="628"/>
      <c r="DP31" s="628"/>
      <c r="DQ31" s="628"/>
      <c r="DR31" s="628"/>
      <c r="DS31" s="628"/>
      <c r="DT31" s="628"/>
      <c r="DU31" s="628"/>
      <c r="DV31" s="628"/>
      <c r="DW31" s="628"/>
      <c r="DX31" s="628"/>
      <c r="DY31" s="628"/>
      <c r="DZ31" s="628"/>
      <c r="EA31" s="628"/>
      <c r="EB31" s="628"/>
      <c r="EC31" s="628"/>
      <c r="ED31" s="628"/>
      <c r="EE31" s="628"/>
      <c r="EF31" s="628"/>
      <c r="EG31" s="629"/>
      <c r="EH31" s="629"/>
      <c r="EI31" s="629"/>
      <c r="EJ31" s="629"/>
      <c r="EK31" s="629"/>
      <c r="EL31" s="629"/>
      <c r="EM31" s="630">
        <f t="shared" si="136"/>
        <v>0</v>
      </c>
      <c r="EN31" s="629">
        <f t="shared" ref="EN31:EN36" si="139">DO31+DQ31+DS31+DU31</f>
        <v>0</v>
      </c>
      <c r="EO31" s="631">
        <f t="shared" ref="EO31:EO36" si="140">DP31+DR31+DT31+DV31</f>
        <v>0</v>
      </c>
      <c r="EP31" s="632">
        <f t="shared" ref="EP31:EP32" si="141">DQ31+DS31+DU31+DW31+DY31+EA31+EC31+EE31+EG31+EI31+EK31+DO31</f>
        <v>0</v>
      </c>
      <c r="EQ31" s="629">
        <f t="shared" ref="EQ31:EQ35" si="142">DP31+DR31+DT31+DV31</f>
        <v>0</v>
      </c>
      <c r="ER31" s="609">
        <f t="shared" si="10"/>
        <v>0.83846153846153848</v>
      </c>
      <c r="ES31" s="609">
        <f t="shared" si="11"/>
        <v>1.0732758620689655</v>
      </c>
      <c r="ET31" s="610">
        <f t="shared" si="12"/>
        <v>0.19575471698113209</v>
      </c>
      <c r="EU31" s="610">
        <f t="shared" si="13"/>
        <v>0.61541353383458641</v>
      </c>
      <c r="EV31" s="610">
        <f t="shared" si="14"/>
        <v>0.34829787234042553</v>
      </c>
      <c r="EW31" s="542" t="s">
        <v>649</v>
      </c>
      <c r="EX31" s="543" t="s">
        <v>576</v>
      </c>
      <c r="EY31" s="543" t="s">
        <v>576</v>
      </c>
      <c r="EZ31" s="361" t="s">
        <v>586</v>
      </c>
      <c r="FA31" s="545" t="s">
        <v>587</v>
      </c>
      <c r="FB31" s="360"/>
    </row>
    <row r="32" spans="1:159" s="65" customFormat="1" ht="24.75" customHeight="1" x14ac:dyDescent="0.25">
      <c r="A32" s="361"/>
      <c r="B32" s="361"/>
      <c r="C32" s="361"/>
      <c r="D32" s="361"/>
      <c r="E32" s="361"/>
      <c r="F32" s="282" t="s">
        <v>3</v>
      </c>
      <c r="G32" s="125">
        <f>+AA32+BE32+CH32+CJ32+DN32</f>
        <v>6445590798</v>
      </c>
      <c r="H32" s="125">
        <v>621054131</v>
      </c>
      <c r="I32" s="125"/>
      <c r="J32" s="125"/>
      <c r="K32" s="125"/>
      <c r="L32" s="125"/>
      <c r="M32" s="125"/>
      <c r="N32" s="125"/>
      <c r="O32" s="125"/>
      <c r="P32" s="125"/>
      <c r="Q32" s="125"/>
      <c r="R32" s="125"/>
      <c r="S32" s="125"/>
      <c r="T32" s="124"/>
      <c r="U32" s="139"/>
      <c r="V32" s="139"/>
      <c r="W32" s="125">
        <v>621054131</v>
      </c>
      <c r="X32" s="125">
        <v>621054131</v>
      </c>
      <c r="Y32" s="139">
        <v>535986131</v>
      </c>
      <c r="Z32" s="125">
        <v>556054131</v>
      </c>
      <c r="AA32" s="139">
        <v>535986131</v>
      </c>
      <c r="AB32" s="139">
        <v>1480481000</v>
      </c>
      <c r="AC32" s="125">
        <v>0</v>
      </c>
      <c r="AD32" s="139">
        <v>0</v>
      </c>
      <c r="AE32" s="139">
        <v>740287000</v>
      </c>
      <c r="AF32" s="139">
        <f>740287000-AD32</f>
        <v>740287000</v>
      </c>
      <c r="AG32" s="139">
        <v>261288000</v>
      </c>
      <c r="AH32" s="139">
        <f>1001575000-AF32-AD32</f>
        <v>261288000</v>
      </c>
      <c r="AI32" s="139">
        <v>0</v>
      </c>
      <c r="AJ32" s="139">
        <f>1001575000-AH32-AF32-AD32</f>
        <v>0</v>
      </c>
      <c r="AK32" s="125">
        <v>0</v>
      </c>
      <c r="AL32" s="125">
        <f>1001575000-AJ32-AH32-AF32-AD32</f>
        <v>0</v>
      </c>
      <c r="AM32" s="125">
        <v>150666666.66666666</v>
      </c>
      <c r="AN32" s="125">
        <v>150000000</v>
      </c>
      <c r="AO32" s="125">
        <v>0</v>
      </c>
      <c r="AP32" s="125">
        <v>0</v>
      </c>
      <c r="AQ32" s="125">
        <f>150666666.666667+5381200</f>
        <v>156047866.66666701</v>
      </c>
      <c r="AR32" s="125">
        <v>0</v>
      </c>
      <c r="AS32" s="125">
        <f>150666666.666667+5381200+107000000</f>
        <v>263047866.66666701</v>
      </c>
      <c r="AT32" s="125">
        <v>0</v>
      </c>
      <c r="AU32" s="125">
        <v>5381200</v>
      </c>
      <c r="AV32" s="125">
        <v>12393667</v>
      </c>
      <c r="AW32" s="125">
        <v>5381200</v>
      </c>
      <c r="AX32" s="125">
        <v>355319167</v>
      </c>
      <c r="AY32" s="125">
        <v>5381200</v>
      </c>
      <c r="AZ32" s="125">
        <v>67733833</v>
      </c>
      <c r="BA32" s="124">
        <f>AY32+AW32+AU32+AS32+AQ32+AO32+AM32+AK32+AI32+AG32+AE32+AC32</f>
        <v>1587481000.0000005</v>
      </c>
      <c r="BB32" s="124">
        <f t="shared" ref="BB32:BB35" si="143">AC32+AE32+AG32+AI32+AK32+AM32+AO32+AQ32+AS32+AU32+AW32+AY32</f>
        <v>1587481000.0000007</v>
      </c>
      <c r="BC32" s="124">
        <f t="shared" ref="BC32:BC34" si="144">AD32+AF32+AH32+AJ32+AL32+AN32+AP32+AR32+AT32+AV32+AX32+AZ32</f>
        <v>1587021667</v>
      </c>
      <c r="BD32" s="124">
        <f>AE32+AG32+AI32+AK32+AM32+AO32+AQ32+AS32+AU32+AW32+AY32+AC32</f>
        <v>1587481000.0000007</v>
      </c>
      <c r="BE32" s="124">
        <f>AD32+AF32+AH32+AJ32+AL32+AN32+AP32+AR32+AT32+AV32+AX32+AZ32</f>
        <v>1587021667</v>
      </c>
      <c r="BF32" s="124">
        <v>1617058000</v>
      </c>
      <c r="BG32" s="125">
        <v>1100730000</v>
      </c>
      <c r="BH32" s="125">
        <v>1097940000</v>
      </c>
      <c r="BI32" s="125">
        <v>0</v>
      </c>
      <c r="BJ32" s="125">
        <v>0</v>
      </c>
      <c r="BK32" s="125">
        <v>136319000</v>
      </c>
      <c r="BL32" s="125">
        <v>0</v>
      </c>
      <c r="BM32" s="125">
        <v>340009000</v>
      </c>
      <c r="BN32" s="125"/>
      <c r="BO32" s="125">
        <v>0</v>
      </c>
      <c r="BP32" s="125"/>
      <c r="BQ32" s="125">
        <v>40000000</v>
      </c>
      <c r="BR32" s="125"/>
      <c r="BS32" s="125">
        <v>0</v>
      </c>
      <c r="BT32" s="125"/>
      <c r="BU32" s="125">
        <v>0</v>
      </c>
      <c r="BV32" s="125"/>
      <c r="BW32" s="125">
        <v>0</v>
      </c>
      <c r="BX32" s="125"/>
      <c r="BY32" s="125">
        <v>0</v>
      </c>
      <c r="BZ32" s="125"/>
      <c r="CA32" s="125">
        <v>0</v>
      </c>
      <c r="CB32" s="125"/>
      <c r="CC32" s="125">
        <v>0</v>
      </c>
      <c r="CD32" s="125"/>
      <c r="CE32" s="125">
        <f>CC32+CA32+BY32+BW32+BU32+BS32+BQ32+BO32+BM32+BK32+BI32+BG32</f>
        <v>1617058000</v>
      </c>
      <c r="CF32" s="125">
        <f t="shared" si="138"/>
        <v>1237049000</v>
      </c>
      <c r="CG32" s="124">
        <f t="shared" si="138"/>
        <v>1097940000</v>
      </c>
      <c r="CH32" s="124">
        <f>CC32+CA32+BY32+BW32+BU32+BS32+BQ32+BO32+BM32+BK32+BI32+BG32</f>
        <v>1617058000</v>
      </c>
      <c r="CI32" s="124">
        <f>+BH32+BJ32+BL32</f>
        <v>1097940000</v>
      </c>
      <c r="CJ32" s="125">
        <v>1710164000</v>
      </c>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4">
        <v>0</v>
      </c>
      <c r="DJ32" s="137">
        <v>0</v>
      </c>
      <c r="DK32" s="137">
        <v>0</v>
      </c>
      <c r="DL32" s="124">
        <v>0</v>
      </c>
      <c r="DM32" s="137">
        <v>0</v>
      </c>
      <c r="DN32" s="125">
        <v>995361000</v>
      </c>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108">
        <f t="shared" si="136"/>
        <v>0</v>
      </c>
      <c r="EN32" s="98">
        <f t="shared" si="139"/>
        <v>0</v>
      </c>
      <c r="EO32" s="98">
        <f t="shared" si="140"/>
        <v>0</v>
      </c>
      <c r="EP32" s="99">
        <f t="shared" si="141"/>
        <v>0</v>
      </c>
      <c r="EQ32" s="98">
        <f t="shared" si="142"/>
        <v>0</v>
      </c>
      <c r="ER32" s="144">
        <f t="shared" si="10"/>
        <v>0</v>
      </c>
      <c r="ES32" s="144">
        <f t="shared" si="11"/>
        <v>0.88754770425423735</v>
      </c>
      <c r="ET32" s="145">
        <f t="shared" si="12"/>
        <v>0.67897379067417496</v>
      </c>
      <c r="EU32" s="145">
        <f t="shared" si="13"/>
        <v>0.85649994184388123</v>
      </c>
      <c r="EV32" s="145">
        <f t="shared" si="14"/>
        <v>0.49971335428234548</v>
      </c>
      <c r="EW32" s="542"/>
      <c r="EX32" s="543"/>
      <c r="EY32" s="543"/>
      <c r="EZ32" s="361"/>
      <c r="FA32" s="545"/>
      <c r="FB32" s="360"/>
    </row>
    <row r="33" spans="1:158" s="65" customFormat="1" ht="24.75" customHeight="1" x14ac:dyDescent="0.25">
      <c r="A33" s="361"/>
      <c r="B33" s="361"/>
      <c r="C33" s="361"/>
      <c r="D33" s="361"/>
      <c r="E33" s="361"/>
      <c r="F33" s="283" t="s">
        <v>216</v>
      </c>
      <c r="G33" s="125"/>
      <c r="H33" s="125"/>
      <c r="I33" s="125"/>
      <c r="J33" s="125"/>
      <c r="K33" s="125"/>
      <c r="L33" s="125"/>
      <c r="M33" s="125"/>
      <c r="N33" s="125"/>
      <c r="O33" s="125"/>
      <c r="P33" s="125"/>
      <c r="Q33" s="125"/>
      <c r="R33" s="125"/>
      <c r="S33" s="125"/>
      <c r="T33" s="124"/>
      <c r="U33" s="139"/>
      <c r="V33" s="139"/>
      <c r="W33" s="125"/>
      <c r="X33" s="125"/>
      <c r="Y33" s="139">
        <v>0</v>
      </c>
      <c r="Z33" s="125"/>
      <c r="AA33" s="139">
        <v>0</v>
      </c>
      <c r="AB33" s="139"/>
      <c r="AC33" s="125">
        <v>0</v>
      </c>
      <c r="AD33" s="125">
        <v>0</v>
      </c>
      <c r="AE33" s="139">
        <v>0</v>
      </c>
      <c r="AF33" s="139">
        <v>0</v>
      </c>
      <c r="AG33" s="139">
        <v>27208599</v>
      </c>
      <c r="AH33" s="139">
        <v>27208599</v>
      </c>
      <c r="AI33" s="139">
        <v>102633333</v>
      </c>
      <c r="AJ33" s="139">
        <f>129841932-AH33-AF33-AD33</f>
        <v>102633333</v>
      </c>
      <c r="AK33" s="125">
        <v>113778067</v>
      </c>
      <c r="AL33" s="125">
        <f>243619999-AJ33-AH33-AF33-AD33</f>
        <v>113778067</v>
      </c>
      <c r="AM33" s="125">
        <v>115052000</v>
      </c>
      <c r="AN33" s="125">
        <v>115052000</v>
      </c>
      <c r="AO33" s="125">
        <v>0</v>
      </c>
      <c r="AP33" s="125">
        <v>111614000</v>
      </c>
      <c r="AQ33" s="125">
        <v>0</v>
      </c>
      <c r="AR33" s="125">
        <v>111614000</v>
      </c>
      <c r="AS33" s="125">
        <v>0</v>
      </c>
      <c r="AT33" s="125">
        <v>111614000</v>
      </c>
      <c r="AU33" s="125">
        <v>0</v>
      </c>
      <c r="AV33" s="125">
        <v>111614000</v>
      </c>
      <c r="AW33" s="125">
        <v>0</v>
      </c>
      <c r="AX33" s="125">
        <v>134099612</v>
      </c>
      <c r="AY33" s="125">
        <v>0</v>
      </c>
      <c r="AZ33" s="125">
        <v>200909784.09472775</v>
      </c>
      <c r="BA33" s="124">
        <f>AY33+AW33+AU33+AS33+AQ33+AO33+AM33+AK33+AI33+AG33+AE33+AC33</f>
        <v>358671999</v>
      </c>
      <c r="BB33" s="124">
        <f t="shared" si="143"/>
        <v>358671999</v>
      </c>
      <c r="BC33" s="124">
        <f t="shared" si="144"/>
        <v>1140137395.0947278</v>
      </c>
      <c r="BD33" s="124">
        <f>AE33+AG33+AI33+AK33+AM33+AO33+AQ33+AS33+AU33+AW33+AY33+AC33</f>
        <v>358671999</v>
      </c>
      <c r="BE33" s="124">
        <f>AD33+AF33+AH33+AJ33+AL33+AN33+AP33+AR33+AT33+AV33+AX33+AZ33</f>
        <v>1140137395.0947278</v>
      </c>
      <c r="BF33" s="125">
        <v>0</v>
      </c>
      <c r="BG33" s="125">
        <v>0</v>
      </c>
      <c r="BH33" s="125">
        <v>0</v>
      </c>
      <c r="BI33" s="125"/>
      <c r="BJ33" s="125">
        <v>19077902</v>
      </c>
      <c r="BK33" s="125"/>
      <c r="BL33" s="125">
        <v>121799899</v>
      </c>
      <c r="BM33" s="125"/>
      <c r="BN33" s="125"/>
      <c r="BO33" s="125"/>
      <c r="BP33" s="125"/>
      <c r="BQ33" s="125"/>
      <c r="BR33" s="125"/>
      <c r="BS33" s="125"/>
      <c r="BT33" s="125"/>
      <c r="BU33" s="125"/>
      <c r="BV33" s="125"/>
      <c r="BW33" s="125"/>
      <c r="BX33" s="125"/>
      <c r="BY33" s="125"/>
      <c r="BZ33" s="125"/>
      <c r="CA33" s="125"/>
      <c r="CB33" s="125"/>
      <c r="CC33" s="125"/>
      <c r="CD33" s="125"/>
      <c r="CE33" s="125">
        <f>CC33+CA33+BY33+BW33+BU33+BS33+BQ33+BO33+BM33+BK33+BI33+BG33</f>
        <v>0</v>
      </c>
      <c r="CF33" s="125">
        <f t="shared" si="138"/>
        <v>0</v>
      </c>
      <c r="CG33" s="124">
        <f t="shared" si="138"/>
        <v>140877801</v>
      </c>
      <c r="CH33" s="124">
        <f>CC33+CA33+BY33+BW33+BU33+BS33+BQ33+BO33+BM33+BK33+BI33+BG33</f>
        <v>0</v>
      </c>
      <c r="CI33" s="124">
        <f>+BH33+BJ33+BL33</f>
        <v>140877801</v>
      </c>
      <c r="CJ33" s="125">
        <v>0</v>
      </c>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4"/>
      <c r="DJ33" s="137"/>
      <c r="DK33" s="137"/>
      <c r="DL33" s="124"/>
      <c r="DM33" s="137"/>
      <c r="DN33" s="125">
        <v>0</v>
      </c>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108">
        <f t="shared" ref="EM33:EM36" si="145">EI33+EG33+EE33+EC33+EA33+DY33+DW33+DU33+DS33+DQ33+DO33+EK33</f>
        <v>0</v>
      </c>
      <c r="EN33" s="98">
        <f t="shared" si="139"/>
        <v>0</v>
      </c>
      <c r="EO33" s="98">
        <f t="shared" si="140"/>
        <v>0</v>
      </c>
      <c r="EP33" s="94">
        <f t="shared" ref="EP33:EP34" si="146">DQ33+DS33+DU33+DW33+DY33+EA33+EC33+EE33+EG33+EI33+EK33</f>
        <v>0</v>
      </c>
      <c r="EQ33" s="98">
        <f t="shared" si="142"/>
        <v>0</v>
      </c>
      <c r="ER33" s="144" t="e">
        <f t="shared" si="10"/>
        <v>#DIV/0!</v>
      </c>
      <c r="ES33" s="144" t="e">
        <f t="shared" si="11"/>
        <v>#DIV/0!</v>
      </c>
      <c r="ET33" s="145" t="e">
        <f t="shared" si="12"/>
        <v>#DIV/0!</v>
      </c>
      <c r="EU33" s="145">
        <f t="shared" si="13"/>
        <v>3.5715506079824419</v>
      </c>
      <c r="EV33" s="145" t="e">
        <f t="shared" si="14"/>
        <v>#DIV/0!</v>
      </c>
      <c r="EW33" s="542"/>
      <c r="EX33" s="543"/>
      <c r="EY33" s="543"/>
      <c r="EZ33" s="361"/>
      <c r="FA33" s="545"/>
      <c r="FB33" s="360"/>
    </row>
    <row r="34" spans="1:158" s="4" customFormat="1" ht="24.75" customHeight="1" x14ac:dyDescent="0.25">
      <c r="A34" s="361"/>
      <c r="B34" s="361"/>
      <c r="C34" s="361"/>
      <c r="D34" s="361"/>
      <c r="E34" s="361"/>
      <c r="F34" s="281" t="s">
        <v>41</v>
      </c>
      <c r="G34" s="141">
        <f>+AA34+BD34+BF34+CJ34+DN34</f>
        <v>0</v>
      </c>
      <c r="H34" s="124">
        <v>0</v>
      </c>
      <c r="I34" s="324"/>
      <c r="J34" s="324"/>
      <c r="K34" s="324"/>
      <c r="L34" s="324"/>
      <c r="M34" s="324"/>
      <c r="N34" s="324"/>
      <c r="O34" s="324"/>
      <c r="P34" s="324"/>
      <c r="Q34" s="324"/>
      <c r="R34" s="324"/>
      <c r="S34" s="324"/>
      <c r="T34" s="324"/>
      <c r="U34" s="324"/>
      <c r="V34" s="324"/>
      <c r="W34" s="124">
        <v>0</v>
      </c>
      <c r="X34" s="124">
        <v>0</v>
      </c>
      <c r="Y34" s="124">
        <v>0</v>
      </c>
      <c r="Z34" s="124">
        <v>0</v>
      </c>
      <c r="AA34" s="124">
        <v>0</v>
      </c>
      <c r="AB34" s="324">
        <v>0</v>
      </c>
      <c r="AC34" s="324">
        <v>0</v>
      </c>
      <c r="AD34" s="324">
        <v>0</v>
      </c>
      <c r="AE34" s="324">
        <v>0</v>
      </c>
      <c r="AF34" s="324">
        <v>0</v>
      </c>
      <c r="AG34" s="324">
        <v>0</v>
      </c>
      <c r="AH34" s="324">
        <v>0</v>
      </c>
      <c r="AI34" s="324">
        <v>0</v>
      </c>
      <c r="AJ34" s="324">
        <v>0</v>
      </c>
      <c r="AK34" s="324">
        <v>0</v>
      </c>
      <c r="AL34" s="324">
        <v>0</v>
      </c>
      <c r="AM34" s="324">
        <v>0</v>
      </c>
      <c r="AN34" s="324">
        <v>0</v>
      </c>
      <c r="AO34" s="324">
        <v>0</v>
      </c>
      <c r="AP34" s="324">
        <v>0</v>
      </c>
      <c r="AQ34" s="324">
        <v>0</v>
      </c>
      <c r="AR34" s="324">
        <v>0</v>
      </c>
      <c r="AS34" s="324">
        <v>0</v>
      </c>
      <c r="AT34" s="324">
        <v>0</v>
      </c>
      <c r="AU34" s="324">
        <v>0</v>
      </c>
      <c r="AV34" s="324">
        <v>0</v>
      </c>
      <c r="AW34" s="324">
        <v>0</v>
      </c>
      <c r="AX34" s="324">
        <v>0</v>
      </c>
      <c r="AY34" s="324">
        <v>0</v>
      </c>
      <c r="AZ34" s="324">
        <v>0</v>
      </c>
      <c r="BA34" s="141">
        <f>AY34+AW34+AU34+AS34+AQ34+AO34+AM34+AK34+AI34+AG34+AE34+AC34</f>
        <v>0</v>
      </c>
      <c r="BB34" s="141">
        <f t="shared" si="143"/>
        <v>0</v>
      </c>
      <c r="BC34" s="141">
        <f t="shared" si="144"/>
        <v>0</v>
      </c>
      <c r="BD34" s="141">
        <f t="shared" ref="BD34:BD35" si="147">AE34+AG34+AI34+AK34+AM34+AO34+AQ34+AS34+AU34+AW34+AY34+AC34</f>
        <v>0</v>
      </c>
      <c r="BE34" s="141">
        <f>AD34+AF34+AH34+AJ34+AL34+AN34+AP34+AR34+AT34+AV34+AX34+AZ34</f>
        <v>0</v>
      </c>
      <c r="BF34" s="324">
        <v>0</v>
      </c>
      <c r="BG34" s="324">
        <v>0</v>
      </c>
      <c r="BH34" s="324">
        <v>0</v>
      </c>
      <c r="BI34" s="324"/>
      <c r="BJ34" s="324">
        <v>0</v>
      </c>
      <c r="BK34" s="324">
        <v>0</v>
      </c>
      <c r="BL34" s="324">
        <v>0</v>
      </c>
      <c r="BM34" s="324"/>
      <c r="BN34" s="324"/>
      <c r="BO34" s="324"/>
      <c r="BP34" s="324"/>
      <c r="BQ34" s="324"/>
      <c r="BR34" s="324"/>
      <c r="BS34" s="324"/>
      <c r="BT34" s="324"/>
      <c r="BU34" s="324"/>
      <c r="BV34" s="324"/>
      <c r="BW34" s="324"/>
      <c r="BX34" s="324"/>
      <c r="BY34" s="324"/>
      <c r="BZ34" s="324"/>
      <c r="CA34" s="324"/>
      <c r="CB34" s="324"/>
      <c r="CC34" s="324"/>
      <c r="CD34" s="324"/>
      <c r="CE34" s="299">
        <f>CC34+CA34+BY34+BW34+BU34+BS34+BQ34+BO34+BM34+BK34+BI34+BG34</f>
        <v>0</v>
      </c>
      <c r="CF34" s="299">
        <f t="shared" si="138"/>
        <v>0</v>
      </c>
      <c r="CG34" s="285">
        <f t="shared" si="138"/>
        <v>0</v>
      </c>
      <c r="CH34" s="285">
        <f>CC34+CA34+BY34+BW34+BU34+BS34+BQ34+BO34+BM34+BK34+BI34+BG34</f>
        <v>0</v>
      </c>
      <c r="CI34" s="285">
        <f>+BH34+BJ34+BL34</f>
        <v>0</v>
      </c>
      <c r="CJ34" s="324">
        <v>0</v>
      </c>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v>0</v>
      </c>
      <c r="DJ34" s="324">
        <v>0</v>
      </c>
      <c r="DK34" s="324">
        <v>0</v>
      </c>
      <c r="DL34" s="142">
        <v>0</v>
      </c>
      <c r="DM34" s="324">
        <v>0</v>
      </c>
      <c r="DN34" s="324">
        <v>0</v>
      </c>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109">
        <f t="shared" si="145"/>
        <v>0</v>
      </c>
      <c r="EN34" s="120">
        <f t="shared" si="139"/>
        <v>0</v>
      </c>
      <c r="EO34" s="100">
        <f t="shared" si="140"/>
        <v>0</v>
      </c>
      <c r="EP34" s="101">
        <f t="shared" si="146"/>
        <v>0</v>
      </c>
      <c r="EQ34" s="109">
        <f t="shared" si="142"/>
        <v>0</v>
      </c>
      <c r="ER34" s="144" t="e">
        <f t="shared" si="10"/>
        <v>#DIV/0!</v>
      </c>
      <c r="ES34" s="144" t="e">
        <f t="shared" si="11"/>
        <v>#DIV/0!</v>
      </c>
      <c r="ET34" s="145" t="e">
        <f t="shared" si="12"/>
        <v>#DIV/0!</v>
      </c>
      <c r="EU34" s="145" t="e">
        <f t="shared" si="13"/>
        <v>#DIV/0!</v>
      </c>
      <c r="EV34" s="145" t="e">
        <f t="shared" si="14"/>
        <v>#DIV/0!</v>
      </c>
      <c r="EW34" s="542"/>
      <c r="EX34" s="543"/>
      <c r="EY34" s="543"/>
      <c r="EZ34" s="361"/>
      <c r="FA34" s="545"/>
      <c r="FB34" s="360"/>
    </row>
    <row r="35" spans="1:158" s="4" customFormat="1" ht="24.75" customHeight="1" x14ac:dyDescent="0.25">
      <c r="A35" s="361"/>
      <c r="B35" s="361"/>
      <c r="C35" s="361"/>
      <c r="D35" s="361"/>
      <c r="E35" s="361"/>
      <c r="F35" s="282" t="s">
        <v>4</v>
      </c>
      <c r="G35" s="125">
        <f>+AA35+BE35+CH35+CJ35+DN35</f>
        <v>793519492</v>
      </c>
      <c r="H35" s="125">
        <v>200998268</v>
      </c>
      <c r="I35" s="125">
        <v>0</v>
      </c>
      <c r="J35" s="125">
        <v>0</v>
      </c>
      <c r="K35" s="125">
        <v>0</v>
      </c>
      <c r="L35" s="125">
        <v>0</v>
      </c>
      <c r="M35" s="125">
        <v>0</v>
      </c>
      <c r="N35" s="125">
        <v>0</v>
      </c>
      <c r="O35" s="125">
        <v>0</v>
      </c>
      <c r="P35" s="125">
        <v>0</v>
      </c>
      <c r="Q35" s="125">
        <v>0</v>
      </c>
      <c r="R35" s="125">
        <v>0</v>
      </c>
      <c r="S35" s="125">
        <v>0</v>
      </c>
      <c r="T35" s="124">
        <v>0</v>
      </c>
      <c r="U35" s="139">
        <v>0</v>
      </c>
      <c r="V35" s="139">
        <v>0</v>
      </c>
      <c r="W35" s="125">
        <v>200998268</v>
      </c>
      <c r="X35" s="125">
        <v>200998268</v>
      </c>
      <c r="Y35" s="124">
        <v>0</v>
      </c>
      <c r="Z35" s="125">
        <v>200998268</v>
      </c>
      <c r="AA35" s="124">
        <v>0</v>
      </c>
      <c r="AB35" s="139">
        <v>131226434</v>
      </c>
      <c r="AC35" s="139">
        <v>69771834</v>
      </c>
      <c r="AD35" s="139">
        <v>69771834</v>
      </c>
      <c r="AE35" s="139">
        <v>42432466</v>
      </c>
      <c r="AF35" s="139">
        <f>112204300-AD35</f>
        <v>42432466</v>
      </c>
      <c r="AG35" s="139">
        <v>19022134</v>
      </c>
      <c r="AH35" s="139">
        <f>131226434-AF35-AD35</f>
        <v>19022134</v>
      </c>
      <c r="AI35" s="139">
        <v>0</v>
      </c>
      <c r="AJ35" s="139">
        <f>131226434-AH35-AF35-AD35</f>
        <v>0</v>
      </c>
      <c r="AK35" s="125">
        <v>0</v>
      </c>
      <c r="AL35" s="125">
        <f>131226434-AJ35-AH35-AF35-AD35</f>
        <v>0</v>
      </c>
      <c r="AM35" s="125">
        <v>0</v>
      </c>
      <c r="AN35" s="125">
        <v>0</v>
      </c>
      <c r="AO35" s="125">
        <v>0</v>
      </c>
      <c r="AP35" s="125">
        <v>0</v>
      </c>
      <c r="AQ35" s="125">
        <v>0</v>
      </c>
      <c r="AR35" s="125">
        <v>0</v>
      </c>
      <c r="AS35" s="125">
        <v>0</v>
      </c>
      <c r="AT35" s="125">
        <v>0</v>
      </c>
      <c r="AU35" s="125">
        <v>0</v>
      </c>
      <c r="AV35" s="125">
        <v>0</v>
      </c>
      <c r="AW35" s="125">
        <v>0</v>
      </c>
      <c r="AX35" s="125">
        <v>0</v>
      </c>
      <c r="AY35" s="125">
        <v>0</v>
      </c>
      <c r="AZ35" s="125">
        <v>0</v>
      </c>
      <c r="BA35" s="124">
        <f>AY35+AW35+AU35+AS35+AQ35+AO35+AM35+AK35+AI35+AG35+AE35+AC35</f>
        <v>131226434</v>
      </c>
      <c r="BB35" s="124">
        <f t="shared" si="143"/>
        <v>131226434</v>
      </c>
      <c r="BC35" s="124">
        <v>131226434</v>
      </c>
      <c r="BD35" s="124">
        <f t="shared" si="147"/>
        <v>131226434</v>
      </c>
      <c r="BE35" s="124">
        <v>131226434</v>
      </c>
      <c r="BF35" s="125">
        <v>662293058</v>
      </c>
      <c r="BG35" s="125">
        <v>4618400</v>
      </c>
      <c r="BH35" s="125"/>
      <c r="BI35" s="125">
        <v>38557535</v>
      </c>
      <c r="BJ35" s="125">
        <v>24006926</v>
      </c>
      <c r="BK35" s="125">
        <v>36000000</v>
      </c>
      <c r="BL35" s="125">
        <v>24600000</v>
      </c>
      <c r="BM35" s="125">
        <v>276000000</v>
      </c>
      <c r="BN35" s="125"/>
      <c r="BO35" s="125">
        <v>96000000</v>
      </c>
      <c r="BP35" s="125"/>
      <c r="BQ35" s="125">
        <v>36000000</v>
      </c>
      <c r="BR35" s="125"/>
      <c r="BS35" s="125">
        <v>36000000</v>
      </c>
      <c r="BT35" s="125"/>
      <c r="BU35" s="125">
        <v>36000000</v>
      </c>
      <c r="BV35" s="125"/>
      <c r="BW35" s="125">
        <v>36000000</v>
      </c>
      <c r="BX35" s="125"/>
      <c r="BY35" s="125">
        <v>36000000</v>
      </c>
      <c r="BZ35" s="125"/>
      <c r="CA35" s="125">
        <v>31117123</v>
      </c>
      <c r="CB35" s="125"/>
      <c r="CC35" s="125">
        <v>0</v>
      </c>
      <c r="CD35" s="125"/>
      <c r="CE35" s="125">
        <f>CC35+CA35+BY35+BW35+BU35+BS35+BQ35+BO35+BM35+BK35+BI35+BG35</f>
        <v>662293058</v>
      </c>
      <c r="CF35" s="125">
        <f t="shared" si="138"/>
        <v>79175935</v>
      </c>
      <c r="CG35" s="124">
        <f t="shared" si="138"/>
        <v>48606926</v>
      </c>
      <c r="CH35" s="124">
        <f>CC35+CA35+BY35+BW35+BU35+BS35+BQ35+BO35+BM35+BK35+BI35+BG35</f>
        <v>662293058</v>
      </c>
      <c r="CI35" s="139">
        <f>+BH35+BJ35+BL35</f>
        <v>48606926</v>
      </c>
      <c r="CJ35" s="125">
        <v>0</v>
      </c>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4">
        <v>0</v>
      </c>
      <c r="DJ35" s="137">
        <v>0</v>
      </c>
      <c r="DK35" s="137">
        <v>0</v>
      </c>
      <c r="DL35" s="124">
        <v>0</v>
      </c>
      <c r="DM35" s="137">
        <v>0</v>
      </c>
      <c r="DN35" s="125">
        <v>0</v>
      </c>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109">
        <f t="shared" si="145"/>
        <v>0</v>
      </c>
      <c r="EN35" s="98">
        <f t="shared" si="139"/>
        <v>0</v>
      </c>
      <c r="EO35" s="98">
        <f t="shared" si="140"/>
        <v>0</v>
      </c>
      <c r="EP35" s="94">
        <f t="shared" ref="EP35:EP36" si="148">DQ35+DS35+DU35+DW35+DY35+EA35+EC35+EE35+EG35+EI35+EK35+DO35</f>
        <v>0</v>
      </c>
      <c r="EQ35" s="98">
        <f t="shared" si="142"/>
        <v>0</v>
      </c>
      <c r="ER35" s="144">
        <f t="shared" si="10"/>
        <v>0.68333333333333335</v>
      </c>
      <c r="ES35" s="144">
        <f t="shared" si="11"/>
        <v>0.61391035041139708</v>
      </c>
      <c r="ET35" s="145">
        <f t="shared" si="12"/>
        <v>7.3391869977897303E-2</v>
      </c>
      <c r="EU35" s="145">
        <f t="shared" si="13"/>
        <v>0.18082468431735196</v>
      </c>
      <c r="EV35" s="145">
        <f t="shared" si="14"/>
        <v>0.2266275268761766</v>
      </c>
      <c r="EW35" s="542"/>
      <c r="EX35" s="543"/>
      <c r="EY35" s="543"/>
      <c r="EZ35" s="361"/>
      <c r="FA35" s="545"/>
      <c r="FB35" s="360"/>
    </row>
    <row r="36" spans="1:158" s="4" customFormat="1" ht="24.75" customHeight="1" thickBot="1" x14ac:dyDescent="0.3">
      <c r="A36" s="361"/>
      <c r="B36" s="361"/>
      <c r="C36" s="361"/>
      <c r="D36" s="361"/>
      <c r="E36" s="361"/>
      <c r="F36" s="281" t="s">
        <v>42</v>
      </c>
      <c r="G36" s="622">
        <f>+G31+G34</f>
        <v>4700</v>
      </c>
      <c r="H36" s="622">
        <f t="shared" ref="H36:AA36" si="149">+H31+H34</f>
        <v>491</v>
      </c>
      <c r="I36" s="622">
        <f t="shared" si="149"/>
        <v>0</v>
      </c>
      <c r="J36" s="622">
        <f t="shared" si="149"/>
        <v>0</v>
      </c>
      <c r="K36" s="622">
        <f t="shared" si="149"/>
        <v>0</v>
      </c>
      <c r="L36" s="622">
        <f t="shared" si="149"/>
        <v>0</v>
      </c>
      <c r="M36" s="622">
        <f t="shared" si="149"/>
        <v>0</v>
      </c>
      <c r="N36" s="622">
        <f t="shared" si="149"/>
        <v>0</v>
      </c>
      <c r="O36" s="622">
        <f t="shared" si="149"/>
        <v>0</v>
      </c>
      <c r="P36" s="622">
        <f t="shared" si="149"/>
        <v>0</v>
      </c>
      <c r="Q36" s="622">
        <f t="shared" si="149"/>
        <v>0</v>
      </c>
      <c r="R36" s="622">
        <f t="shared" si="149"/>
        <v>0</v>
      </c>
      <c r="S36" s="622">
        <f t="shared" si="149"/>
        <v>0</v>
      </c>
      <c r="T36" s="622">
        <f t="shared" si="149"/>
        <v>0</v>
      </c>
      <c r="U36" s="622">
        <f t="shared" si="149"/>
        <v>0</v>
      </c>
      <c r="V36" s="622">
        <f t="shared" si="149"/>
        <v>0</v>
      </c>
      <c r="W36" s="622">
        <f t="shared" si="149"/>
        <v>491</v>
      </c>
      <c r="X36" s="622">
        <f t="shared" si="149"/>
        <v>491</v>
      </c>
      <c r="Y36" s="622">
        <f t="shared" si="149"/>
        <v>491</v>
      </c>
      <c r="Z36" s="622">
        <f t="shared" si="149"/>
        <v>491</v>
      </c>
      <c r="AA36" s="622">
        <f t="shared" si="149"/>
        <v>491</v>
      </c>
      <c r="AB36" s="595">
        <f t="shared" ref="AB36:AZ36" si="150">+AB31+AB34</f>
        <v>893</v>
      </c>
      <c r="AC36" s="622">
        <f t="shared" si="150"/>
        <v>15</v>
      </c>
      <c r="AD36" s="622">
        <f t="shared" si="150"/>
        <v>36</v>
      </c>
      <c r="AE36" s="622">
        <f t="shared" si="150"/>
        <v>18</v>
      </c>
      <c r="AF36" s="622">
        <f t="shared" si="150"/>
        <v>16</v>
      </c>
      <c r="AG36" s="622">
        <f t="shared" si="150"/>
        <v>90</v>
      </c>
      <c r="AH36" s="622">
        <f t="shared" si="150"/>
        <v>104</v>
      </c>
      <c r="AI36" s="622">
        <f t="shared" si="150"/>
        <v>97</v>
      </c>
      <c r="AJ36" s="622">
        <f t="shared" si="150"/>
        <v>116</v>
      </c>
      <c r="AK36" s="622">
        <f t="shared" si="150"/>
        <v>97</v>
      </c>
      <c r="AL36" s="622">
        <f>+AL31+AL34</f>
        <v>76</v>
      </c>
      <c r="AM36" s="622">
        <f t="shared" si="150"/>
        <v>97</v>
      </c>
      <c r="AN36" s="622">
        <f t="shared" ref="AN36" si="151">+AN31+AN34</f>
        <v>115</v>
      </c>
      <c r="AO36" s="622">
        <f t="shared" si="150"/>
        <v>97</v>
      </c>
      <c r="AP36" s="622">
        <f t="shared" si="150"/>
        <v>96</v>
      </c>
      <c r="AQ36" s="622">
        <f t="shared" si="150"/>
        <v>97</v>
      </c>
      <c r="AR36" s="622">
        <f t="shared" si="150"/>
        <v>102</v>
      </c>
      <c r="AS36" s="622">
        <f t="shared" si="150"/>
        <v>97</v>
      </c>
      <c r="AT36" s="622">
        <f t="shared" si="150"/>
        <v>96</v>
      </c>
      <c r="AU36" s="622">
        <f t="shared" si="150"/>
        <v>97</v>
      </c>
      <c r="AV36" s="622">
        <f t="shared" ref="AV36:AX36" si="152">+AV31+AV34</f>
        <v>69</v>
      </c>
      <c r="AW36" s="622">
        <f t="shared" si="150"/>
        <v>91</v>
      </c>
      <c r="AX36" s="622">
        <f t="shared" si="152"/>
        <v>65</v>
      </c>
      <c r="AY36" s="622">
        <f t="shared" si="150"/>
        <v>4</v>
      </c>
      <c r="AZ36" s="622">
        <f t="shared" si="150"/>
        <v>6</v>
      </c>
      <c r="BA36" s="622">
        <f t="shared" ref="BA36:BE36" si="153">+BA31+BA34</f>
        <v>897</v>
      </c>
      <c r="BB36" s="595">
        <f t="shared" si="153"/>
        <v>897</v>
      </c>
      <c r="BC36" s="595">
        <f t="shared" si="153"/>
        <v>897</v>
      </c>
      <c r="BD36" s="595">
        <f t="shared" si="153"/>
        <v>897</v>
      </c>
      <c r="BE36" s="595">
        <f t="shared" si="153"/>
        <v>897</v>
      </c>
      <c r="BF36" s="595">
        <f t="shared" ref="BF36:CJ36" si="154">+BF31+BF34</f>
        <v>1272</v>
      </c>
      <c r="BG36" s="595">
        <f t="shared" si="154"/>
        <v>0</v>
      </c>
      <c r="BH36" s="595">
        <f t="shared" si="154"/>
        <v>11</v>
      </c>
      <c r="BI36" s="595">
        <f t="shared" si="154"/>
        <v>102</v>
      </c>
      <c r="BJ36" s="595">
        <f t="shared" ref="BJ36" si="155">+BJ31+BJ34</f>
        <v>129</v>
      </c>
      <c r="BK36" s="595">
        <f t="shared" si="154"/>
        <v>130</v>
      </c>
      <c r="BL36" s="595">
        <f t="shared" si="154"/>
        <v>109</v>
      </c>
      <c r="BM36" s="595">
        <f t="shared" si="154"/>
        <v>130</v>
      </c>
      <c r="BN36" s="595">
        <f t="shared" si="154"/>
        <v>0</v>
      </c>
      <c r="BO36" s="595">
        <f t="shared" si="154"/>
        <v>130</v>
      </c>
      <c r="BP36" s="595">
        <f t="shared" si="154"/>
        <v>0</v>
      </c>
      <c r="BQ36" s="595">
        <f t="shared" si="154"/>
        <v>130</v>
      </c>
      <c r="BR36" s="595">
        <f t="shared" si="154"/>
        <v>0</v>
      </c>
      <c r="BS36" s="595">
        <f t="shared" si="154"/>
        <v>130</v>
      </c>
      <c r="BT36" s="595">
        <f t="shared" si="154"/>
        <v>0</v>
      </c>
      <c r="BU36" s="595">
        <f t="shared" si="154"/>
        <v>130</v>
      </c>
      <c r="BV36" s="595">
        <f t="shared" si="154"/>
        <v>0</v>
      </c>
      <c r="BW36" s="595">
        <f t="shared" si="154"/>
        <v>130</v>
      </c>
      <c r="BX36" s="595">
        <f t="shared" si="154"/>
        <v>0</v>
      </c>
      <c r="BY36" s="595">
        <f t="shared" si="154"/>
        <v>130</v>
      </c>
      <c r="BZ36" s="595">
        <f t="shared" si="154"/>
        <v>0</v>
      </c>
      <c r="CA36" s="595">
        <f t="shared" si="154"/>
        <v>130</v>
      </c>
      <c r="CB36" s="595">
        <f t="shared" si="154"/>
        <v>0</v>
      </c>
      <c r="CC36" s="595">
        <f t="shared" si="154"/>
        <v>0</v>
      </c>
      <c r="CD36" s="595">
        <f t="shared" si="154"/>
        <v>0</v>
      </c>
      <c r="CE36" s="595">
        <f t="shared" si="154"/>
        <v>1272</v>
      </c>
      <c r="CF36" s="595">
        <f t="shared" si="154"/>
        <v>232</v>
      </c>
      <c r="CG36" s="595">
        <f t="shared" si="154"/>
        <v>249</v>
      </c>
      <c r="CH36" s="595">
        <f t="shared" si="154"/>
        <v>1272</v>
      </c>
      <c r="CI36" s="595">
        <f t="shared" si="154"/>
        <v>249</v>
      </c>
      <c r="CJ36" s="595">
        <f t="shared" si="154"/>
        <v>1585</v>
      </c>
      <c r="CK36" s="595"/>
      <c r="CL36" s="595"/>
      <c r="CM36" s="595"/>
      <c r="CN36" s="595"/>
      <c r="CO36" s="595"/>
      <c r="CP36" s="595"/>
      <c r="CQ36" s="595"/>
      <c r="CR36" s="595"/>
      <c r="CS36" s="595"/>
      <c r="CT36" s="595"/>
      <c r="CU36" s="595"/>
      <c r="CV36" s="595"/>
      <c r="CW36" s="595"/>
      <c r="CX36" s="595"/>
      <c r="CY36" s="595"/>
      <c r="CZ36" s="595"/>
      <c r="DA36" s="595"/>
      <c r="DB36" s="595"/>
      <c r="DC36" s="595"/>
      <c r="DD36" s="595"/>
      <c r="DE36" s="595"/>
      <c r="DF36" s="595"/>
      <c r="DG36" s="595"/>
      <c r="DH36" s="595"/>
      <c r="DI36" s="595">
        <v>0</v>
      </c>
      <c r="DJ36" s="595">
        <v>0</v>
      </c>
      <c r="DK36" s="595">
        <v>0</v>
      </c>
      <c r="DL36" s="624">
        <v>0</v>
      </c>
      <c r="DM36" s="595">
        <v>0</v>
      </c>
      <c r="DN36" s="595" t="s">
        <v>592</v>
      </c>
      <c r="DO36" s="636"/>
      <c r="DP36" s="636"/>
      <c r="DQ36" s="636"/>
      <c r="DR36" s="636"/>
      <c r="DS36" s="636"/>
      <c r="DT36" s="636"/>
      <c r="DU36" s="636"/>
      <c r="DV36" s="636"/>
      <c r="DW36" s="636"/>
      <c r="DX36" s="636"/>
      <c r="DY36" s="636"/>
      <c r="DZ36" s="636"/>
      <c r="EA36" s="636"/>
      <c r="EB36" s="636"/>
      <c r="EC36" s="636"/>
      <c r="ED36" s="636"/>
      <c r="EE36" s="636"/>
      <c r="EF36" s="636"/>
      <c r="EG36" s="636"/>
      <c r="EH36" s="636"/>
      <c r="EI36" s="636"/>
      <c r="EJ36" s="636"/>
      <c r="EK36" s="636"/>
      <c r="EL36" s="636"/>
      <c r="EM36" s="637">
        <f t="shared" si="145"/>
        <v>0</v>
      </c>
      <c r="EN36" s="638">
        <f t="shared" si="139"/>
        <v>0</v>
      </c>
      <c r="EO36" s="638">
        <f t="shared" si="140"/>
        <v>0</v>
      </c>
      <c r="EP36" s="639">
        <f t="shared" si="148"/>
        <v>0</v>
      </c>
      <c r="EQ36" s="638">
        <f t="shared" ref="EQ36" si="156">DR36+DT36+DV36+DP36</f>
        <v>0</v>
      </c>
      <c r="ER36" s="602">
        <f t="shared" si="10"/>
        <v>0.83846153846153848</v>
      </c>
      <c r="ES36" s="602">
        <f t="shared" si="11"/>
        <v>1.0732758620689655</v>
      </c>
      <c r="ET36" s="603">
        <f t="shared" si="12"/>
        <v>0.19575471698113209</v>
      </c>
      <c r="EU36" s="603">
        <f t="shared" si="13"/>
        <v>0.61541353383458641</v>
      </c>
      <c r="EV36" s="603">
        <f t="shared" si="14"/>
        <v>0.34829787234042553</v>
      </c>
      <c r="EW36" s="542"/>
      <c r="EX36" s="543"/>
      <c r="EY36" s="543"/>
      <c r="EZ36" s="361"/>
      <c r="FA36" s="545"/>
      <c r="FB36" s="360"/>
    </row>
    <row r="37" spans="1:158" s="33" customFormat="1" ht="24.75" customHeight="1" thickBot="1" x14ac:dyDescent="0.3">
      <c r="A37" s="361"/>
      <c r="B37" s="361"/>
      <c r="C37" s="361"/>
      <c r="D37" s="361"/>
      <c r="E37" s="361"/>
      <c r="F37" s="590" t="s">
        <v>44</v>
      </c>
      <c r="G37" s="611">
        <f>+G32+G35</f>
        <v>7239110290</v>
      </c>
      <c r="H37" s="612">
        <f t="shared" ref="H37:AA37" si="157">+H32+H35</f>
        <v>822052399</v>
      </c>
      <c r="I37" s="612">
        <f t="shared" si="157"/>
        <v>0</v>
      </c>
      <c r="J37" s="612">
        <f t="shared" si="157"/>
        <v>0</v>
      </c>
      <c r="K37" s="612">
        <f t="shared" si="157"/>
        <v>0</v>
      </c>
      <c r="L37" s="612">
        <f t="shared" si="157"/>
        <v>0</v>
      </c>
      <c r="M37" s="612">
        <f t="shared" si="157"/>
        <v>0</v>
      </c>
      <c r="N37" s="612">
        <f t="shared" si="157"/>
        <v>0</v>
      </c>
      <c r="O37" s="612">
        <f t="shared" si="157"/>
        <v>0</v>
      </c>
      <c r="P37" s="612">
        <f t="shared" si="157"/>
        <v>0</v>
      </c>
      <c r="Q37" s="612">
        <f t="shared" si="157"/>
        <v>0</v>
      </c>
      <c r="R37" s="612">
        <f t="shared" si="157"/>
        <v>0</v>
      </c>
      <c r="S37" s="612">
        <f t="shared" si="157"/>
        <v>0</v>
      </c>
      <c r="T37" s="612">
        <f t="shared" si="157"/>
        <v>0</v>
      </c>
      <c r="U37" s="612">
        <f t="shared" si="157"/>
        <v>0</v>
      </c>
      <c r="V37" s="612">
        <f t="shared" si="157"/>
        <v>0</v>
      </c>
      <c r="W37" s="612">
        <f t="shared" si="157"/>
        <v>822052399</v>
      </c>
      <c r="X37" s="612">
        <f t="shared" si="157"/>
        <v>822052399</v>
      </c>
      <c r="Y37" s="612">
        <f t="shared" si="157"/>
        <v>535986131</v>
      </c>
      <c r="Z37" s="612">
        <f t="shared" si="157"/>
        <v>757052399</v>
      </c>
      <c r="AA37" s="612">
        <f t="shared" si="157"/>
        <v>535986131</v>
      </c>
      <c r="AB37" s="633">
        <f t="shared" ref="AB37:AZ37" si="158">+AB32+AB35</f>
        <v>1611707434</v>
      </c>
      <c r="AC37" s="612">
        <f t="shared" si="158"/>
        <v>69771834</v>
      </c>
      <c r="AD37" s="612">
        <f t="shared" si="158"/>
        <v>69771834</v>
      </c>
      <c r="AE37" s="612">
        <f t="shared" si="158"/>
        <v>782719466</v>
      </c>
      <c r="AF37" s="612">
        <f t="shared" si="158"/>
        <v>782719466</v>
      </c>
      <c r="AG37" s="612">
        <f t="shared" si="158"/>
        <v>280310134</v>
      </c>
      <c r="AH37" s="612">
        <f t="shared" si="158"/>
        <v>280310134</v>
      </c>
      <c r="AI37" s="612">
        <f t="shared" si="158"/>
        <v>0</v>
      </c>
      <c r="AJ37" s="612">
        <f t="shared" si="158"/>
        <v>0</v>
      </c>
      <c r="AK37" s="612">
        <f t="shared" si="158"/>
        <v>0</v>
      </c>
      <c r="AL37" s="612">
        <f>+AL32+AL35</f>
        <v>0</v>
      </c>
      <c r="AM37" s="612">
        <f t="shared" si="158"/>
        <v>150666666.66666666</v>
      </c>
      <c r="AN37" s="612">
        <f t="shared" ref="AN37" si="159">+AN32+AN35</f>
        <v>150000000</v>
      </c>
      <c r="AO37" s="612">
        <f t="shared" si="158"/>
        <v>0</v>
      </c>
      <c r="AP37" s="612">
        <f t="shared" si="158"/>
        <v>0</v>
      </c>
      <c r="AQ37" s="612">
        <f t="shared" si="158"/>
        <v>156047866.66666701</v>
      </c>
      <c r="AR37" s="612">
        <f t="shared" si="158"/>
        <v>0</v>
      </c>
      <c r="AS37" s="612">
        <f t="shared" si="158"/>
        <v>263047866.66666701</v>
      </c>
      <c r="AT37" s="612">
        <f t="shared" si="158"/>
        <v>0</v>
      </c>
      <c r="AU37" s="612">
        <f t="shared" si="158"/>
        <v>5381200</v>
      </c>
      <c r="AV37" s="612">
        <f t="shared" ref="AV37:AX37" si="160">+AV32+AV35</f>
        <v>12393667</v>
      </c>
      <c r="AW37" s="612">
        <f t="shared" si="158"/>
        <v>5381200</v>
      </c>
      <c r="AX37" s="612">
        <f t="shared" si="160"/>
        <v>355319167</v>
      </c>
      <c r="AY37" s="612">
        <f t="shared" si="158"/>
        <v>5381200</v>
      </c>
      <c r="AZ37" s="612">
        <f t="shared" si="158"/>
        <v>67733833</v>
      </c>
      <c r="BA37" s="613">
        <f t="shared" ref="BA37:BE37" si="161">+BA32+BA35</f>
        <v>1718707434.0000005</v>
      </c>
      <c r="BB37" s="614">
        <f t="shared" si="161"/>
        <v>1718707434.0000007</v>
      </c>
      <c r="BC37" s="614">
        <f t="shared" si="161"/>
        <v>1718248101</v>
      </c>
      <c r="BD37" s="614">
        <f t="shared" si="161"/>
        <v>1718707434.0000007</v>
      </c>
      <c r="BE37" s="614">
        <f t="shared" si="161"/>
        <v>1718248101</v>
      </c>
      <c r="BF37" s="614">
        <f t="shared" ref="BF37:CJ37" si="162">+BF32+BF35</f>
        <v>2279351058</v>
      </c>
      <c r="BG37" s="614">
        <f t="shared" si="162"/>
        <v>1105348400</v>
      </c>
      <c r="BH37" s="614">
        <f t="shared" si="162"/>
        <v>1097940000</v>
      </c>
      <c r="BI37" s="614">
        <f t="shared" si="162"/>
        <v>38557535</v>
      </c>
      <c r="BJ37" s="614">
        <f t="shared" ref="BJ37" si="163">+BJ32+BJ35</f>
        <v>24006926</v>
      </c>
      <c r="BK37" s="614">
        <f t="shared" si="162"/>
        <v>172319000</v>
      </c>
      <c r="BL37" s="614">
        <f t="shared" si="162"/>
        <v>24600000</v>
      </c>
      <c r="BM37" s="614">
        <f t="shared" si="162"/>
        <v>616009000</v>
      </c>
      <c r="BN37" s="614">
        <f t="shared" si="162"/>
        <v>0</v>
      </c>
      <c r="BO37" s="614">
        <f t="shared" si="162"/>
        <v>96000000</v>
      </c>
      <c r="BP37" s="614">
        <f t="shared" si="162"/>
        <v>0</v>
      </c>
      <c r="BQ37" s="614">
        <f t="shared" si="162"/>
        <v>76000000</v>
      </c>
      <c r="BR37" s="614">
        <f t="shared" si="162"/>
        <v>0</v>
      </c>
      <c r="BS37" s="614">
        <f t="shared" si="162"/>
        <v>36000000</v>
      </c>
      <c r="BT37" s="614">
        <f t="shared" si="162"/>
        <v>0</v>
      </c>
      <c r="BU37" s="614">
        <f t="shared" si="162"/>
        <v>36000000</v>
      </c>
      <c r="BV37" s="614">
        <f t="shared" si="162"/>
        <v>0</v>
      </c>
      <c r="BW37" s="614">
        <f t="shared" si="162"/>
        <v>36000000</v>
      </c>
      <c r="BX37" s="614">
        <f t="shared" si="162"/>
        <v>0</v>
      </c>
      <c r="BY37" s="614">
        <f t="shared" si="162"/>
        <v>36000000</v>
      </c>
      <c r="BZ37" s="614">
        <f t="shared" si="162"/>
        <v>0</v>
      </c>
      <c r="CA37" s="614">
        <f t="shared" si="162"/>
        <v>31117123</v>
      </c>
      <c r="CB37" s="614">
        <f t="shared" si="162"/>
        <v>0</v>
      </c>
      <c r="CC37" s="614">
        <f t="shared" si="162"/>
        <v>0</v>
      </c>
      <c r="CD37" s="614">
        <f t="shared" si="162"/>
        <v>0</v>
      </c>
      <c r="CE37" s="614">
        <f t="shared" si="162"/>
        <v>2279351058</v>
      </c>
      <c r="CF37" s="614">
        <f t="shared" si="162"/>
        <v>1316224935</v>
      </c>
      <c r="CG37" s="614">
        <f t="shared" si="162"/>
        <v>1146546926</v>
      </c>
      <c r="CH37" s="614">
        <f t="shared" si="162"/>
        <v>2279351058</v>
      </c>
      <c r="CI37" s="614">
        <f t="shared" si="162"/>
        <v>1146546926</v>
      </c>
      <c r="CJ37" s="614">
        <f t="shared" si="162"/>
        <v>1710164000</v>
      </c>
      <c r="CK37" s="612"/>
      <c r="CL37" s="612"/>
      <c r="CM37" s="612"/>
      <c r="CN37" s="612"/>
      <c r="CO37" s="612"/>
      <c r="CP37" s="612"/>
      <c r="CQ37" s="612"/>
      <c r="CR37" s="612"/>
      <c r="CS37" s="612"/>
      <c r="CT37" s="612"/>
      <c r="CU37" s="612"/>
      <c r="CV37" s="612"/>
      <c r="CW37" s="612"/>
      <c r="CX37" s="612"/>
      <c r="CY37" s="612"/>
      <c r="CZ37" s="612"/>
      <c r="DA37" s="612"/>
      <c r="DB37" s="612"/>
      <c r="DC37" s="612"/>
      <c r="DD37" s="612"/>
      <c r="DE37" s="612"/>
      <c r="DF37" s="612"/>
      <c r="DG37" s="612"/>
      <c r="DH37" s="612"/>
      <c r="DI37" s="613">
        <v>0</v>
      </c>
      <c r="DJ37" s="614">
        <v>0</v>
      </c>
      <c r="DK37" s="614">
        <v>0</v>
      </c>
      <c r="DL37" s="613">
        <v>0</v>
      </c>
      <c r="DM37" s="614">
        <v>0</v>
      </c>
      <c r="DN37" s="614">
        <f>+DN32+DN35</f>
        <v>995361000</v>
      </c>
      <c r="DO37" s="641"/>
      <c r="DP37" s="641"/>
      <c r="DQ37" s="641"/>
      <c r="DR37" s="641"/>
      <c r="DS37" s="641"/>
      <c r="DT37" s="641"/>
      <c r="DU37" s="641"/>
      <c r="DV37" s="641"/>
      <c r="DW37" s="641"/>
      <c r="DX37" s="641"/>
      <c r="DY37" s="641"/>
      <c r="DZ37" s="641"/>
      <c r="EA37" s="641"/>
      <c r="EB37" s="641"/>
      <c r="EC37" s="641"/>
      <c r="ED37" s="641"/>
      <c r="EE37" s="641"/>
      <c r="EF37" s="641"/>
      <c r="EG37" s="641"/>
      <c r="EH37" s="641"/>
      <c r="EI37" s="641"/>
      <c r="EJ37" s="641"/>
      <c r="EK37" s="641"/>
      <c r="EL37" s="641"/>
      <c r="EM37" s="642">
        <f t="shared" ref="EM37" si="164">EK37+EI37+EG37+EE37+EC37+EA37+DY37+DW37+DU37+DS37+DQ37+DO37</f>
        <v>0</v>
      </c>
      <c r="EN37" s="643">
        <f t="shared" ref="EN37" si="165">+EN32+EN35</f>
        <v>0</v>
      </c>
      <c r="EO37" s="644">
        <f t="shared" ref="EO37" si="166">EO32+EO35</f>
        <v>0</v>
      </c>
      <c r="EP37" s="643">
        <f t="shared" ref="EP37:EQ37" si="167">+EP32+EP35</f>
        <v>0</v>
      </c>
      <c r="EQ37" s="643">
        <f t="shared" si="167"/>
        <v>0</v>
      </c>
      <c r="ER37" s="619">
        <f t="shared" si="10"/>
        <v>0.14275848861704166</v>
      </c>
      <c r="ES37" s="619">
        <f t="shared" si="11"/>
        <v>0.87108737686997251</v>
      </c>
      <c r="ET37" s="620">
        <f t="shared" si="12"/>
        <v>0.50301462864874757</v>
      </c>
      <c r="EU37" s="620">
        <f t="shared" si="13"/>
        <v>0.71518440599075384</v>
      </c>
      <c r="EV37" s="621">
        <f t="shared" si="14"/>
        <v>0.46977888466456835</v>
      </c>
      <c r="EW37" s="591"/>
      <c r="EX37" s="543"/>
      <c r="EY37" s="543"/>
      <c r="EZ37" s="361"/>
      <c r="FA37" s="545"/>
      <c r="FB37" s="360"/>
    </row>
    <row r="38" spans="1:158" s="4" customFormat="1" ht="24.75" customHeight="1" x14ac:dyDescent="0.25">
      <c r="A38" s="361" t="s">
        <v>307</v>
      </c>
      <c r="B38" s="361">
        <v>5</v>
      </c>
      <c r="C38" s="361" t="s">
        <v>312</v>
      </c>
      <c r="D38" s="361" t="s">
        <v>315</v>
      </c>
      <c r="E38" s="361">
        <v>270</v>
      </c>
      <c r="F38" s="281" t="s">
        <v>40</v>
      </c>
      <c r="G38" s="565">
        <v>1</v>
      </c>
      <c r="H38" s="565">
        <v>1</v>
      </c>
      <c r="I38" s="565" t="s">
        <v>316</v>
      </c>
      <c r="J38" s="565" t="s">
        <v>316</v>
      </c>
      <c r="K38" s="565" t="s">
        <v>316</v>
      </c>
      <c r="L38" s="565" t="s">
        <v>316</v>
      </c>
      <c r="M38" s="565" t="s">
        <v>316</v>
      </c>
      <c r="N38" s="565" t="s">
        <v>316</v>
      </c>
      <c r="O38" s="565" t="s">
        <v>316</v>
      </c>
      <c r="P38" s="565" t="s">
        <v>316</v>
      </c>
      <c r="Q38" s="565" t="s">
        <v>316</v>
      </c>
      <c r="R38" s="565" t="s">
        <v>316</v>
      </c>
      <c r="S38" s="565" t="s">
        <v>316</v>
      </c>
      <c r="T38" s="565" t="s">
        <v>316</v>
      </c>
      <c r="U38" s="565" t="s">
        <v>316</v>
      </c>
      <c r="V38" s="565" t="s">
        <v>316</v>
      </c>
      <c r="W38" s="565" t="s">
        <v>316</v>
      </c>
      <c r="X38" s="565" t="s">
        <v>316</v>
      </c>
      <c r="Y38" s="565" t="s">
        <v>316</v>
      </c>
      <c r="Z38" s="565">
        <v>1</v>
      </c>
      <c r="AA38" s="565">
        <v>1</v>
      </c>
      <c r="AB38" s="565">
        <v>1</v>
      </c>
      <c r="AC38" s="565">
        <v>1</v>
      </c>
      <c r="AD38" s="565">
        <v>1</v>
      </c>
      <c r="AE38" s="565">
        <v>1</v>
      </c>
      <c r="AF38" s="565">
        <v>1</v>
      </c>
      <c r="AG38" s="565">
        <v>1</v>
      </c>
      <c r="AH38" s="565">
        <v>1</v>
      </c>
      <c r="AI38" s="565">
        <v>1</v>
      </c>
      <c r="AJ38" s="565">
        <v>1</v>
      </c>
      <c r="AK38" s="565">
        <v>1</v>
      </c>
      <c r="AL38" s="565">
        <v>1</v>
      </c>
      <c r="AM38" s="565">
        <v>1</v>
      </c>
      <c r="AN38" s="565">
        <v>1</v>
      </c>
      <c r="AO38" s="565">
        <v>1</v>
      </c>
      <c r="AP38" s="565">
        <v>1</v>
      </c>
      <c r="AQ38" s="565">
        <v>1</v>
      </c>
      <c r="AR38" s="565">
        <v>1</v>
      </c>
      <c r="AS38" s="565">
        <v>1</v>
      </c>
      <c r="AT38" s="565">
        <v>1</v>
      </c>
      <c r="AU38" s="565">
        <v>1</v>
      </c>
      <c r="AV38" s="565">
        <v>1</v>
      </c>
      <c r="AW38" s="565">
        <v>1</v>
      </c>
      <c r="AX38" s="565">
        <v>1</v>
      </c>
      <c r="AY38" s="565">
        <v>1</v>
      </c>
      <c r="AZ38" s="565">
        <v>1</v>
      </c>
      <c r="BA38" s="565">
        <f>+AB38</f>
        <v>1</v>
      </c>
      <c r="BB38" s="565">
        <f>+AY38</f>
        <v>1</v>
      </c>
      <c r="BC38" s="565">
        <f>+AZ38</f>
        <v>1</v>
      </c>
      <c r="BD38" s="565">
        <f>+G38</f>
        <v>1</v>
      </c>
      <c r="BE38" s="565">
        <f>+AZ38</f>
        <v>1</v>
      </c>
      <c r="BF38" s="565">
        <v>1</v>
      </c>
      <c r="BG38" s="565">
        <v>1</v>
      </c>
      <c r="BH38" s="565">
        <v>1</v>
      </c>
      <c r="BI38" s="565">
        <v>1</v>
      </c>
      <c r="BJ38" s="565">
        <v>1</v>
      </c>
      <c r="BK38" s="565">
        <v>1</v>
      </c>
      <c r="BL38" s="565">
        <v>1</v>
      </c>
      <c r="BM38" s="565">
        <v>1</v>
      </c>
      <c r="BN38" s="566"/>
      <c r="BO38" s="565">
        <v>1</v>
      </c>
      <c r="BP38" s="566"/>
      <c r="BQ38" s="565">
        <v>1</v>
      </c>
      <c r="BR38" s="566"/>
      <c r="BS38" s="565">
        <v>1</v>
      </c>
      <c r="BT38" s="566"/>
      <c r="BU38" s="565">
        <v>1</v>
      </c>
      <c r="BV38" s="566"/>
      <c r="BW38" s="565">
        <v>1</v>
      </c>
      <c r="BX38" s="566"/>
      <c r="BY38" s="565">
        <v>1</v>
      </c>
      <c r="BZ38" s="566"/>
      <c r="CA38" s="565">
        <v>1</v>
      </c>
      <c r="CB38" s="566"/>
      <c r="CC38" s="565">
        <v>1</v>
      </c>
      <c r="CD38" s="566"/>
      <c r="CE38" s="565">
        <f>+BF38</f>
        <v>1</v>
      </c>
      <c r="CF38" s="565">
        <f>+BK38</f>
        <v>1</v>
      </c>
      <c r="CG38" s="565">
        <f>+BL38</f>
        <v>1</v>
      </c>
      <c r="CH38" s="565">
        <f>+BK38</f>
        <v>1</v>
      </c>
      <c r="CI38" s="565">
        <f>+BL38</f>
        <v>1</v>
      </c>
      <c r="CJ38" s="565">
        <v>1</v>
      </c>
      <c r="CK38" s="565"/>
      <c r="CL38" s="565"/>
      <c r="CM38" s="565"/>
      <c r="CN38" s="565"/>
      <c r="CO38" s="565"/>
      <c r="CP38" s="565"/>
      <c r="CQ38" s="565"/>
      <c r="CR38" s="565"/>
      <c r="CS38" s="565"/>
      <c r="CT38" s="565"/>
      <c r="CU38" s="565"/>
      <c r="CV38" s="565"/>
      <c r="CW38" s="565"/>
      <c r="CX38" s="565"/>
      <c r="CY38" s="565"/>
      <c r="CZ38" s="565"/>
      <c r="DA38" s="565"/>
      <c r="DB38" s="565"/>
      <c r="DC38" s="565"/>
      <c r="DD38" s="565"/>
      <c r="DE38" s="565"/>
      <c r="DF38" s="565"/>
      <c r="DG38" s="565"/>
      <c r="DH38" s="565"/>
      <c r="DI38" s="565">
        <f t="shared" ref="DI38:DI39" si="168">DG38+DE38+DC38+DA38+CY38+CW38+CU38+CS38+CQ38+CO38+CM38+CK38</f>
        <v>0</v>
      </c>
      <c r="DJ38" s="565">
        <f t="shared" ref="DJ38:DJ39" si="169">CK38+CM38+CO38+CQ38</f>
        <v>0</v>
      </c>
      <c r="DK38" s="565">
        <f t="shared" ref="DK38:DK39" si="170">CL38+CN38+CP38+CR38</f>
        <v>0</v>
      </c>
      <c r="DL38" s="565">
        <f t="shared" ref="DL38:DL39" si="171">CM38+CO38+CQ38+CS38+CU38+CW38+CY38+DA38+DC38+DE38+DG38+CK38</f>
        <v>0</v>
      </c>
      <c r="DM38" s="565">
        <f t="shared" ref="DM38:DM39" si="172">CL38+CN38+CP38+CR38</f>
        <v>0</v>
      </c>
      <c r="DN38" s="565">
        <v>1</v>
      </c>
      <c r="DO38" s="645"/>
      <c r="DP38" s="645"/>
      <c r="DQ38" s="645"/>
      <c r="DR38" s="645"/>
      <c r="DS38" s="645"/>
      <c r="DT38" s="645"/>
      <c r="DU38" s="645"/>
      <c r="DV38" s="645"/>
      <c r="DW38" s="645"/>
      <c r="DX38" s="645"/>
      <c r="DY38" s="645"/>
      <c r="DZ38" s="645"/>
      <c r="EA38" s="645"/>
      <c r="EB38" s="645"/>
      <c r="EC38" s="645"/>
      <c r="ED38" s="645"/>
      <c r="EE38" s="645"/>
      <c r="EF38" s="645"/>
      <c r="EG38" s="645"/>
      <c r="EH38" s="645"/>
      <c r="EI38" s="645"/>
      <c r="EJ38" s="645"/>
      <c r="EK38" s="645"/>
      <c r="EL38" s="645"/>
      <c r="EM38" s="646">
        <f>EK38+EI38+EG38+EE38+EA38+DY38+DW38+DU38+DS38+DQ38+DO38</f>
        <v>0</v>
      </c>
      <c r="EN38" s="646">
        <f>DO38+DQ38+DS38+DU38</f>
        <v>0</v>
      </c>
      <c r="EO38" s="646">
        <f>DP38+DR38+DT38+DV38</f>
        <v>0</v>
      </c>
      <c r="EP38" s="646">
        <f>EM38+CO38</f>
        <v>0</v>
      </c>
      <c r="EQ38" s="647">
        <f>EO38+CO38</f>
        <v>0</v>
      </c>
      <c r="ER38" s="609">
        <f t="shared" si="10"/>
        <v>1</v>
      </c>
      <c r="ES38" s="609">
        <f t="shared" si="11"/>
        <v>1</v>
      </c>
      <c r="ET38" s="610">
        <f t="shared" si="12"/>
        <v>1</v>
      </c>
      <c r="EU38" s="610">
        <f t="shared" si="13"/>
        <v>1</v>
      </c>
      <c r="EV38" s="610">
        <f>+(AA38+BE38+CI38)/500%</f>
        <v>0.6</v>
      </c>
      <c r="EW38" s="546" t="s">
        <v>687</v>
      </c>
      <c r="EX38" s="543" t="s">
        <v>329</v>
      </c>
      <c r="EY38" s="543" t="s">
        <v>329</v>
      </c>
      <c r="EZ38" s="543" t="s">
        <v>342</v>
      </c>
      <c r="FA38" s="547" t="s">
        <v>589</v>
      </c>
      <c r="FB38" s="360"/>
    </row>
    <row r="39" spans="1:158" s="58" customFormat="1" ht="24.75" customHeight="1" x14ac:dyDescent="0.25">
      <c r="A39" s="361"/>
      <c r="B39" s="361"/>
      <c r="C39" s="361"/>
      <c r="D39" s="361"/>
      <c r="E39" s="361"/>
      <c r="F39" s="282" t="s">
        <v>3</v>
      </c>
      <c r="G39" s="125">
        <f>+AA39+BE39+CH39+CJ39+DN39</f>
        <v>3386922144</v>
      </c>
      <c r="H39" s="124">
        <v>403410000</v>
      </c>
      <c r="I39" s="125"/>
      <c r="J39" s="125"/>
      <c r="K39" s="125"/>
      <c r="L39" s="125"/>
      <c r="M39" s="125"/>
      <c r="N39" s="125"/>
      <c r="O39" s="125"/>
      <c r="P39" s="125"/>
      <c r="Q39" s="125"/>
      <c r="R39" s="125"/>
      <c r="S39" s="125"/>
      <c r="T39" s="124"/>
      <c r="U39" s="139"/>
      <c r="V39" s="139"/>
      <c r="W39" s="124">
        <v>403410000</v>
      </c>
      <c r="X39" s="124">
        <v>403410000</v>
      </c>
      <c r="Y39" s="124">
        <v>232617000</v>
      </c>
      <c r="Z39" s="124">
        <v>263410000</v>
      </c>
      <c r="AA39" s="124">
        <v>232617000</v>
      </c>
      <c r="AB39" s="124">
        <v>689070000</v>
      </c>
      <c r="AC39" s="125">
        <v>0</v>
      </c>
      <c r="AD39" s="125">
        <v>0</v>
      </c>
      <c r="AE39" s="125">
        <v>34584000</v>
      </c>
      <c r="AF39" s="125">
        <f>34584000-AD39</f>
        <v>34584000</v>
      </c>
      <c r="AG39" s="125">
        <v>308422000</v>
      </c>
      <c r="AH39" s="125">
        <f>343006000-AF39-AD39</f>
        <v>308422000</v>
      </c>
      <c r="AI39" s="125">
        <v>1738634</v>
      </c>
      <c r="AJ39" s="125">
        <f>344744634-AH39-AF39-AD39</f>
        <v>1738634</v>
      </c>
      <c r="AK39" s="125">
        <v>14241944</v>
      </c>
      <c r="AL39" s="125">
        <f>358986578-AJ39-AH39-AF39-AD39-5000000</f>
        <v>9241944</v>
      </c>
      <c r="AM39" s="125">
        <v>0</v>
      </c>
      <c r="AN39" s="125">
        <v>101779714</v>
      </c>
      <c r="AO39" s="125">
        <v>0</v>
      </c>
      <c r="AP39" s="125">
        <v>0</v>
      </c>
      <c r="AQ39" s="125">
        <f>41419807.3333333+46164800</f>
        <v>87584607.333333299</v>
      </c>
      <c r="AR39" s="125">
        <v>36764000</v>
      </c>
      <c r="AS39" s="125">
        <f>41419807.3333333+46164800+35320000</f>
        <v>122904607.3333333</v>
      </c>
      <c r="AT39" s="125">
        <v>0</v>
      </c>
      <c r="AU39" s="125">
        <f>41419807.3333333+46164800</f>
        <v>87584607.333333299</v>
      </c>
      <c r="AV39" s="125">
        <v>11769667</v>
      </c>
      <c r="AW39" s="125">
        <v>46164800</v>
      </c>
      <c r="AX39" s="125">
        <v>19321500</v>
      </c>
      <c r="AY39" s="125">
        <v>46164800</v>
      </c>
      <c r="AZ39" s="125">
        <v>180225685</v>
      </c>
      <c r="BA39" s="125">
        <f>AY39+AW39+AU39+AS39+AQ39+AO39+AM39+AK39+AI39+AG39+AE39+AC39</f>
        <v>749390000</v>
      </c>
      <c r="BB39" s="125">
        <f>AC39+AE39+AG39+AI39+AK39+AM39+AO39+AQ39+AS39+AU39+AW39+AY39</f>
        <v>749389999.99999988</v>
      </c>
      <c r="BC39" s="125">
        <f>AD39+AF39+AH39+AJ39+AL39+AN39+AP39+AR39+AT39+AV39+AX39+AZ39</f>
        <v>703847144</v>
      </c>
      <c r="BD39" s="125">
        <f>AE39+AG39+AI39+AK39+AM39+AO39+AQ39+AS39+AU39+AW39+AY39+AC39</f>
        <v>749389999.99999988</v>
      </c>
      <c r="BE39" s="125">
        <f>AD39+AF39+AH39+AJ39+AL39+AN39+AP39+AR39+AT39+AV39+AX39+AZ39</f>
        <v>703847144</v>
      </c>
      <c r="BF39" s="125">
        <v>843232000</v>
      </c>
      <c r="BG39" s="125">
        <v>462232000</v>
      </c>
      <c r="BH39" s="125">
        <v>455184000</v>
      </c>
      <c r="BI39" s="125">
        <v>0</v>
      </c>
      <c r="BJ39" s="125">
        <v>0</v>
      </c>
      <c r="BK39" s="125">
        <v>381000000</v>
      </c>
      <c r="BL39" s="125">
        <v>0</v>
      </c>
      <c r="BM39" s="125">
        <v>0</v>
      </c>
      <c r="BN39" s="125"/>
      <c r="BO39" s="125">
        <v>0</v>
      </c>
      <c r="BP39" s="125"/>
      <c r="BQ39" s="125">
        <v>0</v>
      </c>
      <c r="BR39" s="125"/>
      <c r="BS39" s="125">
        <v>0</v>
      </c>
      <c r="BT39" s="125"/>
      <c r="BU39" s="125">
        <v>0</v>
      </c>
      <c r="BV39" s="125"/>
      <c r="BW39" s="125">
        <v>0</v>
      </c>
      <c r="BX39" s="125"/>
      <c r="BY39" s="125">
        <v>0</v>
      </c>
      <c r="BZ39" s="125"/>
      <c r="CA39" s="125">
        <v>0</v>
      </c>
      <c r="CB39" s="125"/>
      <c r="CC39" s="125">
        <v>0</v>
      </c>
      <c r="CD39" s="125"/>
      <c r="CE39" s="125">
        <f>CC39+CA39+BY39+BW39+BU39+BS39+BQ39+BO39+BM39+BK39+BI39+BG39</f>
        <v>843232000</v>
      </c>
      <c r="CF39" s="125">
        <f>+BG39+BI39+BK39</f>
        <v>843232000</v>
      </c>
      <c r="CG39" s="125">
        <f>+BH39+BJ39+BL39</f>
        <v>455184000</v>
      </c>
      <c r="CH39" s="124">
        <f>CC39+CA39+BY39+BW39+BU39+BS39+BQ39+BO39+BM39+BK39+BI39+BG39</f>
        <v>843232000</v>
      </c>
      <c r="CI39" s="139">
        <f>+BH39+BJ39+BL39</f>
        <v>455184000</v>
      </c>
      <c r="CJ39" s="125">
        <v>758837000</v>
      </c>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4">
        <f t="shared" si="168"/>
        <v>0</v>
      </c>
      <c r="DJ39" s="137">
        <f t="shared" si="169"/>
        <v>0</v>
      </c>
      <c r="DK39" s="137">
        <f t="shared" si="170"/>
        <v>0</v>
      </c>
      <c r="DL39" s="124">
        <f t="shared" si="171"/>
        <v>0</v>
      </c>
      <c r="DM39" s="137">
        <f t="shared" si="172"/>
        <v>0</v>
      </c>
      <c r="DN39" s="125">
        <v>848389000</v>
      </c>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110">
        <f>EK39+EI39+EG39+EE39+EC39+EA39+DY39+DW39+DU39+DS39+DQ39+DO39</f>
        <v>0</v>
      </c>
      <c r="EN39" s="94">
        <f>DO39+DQ39+DS39+DU39</f>
        <v>0</v>
      </c>
      <c r="EO39" s="94">
        <f>DP39+DR39+DT39+DV39</f>
        <v>0</v>
      </c>
      <c r="EP39" s="94">
        <f>DO39+DQ39+DS39+DU39+DW39+DY39+EA39+EC39+EE39+EI39+EK39</f>
        <v>0</v>
      </c>
      <c r="EQ39" s="98">
        <f>DP39+DR39+DT39+DV39</f>
        <v>0</v>
      </c>
      <c r="ER39" s="144">
        <f t="shared" si="10"/>
        <v>0</v>
      </c>
      <c r="ES39" s="144">
        <f t="shared" si="11"/>
        <v>0.53980873591135059</v>
      </c>
      <c r="ET39" s="145">
        <f t="shared" si="12"/>
        <v>0.53980873591135059</v>
      </c>
      <c r="EU39" s="145">
        <f t="shared" si="13"/>
        <v>0.74979749487077807</v>
      </c>
      <c r="EV39" s="145">
        <f t="shared" si="14"/>
        <v>0.41088873166610351</v>
      </c>
      <c r="EW39" s="548"/>
      <c r="EX39" s="543" t="s">
        <v>329</v>
      </c>
      <c r="EY39" s="543" t="s">
        <v>329</v>
      </c>
      <c r="EZ39" s="543"/>
      <c r="FA39" s="547"/>
      <c r="FB39" s="360"/>
    </row>
    <row r="40" spans="1:158" s="58" customFormat="1" ht="24.75" customHeight="1" x14ac:dyDescent="0.25">
      <c r="A40" s="361"/>
      <c r="B40" s="361"/>
      <c r="C40" s="361"/>
      <c r="D40" s="361"/>
      <c r="E40" s="361"/>
      <c r="F40" s="283" t="s">
        <v>216</v>
      </c>
      <c r="G40" s="125"/>
      <c r="H40" s="124"/>
      <c r="I40" s="125"/>
      <c r="J40" s="125"/>
      <c r="K40" s="125"/>
      <c r="L40" s="125"/>
      <c r="M40" s="125"/>
      <c r="N40" s="125"/>
      <c r="O40" s="125"/>
      <c r="P40" s="125"/>
      <c r="Q40" s="125"/>
      <c r="R40" s="125"/>
      <c r="S40" s="125"/>
      <c r="T40" s="124"/>
      <c r="U40" s="139"/>
      <c r="V40" s="139"/>
      <c r="W40" s="124"/>
      <c r="X40" s="124"/>
      <c r="Y40" s="124"/>
      <c r="Z40" s="124"/>
      <c r="AA40" s="125"/>
      <c r="AB40" s="124"/>
      <c r="AC40" s="125">
        <v>0</v>
      </c>
      <c r="AD40" s="125">
        <v>0</v>
      </c>
      <c r="AE40" s="125">
        <v>0</v>
      </c>
      <c r="AF40" s="125">
        <v>0</v>
      </c>
      <c r="AG40" s="125">
        <v>0</v>
      </c>
      <c r="AH40" s="125">
        <v>0</v>
      </c>
      <c r="AI40" s="125">
        <v>29463567</v>
      </c>
      <c r="AJ40" s="125">
        <f>29463567-AH40</f>
        <v>29463567</v>
      </c>
      <c r="AK40" s="125">
        <v>42312234</v>
      </c>
      <c r="AL40" s="125">
        <f>71775801-AJ40+5062267</f>
        <v>47374501</v>
      </c>
      <c r="AM40" s="125">
        <v>45547691</v>
      </c>
      <c r="AN40" s="125">
        <v>45547691</v>
      </c>
      <c r="AO40" s="125">
        <v>0</v>
      </c>
      <c r="AP40" s="125">
        <v>52764501</v>
      </c>
      <c r="AQ40" s="125">
        <v>0</v>
      </c>
      <c r="AR40" s="125">
        <v>39402600</v>
      </c>
      <c r="AS40" s="125">
        <v>0</v>
      </c>
      <c r="AT40" s="125">
        <v>39458167</v>
      </c>
      <c r="AU40" s="125">
        <v>0</v>
      </c>
      <c r="AV40" s="125">
        <v>41241000</v>
      </c>
      <c r="AW40" s="125">
        <v>0</v>
      </c>
      <c r="AX40" s="125">
        <v>44959667</v>
      </c>
      <c r="AY40" s="125">
        <v>0</v>
      </c>
      <c r="AZ40" s="125">
        <v>118193574.72981858</v>
      </c>
      <c r="BA40" s="125">
        <f>AY40+AW40+AU40+AS40+AQ40+AO40+AM40+AK40+AI40+AG40+AE40+AC40</f>
        <v>117323492</v>
      </c>
      <c r="BB40" s="125">
        <f>AC40+AE40+AG40+AI40+AK40+AM40+AO40+AQ40+AS40+AU40+AW40+AY40</f>
        <v>117323492</v>
      </c>
      <c r="BC40" s="125">
        <f>AD40+AF40+AH40+AJ40+AL40+AN40+AP40+AR40+AT40+AV40+AX40+AZ40</f>
        <v>458405268.72981858</v>
      </c>
      <c r="BD40" s="125">
        <f>AE40+AG40+AI40+AK40+AM40+AO40+AQ40+AS40+AU40+AW40+AY40+AC40</f>
        <v>117323492</v>
      </c>
      <c r="BE40" s="125">
        <f>AD40+AF40+AH40+AJ40+AL40+AN40+AP40+AR40+AT40+AV40+AX40+AZ40</f>
        <v>458405268.72981858</v>
      </c>
      <c r="BF40" s="125">
        <v>0</v>
      </c>
      <c r="BG40" s="125">
        <v>0</v>
      </c>
      <c r="BH40" s="125">
        <v>0</v>
      </c>
      <c r="BI40" s="125"/>
      <c r="BJ40" s="125">
        <v>2716334</v>
      </c>
      <c r="BK40" s="125"/>
      <c r="BL40" s="125">
        <v>49602419</v>
      </c>
      <c r="BM40" s="125"/>
      <c r="BN40" s="125"/>
      <c r="BO40" s="125"/>
      <c r="BP40" s="125"/>
      <c r="BQ40" s="125"/>
      <c r="BR40" s="125"/>
      <c r="BS40" s="125"/>
      <c r="BT40" s="125"/>
      <c r="BU40" s="125"/>
      <c r="BV40" s="125"/>
      <c r="BW40" s="125"/>
      <c r="BX40" s="125"/>
      <c r="BY40" s="125"/>
      <c r="BZ40" s="125"/>
      <c r="CA40" s="125"/>
      <c r="CB40" s="125"/>
      <c r="CC40" s="125"/>
      <c r="CD40" s="125"/>
      <c r="CE40" s="125">
        <f>CC40+CA40+BY40+BW40+BU40+BS40+BQ40+BO40+BM40+BK40+BI40+BG40</f>
        <v>0</v>
      </c>
      <c r="CF40" s="125">
        <f>+BG40+BI40+BK40</f>
        <v>0</v>
      </c>
      <c r="CG40" s="125">
        <f>+BH40+BJ40+BL40</f>
        <v>52318753</v>
      </c>
      <c r="CH40" s="124">
        <f>CC40+CA40+BY40+BW40+BU40+BS40+BQ40+BO40+BM40+BK40+BI40+BG40</f>
        <v>0</v>
      </c>
      <c r="CI40" s="139">
        <f>+BH40+BJ40+BL40</f>
        <v>52318753</v>
      </c>
      <c r="CJ40" s="125">
        <v>0</v>
      </c>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4"/>
      <c r="DJ40" s="137"/>
      <c r="DK40" s="137"/>
      <c r="DL40" s="124"/>
      <c r="DM40" s="137"/>
      <c r="DN40" s="125">
        <v>0</v>
      </c>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121">
        <f>EI40+EG40+EE40+EC40+EA40+DY40+DW40+DU40+DS40+DQ40+DO40+EK40</f>
        <v>0</v>
      </c>
      <c r="EN40" s="94">
        <f>+DO40+DQ40+DS40+DU40</f>
        <v>0</v>
      </c>
      <c r="EO40" s="94">
        <f>DP40+DR40+DT40+DV40</f>
        <v>0</v>
      </c>
      <c r="EP40" s="94">
        <f>DQ40+DS40+DU40+DW40+DY40+EA40+EC40+EE40+EG40+EI40+EK40</f>
        <v>0</v>
      </c>
      <c r="EQ40" s="98">
        <f>DP40+DR40+DT40+DV40</f>
        <v>0</v>
      </c>
      <c r="ER40" s="144" t="e">
        <f t="shared" si="10"/>
        <v>#DIV/0!</v>
      </c>
      <c r="ES40" s="144" t="e">
        <f t="shared" si="11"/>
        <v>#DIV/0!</v>
      </c>
      <c r="ET40" s="145" t="e">
        <f t="shared" si="12"/>
        <v>#DIV/0!</v>
      </c>
      <c r="EU40" s="145">
        <f t="shared" si="13"/>
        <v>4.3531266673329032</v>
      </c>
      <c r="EV40" s="145" t="e">
        <f t="shared" si="14"/>
        <v>#DIV/0!</v>
      </c>
      <c r="EW40" s="548"/>
      <c r="EX40" s="543" t="s">
        <v>329</v>
      </c>
      <c r="EY40" s="543" t="s">
        <v>329</v>
      </c>
      <c r="EZ40" s="543"/>
      <c r="FA40" s="547"/>
      <c r="FB40" s="360"/>
    </row>
    <row r="41" spans="1:158" s="4" customFormat="1" ht="24.75" customHeight="1" x14ac:dyDescent="0.25">
      <c r="A41" s="361"/>
      <c r="B41" s="361"/>
      <c r="C41" s="361"/>
      <c r="D41" s="361"/>
      <c r="E41" s="361"/>
      <c r="F41" s="281" t="s">
        <v>41</v>
      </c>
      <c r="G41" s="114">
        <v>0</v>
      </c>
      <c r="H41" s="123">
        <v>0</v>
      </c>
      <c r="I41" s="67">
        <v>0</v>
      </c>
      <c r="J41" s="67">
        <v>0</v>
      </c>
      <c r="K41" s="67">
        <v>0</v>
      </c>
      <c r="L41" s="67">
        <v>0</v>
      </c>
      <c r="M41" s="67">
        <v>0</v>
      </c>
      <c r="N41" s="324">
        <v>0</v>
      </c>
      <c r="O41" s="67">
        <v>0</v>
      </c>
      <c r="P41" s="324">
        <v>0</v>
      </c>
      <c r="Q41" s="67">
        <v>0</v>
      </c>
      <c r="R41" s="140">
        <v>0</v>
      </c>
      <c r="S41" s="67">
        <v>0</v>
      </c>
      <c r="T41" s="324">
        <v>0</v>
      </c>
      <c r="U41" s="67">
        <v>0</v>
      </c>
      <c r="V41" s="67">
        <v>0</v>
      </c>
      <c r="W41" s="114">
        <v>0</v>
      </c>
      <c r="X41" s="114">
        <v>0</v>
      </c>
      <c r="Y41" s="114">
        <v>0</v>
      </c>
      <c r="Z41" s="114">
        <v>0</v>
      </c>
      <c r="AA41" s="114">
        <v>0</v>
      </c>
      <c r="AB41" s="114">
        <v>0</v>
      </c>
      <c r="AC41" s="114">
        <v>0</v>
      </c>
      <c r="AD41" s="114">
        <v>0</v>
      </c>
      <c r="AE41" s="114">
        <v>0</v>
      </c>
      <c r="AF41" s="114">
        <v>0</v>
      </c>
      <c r="AG41" s="114">
        <v>0</v>
      </c>
      <c r="AH41" s="114">
        <v>0</v>
      </c>
      <c r="AI41" s="114">
        <v>0</v>
      </c>
      <c r="AJ41" s="114">
        <v>0</v>
      </c>
      <c r="AK41" s="114">
        <v>0</v>
      </c>
      <c r="AL41" s="114">
        <v>0</v>
      </c>
      <c r="AM41" s="114">
        <v>0</v>
      </c>
      <c r="AN41" s="114">
        <v>0</v>
      </c>
      <c r="AO41" s="114">
        <v>0</v>
      </c>
      <c r="AP41" s="324">
        <v>0</v>
      </c>
      <c r="AQ41" s="114">
        <v>0</v>
      </c>
      <c r="AR41" s="324">
        <v>0</v>
      </c>
      <c r="AS41" s="114">
        <v>0</v>
      </c>
      <c r="AT41" s="114">
        <v>0</v>
      </c>
      <c r="AU41" s="114">
        <v>0</v>
      </c>
      <c r="AV41" s="324">
        <v>0</v>
      </c>
      <c r="AW41" s="114">
        <v>0</v>
      </c>
      <c r="AX41" s="114">
        <v>0</v>
      </c>
      <c r="AY41" s="114">
        <v>0</v>
      </c>
      <c r="AZ41" s="123">
        <v>0</v>
      </c>
      <c r="BA41" s="114">
        <f>+AB41</f>
        <v>0</v>
      </c>
      <c r="BB41" s="114">
        <f>+AY41</f>
        <v>0</v>
      </c>
      <c r="BC41" s="114">
        <f>+AZ41</f>
        <v>0</v>
      </c>
      <c r="BD41" s="114">
        <f>+G41</f>
        <v>0</v>
      </c>
      <c r="BE41" s="114">
        <f>+AZ41</f>
        <v>0</v>
      </c>
      <c r="BF41" s="300">
        <v>0</v>
      </c>
      <c r="BG41" s="114">
        <v>0</v>
      </c>
      <c r="BH41" s="114">
        <v>0</v>
      </c>
      <c r="BI41" s="114">
        <v>0</v>
      </c>
      <c r="BJ41" s="114">
        <v>0</v>
      </c>
      <c r="BK41" s="114">
        <v>0</v>
      </c>
      <c r="BL41" s="114">
        <v>0</v>
      </c>
      <c r="BM41" s="114">
        <v>0</v>
      </c>
      <c r="BN41" s="67"/>
      <c r="BO41" s="114">
        <v>0</v>
      </c>
      <c r="BP41" s="67"/>
      <c r="BQ41" s="114">
        <v>0</v>
      </c>
      <c r="BR41" s="67"/>
      <c r="BS41" s="114">
        <v>0</v>
      </c>
      <c r="BT41" s="67"/>
      <c r="BU41" s="114">
        <v>0</v>
      </c>
      <c r="BV41" s="67"/>
      <c r="BW41" s="114">
        <v>0</v>
      </c>
      <c r="BX41" s="67"/>
      <c r="BY41" s="114">
        <v>0</v>
      </c>
      <c r="BZ41" s="67"/>
      <c r="CA41" s="114">
        <v>0</v>
      </c>
      <c r="CB41" s="67"/>
      <c r="CC41" s="114">
        <v>0</v>
      </c>
      <c r="CD41" s="67"/>
      <c r="CE41" s="114">
        <f>+BF41</f>
        <v>0</v>
      </c>
      <c r="CF41" s="114">
        <f>+BK41</f>
        <v>0</v>
      </c>
      <c r="CG41" s="114">
        <f>+BL41</f>
        <v>0</v>
      </c>
      <c r="CH41" s="114">
        <f>+BK41</f>
        <v>0</v>
      </c>
      <c r="CI41" s="588">
        <f>+BL41</f>
        <v>0</v>
      </c>
      <c r="CJ41" s="114">
        <v>0</v>
      </c>
      <c r="CK41" s="67">
        <v>0</v>
      </c>
      <c r="CL41" s="67">
        <v>0</v>
      </c>
      <c r="CM41" s="67">
        <v>0</v>
      </c>
      <c r="CN41" s="67">
        <v>0</v>
      </c>
      <c r="CO41" s="67">
        <v>0</v>
      </c>
      <c r="CP41" s="67">
        <v>0</v>
      </c>
      <c r="CQ41" s="67">
        <v>0</v>
      </c>
      <c r="CR41" s="67">
        <v>0</v>
      </c>
      <c r="CS41" s="67">
        <v>0</v>
      </c>
      <c r="CT41" s="67">
        <v>0</v>
      </c>
      <c r="CU41" s="67">
        <v>0</v>
      </c>
      <c r="CV41" s="67">
        <v>0</v>
      </c>
      <c r="CW41" s="67">
        <v>0</v>
      </c>
      <c r="CX41" s="67">
        <v>0</v>
      </c>
      <c r="CY41" s="67">
        <v>0</v>
      </c>
      <c r="CZ41" s="67">
        <v>0</v>
      </c>
      <c r="DA41" s="67">
        <v>0</v>
      </c>
      <c r="DB41" s="67">
        <v>0</v>
      </c>
      <c r="DC41" s="67">
        <v>0</v>
      </c>
      <c r="DD41" s="67">
        <v>0</v>
      </c>
      <c r="DE41" s="67">
        <v>0</v>
      </c>
      <c r="DF41" s="67">
        <v>0</v>
      </c>
      <c r="DG41" s="67">
        <v>0</v>
      </c>
      <c r="DH41" s="67">
        <v>0</v>
      </c>
      <c r="DI41" s="67">
        <v>0</v>
      </c>
      <c r="DJ41" s="67">
        <v>0</v>
      </c>
      <c r="DK41" s="67">
        <v>0</v>
      </c>
      <c r="DL41" s="112">
        <v>0</v>
      </c>
      <c r="DM41" s="67">
        <v>0</v>
      </c>
      <c r="DN41" s="114">
        <v>0</v>
      </c>
      <c r="DO41" s="59"/>
      <c r="DP41" s="59"/>
      <c r="DQ41" s="59"/>
      <c r="DR41" s="59"/>
      <c r="DS41" s="59"/>
      <c r="DT41" s="59"/>
      <c r="DU41" s="59"/>
      <c r="DV41" s="59"/>
      <c r="DW41" s="59"/>
      <c r="DX41" s="59"/>
      <c r="DY41" s="59"/>
      <c r="DZ41" s="59"/>
      <c r="EA41" s="59"/>
      <c r="EB41" s="59"/>
      <c r="EC41" s="59"/>
      <c r="ED41" s="59"/>
      <c r="EE41" s="59"/>
      <c r="EF41" s="59"/>
      <c r="EG41" s="32"/>
      <c r="EH41" s="59"/>
      <c r="EI41" s="32"/>
      <c r="EJ41" s="59"/>
      <c r="EK41" s="32"/>
      <c r="EL41" s="59"/>
      <c r="EM41" s="95"/>
      <c r="EN41" s="96">
        <f>DO41+DQ41+DS41+DU41</f>
        <v>0</v>
      </c>
      <c r="EO41" s="96">
        <f>DP41+DR41+DT41+DV41</f>
        <v>0</v>
      </c>
      <c r="EP41" s="96">
        <f>DQ41+DS41+DU41+DW41+DY41+EA41+EC41+EE41+EG41+EI41+EK41</f>
        <v>0</v>
      </c>
      <c r="EQ41" s="122">
        <v>0</v>
      </c>
      <c r="ER41" s="144" t="e">
        <f t="shared" si="10"/>
        <v>#DIV/0!</v>
      </c>
      <c r="ES41" s="144" t="e">
        <f t="shared" si="11"/>
        <v>#DIV/0!</v>
      </c>
      <c r="ET41" s="145" t="e">
        <f t="shared" si="12"/>
        <v>#DIV/0!</v>
      </c>
      <c r="EU41" s="145" t="e">
        <f t="shared" si="13"/>
        <v>#DIV/0!</v>
      </c>
      <c r="EV41" s="145" t="e">
        <f t="shared" si="14"/>
        <v>#DIV/0!</v>
      </c>
      <c r="EW41" s="548"/>
      <c r="EX41" s="543" t="s">
        <v>329</v>
      </c>
      <c r="EY41" s="543" t="s">
        <v>329</v>
      </c>
      <c r="EZ41" s="543"/>
      <c r="FA41" s="547"/>
      <c r="FB41" s="360"/>
    </row>
    <row r="42" spans="1:158" s="56" customFormat="1" ht="24.75" customHeight="1" x14ac:dyDescent="0.25">
      <c r="A42" s="361"/>
      <c r="B42" s="361"/>
      <c r="C42" s="361"/>
      <c r="D42" s="361"/>
      <c r="E42" s="361"/>
      <c r="F42" s="282" t="s">
        <v>4</v>
      </c>
      <c r="G42" s="125">
        <f>+AA42+BE42+CH42+CJ42+DN42</f>
        <v>252494776.83041936</v>
      </c>
      <c r="H42" s="124">
        <v>104209010</v>
      </c>
      <c r="I42" s="125">
        <v>0</v>
      </c>
      <c r="J42" s="125">
        <v>0</v>
      </c>
      <c r="K42" s="125">
        <v>0</v>
      </c>
      <c r="L42" s="125">
        <v>0</v>
      </c>
      <c r="M42" s="125">
        <v>0</v>
      </c>
      <c r="N42" s="125">
        <v>0</v>
      </c>
      <c r="O42" s="125">
        <v>0</v>
      </c>
      <c r="P42" s="125">
        <v>0</v>
      </c>
      <c r="Q42" s="125">
        <v>0</v>
      </c>
      <c r="R42" s="125">
        <v>0</v>
      </c>
      <c r="S42" s="125">
        <v>0</v>
      </c>
      <c r="T42" s="124">
        <v>0</v>
      </c>
      <c r="U42" s="139">
        <v>0</v>
      </c>
      <c r="V42" s="139">
        <v>0</v>
      </c>
      <c r="W42" s="124">
        <v>104209010</v>
      </c>
      <c r="X42" s="124">
        <v>104209010</v>
      </c>
      <c r="Y42" s="124">
        <v>0</v>
      </c>
      <c r="Z42" s="124">
        <v>104209010</v>
      </c>
      <c r="AA42" s="125">
        <v>0</v>
      </c>
      <c r="AB42" s="124">
        <v>88778010</v>
      </c>
      <c r="AC42" s="125">
        <v>15431000</v>
      </c>
      <c r="AD42" s="125">
        <v>15431000</v>
      </c>
      <c r="AE42" s="125">
        <v>26156334</v>
      </c>
      <c r="AF42" s="125">
        <f>41587334-AD42</f>
        <v>26156334</v>
      </c>
      <c r="AG42" s="125">
        <v>10660833</v>
      </c>
      <c r="AH42" s="125">
        <f>52248167-AF42-AD42</f>
        <v>10660833</v>
      </c>
      <c r="AI42" s="125">
        <v>15349934</v>
      </c>
      <c r="AJ42" s="125">
        <f>67598101-AH42-AF42-AD42</f>
        <v>15349934</v>
      </c>
      <c r="AK42" s="125">
        <v>1480833</v>
      </c>
      <c r="AL42" s="125">
        <f>69078934-AJ42-AH42-AF42-AD42</f>
        <v>1480833</v>
      </c>
      <c r="AM42" s="125">
        <v>2673933</v>
      </c>
      <c r="AN42" s="125">
        <v>4986645</v>
      </c>
      <c r="AO42" s="125">
        <v>0</v>
      </c>
      <c r="AP42" s="125">
        <v>0</v>
      </c>
      <c r="AQ42" s="125">
        <v>11094200</v>
      </c>
      <c r="AR42" s="125">
        <v>2650000</v>
      </c>
      <c r="AS42" s="125">
        <f>1195077</f>
        <v>1195077</v>
      </c>
      <c r="AT42" s="125">
        <v>0</v>
      </c>
      <c r="AU42" s="125">
        <v>-8431</v>
      </c>
      <c r="AV42" s="125">
        <v>0</v>
      </c>
      <c r="AW42" s="125">
        <v>0</v>
      </c>
      <c r="AX42" s="125">
        <v>2673933</v>
      </c>
      <c r="AY42" s="125">
        <v>0</v>
      </c>
      <c r="AZ42" s="125">
        <v>4255613.8304193616</v>
      </c>
      <c r="BA42" s="137">
        <f>AY42+AW42+AU42+AS42+AQ42+AO42+AM42+AK42+AI42+AG42+AE42+AC42</f>
        <v>84033713</v>
      </c>
      <c r="BB42" s="137">
        <f>AC42+AE42+AG42+AI42+AK42+AM42+AO42+AQ42+AS42+AU42+AW42+AY42</f>
        <v>84033713</v>
      </c>
      <c r="BC42" s="137">
        <f>AD42+AF42+AH42+AJ42+AL42+AN42+AP42+AR42+AT42+AV42+AX42+AZ42</f>
        <v>83645125.830419362</v>
      </c>
      <c r="BD42" s="137">
        <f>AE42+AG42+AI42+AK42+AM42+AO42+AQ42+AS42+AU42+AW42+AY42+AC42</f>
        <v>84033713</v>
      </c>
      <c r="BE42" s="137">
        <f>AD42+AF42+AH42+AJ42+AL42+AN42+AP42+AR42+AT42+AV42+AX42+AZ42</f>
        <v>83645125.830419362</v>
      </c>
      <c r="BF42" s="125">
        <v>168849651</v>
      </c>
      <c r="BG42" s="125">
        <v>6200833</v>
      </c>
      <c r="BH42" s="125"/>
      <c r="BI42" s="125">
        <f>8365466- 453333</f>
        <v>7912133</v>
      </c>
      <c r="BJ42" s="125">
        <v>14024632</v>
      </c>
      <c r="BK42" s="125">
        <v>154736685</v>
      </c>
      <c r="BL42" s="125">
        <v>0</v>
      </c>
      <c r="BM42" s="125"/>
      <c r="BN42" s="125"/>
      <c r="BO42" s="125"/>
      <c r="BP42" s="125"/>
      <c r="BQ42" s="125"/>
      <c r="BR42" s="125"/>
      <c r="BS42" s="125"/>
      <c r="BT42" s="125"/>
      <c r="BU42" s="125"/>
      <c r="BV42" s="125"/>
      <c r="BW42" s="125"/>
      <c r="BX42" s="125"/>
      <c r="BY42" s="125"/>
      <c r="BZ42" s="125"/>
      <c r="CA42" s="125"/>
      <c r="CB42" s="125"/>
      <c r="CC42" s="125"/>
      <c r="CD42" s="125"/>
      <c r="CE42" s="125">
        <f>CC42+CA42+BY42+BW42+BU42+BS42+BQ42+BO42+BM42+BK42+BI42+BG42</f>
        <v>168849651</v>
      </c>
      <c r="CF42" s="125">
        <f>+BG42+BI42+BK42</f>
        <v>168849651</v>
      </c>
      <c r="CG42" s="125">
        <f>+BH42+BJ42+BL42</f>
        <v>14024632</v>
      </c>
      <c r="CH42" s="124">
        <f>CC42+CA42+BY42+BW42+BU42+BS42+BQ42+BO42+BM42+BK42+BI42+BG42</f>
        <v>168849651</v>
      </c>
      <c r="CI42" s="139">
        <f>+BH42+BJ42+BL42</f>
        <v>14024632</v>
      </c>
      <c r="CJ42" s="125">
        <v>0</v>
      </c>
      <c r="CK42" s="125">
        <v>0</v>
      </c>
      <c r="CL42" s="125">
        <v>0</v>
      </c>
      <c r="CM42" s="125">
        <v>0</v>
      </c>
      <c r="CN42" s="125">
        <v>0</v>
      </c>
      <c r="CO42" s="125">
        <v>0</v>
      </c>
      <c r="CP42" s="125">
        <v>0</v>
      </c>
      <c r="CQ42" s="125">
        <v>0</v>
      </c>
      <c r="CR42" s="125">
        <v>0</v>
      </c>
      <c r="CS42" s="125">
        <v>0</v>
      </c>
      <c r="CT42" s="125">
        <v>0</v>
      </c>
      <c r="CU42" s="125">
        <v>0</v>
      </c>
      <c r="CV42" s="125">
        <v>0</v>
      </c>
      <c r="CW42" s="125">
        <v>0</v>
      </c>
      <c r="CX42" s="125">
        <v>0</v>
      </c>
      <c r="CY42" s="125">
        <v>0</v>
      </c>
      <c r="CZ42" s="125">
        <v>0</v>
      </c>
      <c r="DA42" s="125">
        <v>0</v>
      </c>
      <c r="DB42" s="125">
        <v>0</v>
      </c>
      <c r="DC42" s="125">
        <v>0</v>
      </c>
      <c r="DD42" s="125">
        <v>0</v>
      </c>
      <c r="DE42" s="125">
        <v>0</v>
      </c>
      <c r="DF42" s="125">
        <v>0</v>
      </c>
      <c r="DG42" s="125">
        <v>0</v>
      </c>
      <c r="DH42" s="125">
        <v>0</v>
      </c>
      <c r="DI42" s="124">
        <v>0</v>
      </c>
      <c r="DJ42" s="137">
        <v>0</v>
      </c>
      <c r="DK42" s="137">
        <v>0</v>
      </c>
      <c r="DL42" s="124">
        <v>0</v>
      </c>
      <c r="DM42" s="137">
        <v>0</v>
      </c>
      <c r="DN42" s="125">
        <v>0</v>
      </c>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108">
        <f>EI42+EG42+EE42+EC42+EA42+DY42+DW42+DU42+DS42+DQ42+DO42+EK42</f>
        <v>0</v>
      </c>
      <c r="EN42" s="94">
        <f>DO42+DQ42+DS42+DU42</f>
        <v>0</v>
      </c>
      <c r="EO42" s="97">
        <f>DP42+DR42+DT42+DV42</f>
        <v>0</v>
      </c>
      <c r="EP42" s="94">
        <f>DQ42+DS42+DU42+DW42+DY42+EA42+EC42+EE42+EG42+EI42+EK42+DO42</f>
        <v>0</v>
      </c>
      <c r="EQ42" s="98">
        <f>DP42+DR42+DT42+DV42</f>
        <v>0</v>
      </c>
      <c r="ER42" s="144">
        <f t="shared" si="10"/>
        <v>0</v>
      </c>
      <c r="ES42" s="144">
        <f t="shared" si="11"/>
        <v>8.3059881480003775E-2</v>
      </c>
      <c r="ET42" s="145">
        <f t="shared" si="12"/>
        <v>8.3059881480003775E-2</v>
      </c>
      <c r="EU42" s="145">
        <f t="shared" si="13"/>
        <v>0.27351398389263659</v>
      </c>
      <c r="EV42" s="145">
        <f t="shared" si="14"/>
        <v>0.38681892376734733</v>
      </c>
      <c r="EW42" s="548"/>
      <c r="EX42" s="543" t="s">
        <v>329</v>
      </c>
      <c r="EY42" s="543" t="s">
        <v>329</v>
      </c>
      <c r="EZ42" s="543"/>
      <c r="FA42" s="547"/>
      <c r="FB42" s="360"/>
    </row>
    <row r="43" spans="1:158" s="4" customFormat="1" ht="24.75" customHeight="1" thickBot="1" x14ac:dyDescent="0.3">
      <c r="A43" s="361"/>
      <c r="B43" s="361"/>
      <c r="C43" s="361"/>
      <c r="D43" s="361"/>
      <c r="E43" s="361"/>
      <c r="F43" s="281" t="s">
        <v>42</v>
      </c>
      <c r="G43" s="592">
        <f>+G38+G41</f>
        <v>1</v>
      </c>
      <c r="H43" s="592">
        <f>+H38+H41</f>
        <v>1</v>
      </c>
      <c r="I43" s="594"/>
      <c r="J43" s="594"/>
      <c r="K43" s="594"/>
      <c r="L43" s="594"/>
      <c r="M43" s="594"/>
      <c r="N43" s="595"/>
      <c r="O43" s="594"/>
      <c r="P43" s="595"/>
      <c r="Q43" s="594"/>
      <c r="R43" s="596"/>
      <c r="S43" s="594"/>
      <c r="T43" s="595"/>
      <c r="U43" s="594"/>
      <c r="V43" s="594"/>
      <c r="W43" s="592" t="e">
        <f t="shared" ref="W43:AM44" si="173">+W38+W41</f>
        <v>#VALUE!</v>
      </c>
      <c r="X43" s="592" t="e">
        <f t="shared" si="173"/>
        <v>#VALUE!</v>
      </c>
      <c r="Y43" s="592" t="e">
        <f t="shared" si="173"/>
        <v>#VALUE!</v>
      </c>
      <c r="Z43" s="592">
        <f t="shared" si="173"/>
        <v>1</v>
      </c>
      <c r="AA43" s="592">
        <f t="shared" si="173"/>
        <v>1</v>
      </c>
      <c r="AB43" s="592">
        <f t="shared" si="173"/>
        <v>1</v>
      </c>
      <c r="AC43" s="592">
        <f t="shared" ref="AC43:AK43" si="174">+AC38+AC41</f>
        <v>1</v>
      </c>
      <c r="AD43" s="592">
        <f t="shared" si="174"/>
        <v>1</v>
      </c>
      <c r="AE43" s="592">
        <f t="shared" si="174"/>
        <v>1</v>
      </c>
      <c r="AF43" s="592">
        <f t="shared" si="174"/>
        <v>1</v>
      </c>
      <c r="AG43" s="592">
        <f t="shared" si="174"/>
        <v>1</v>
      </c>
      <c r="AH43" s="592">
        <f t="shared" si="174"/>
        <v>1</v>
      </c>
      <c r="AI43" s="592">
        <f t="shared" si="174"/>
        <v>1</v>
      </c>
      <c r="AJ43" s="592">
        <f t="shared" si="174"/>
        <v>1</v>
      </c>
      <c r="AK43" s="592">
        <f t="shared" si="174"/>
        <v>1</v>
      </c>
      <c r="AL43" s="592">
        <f t="shared" si="173"/>
        <v>1</v>
      </c>
      <c r="AM43" s="592">
        <f>+AM38+AM41</f>
        <v>1</v>
      </c>
      <c r="AN43" s="592">
        <f t="shared" ref="AN43" si="175">+AN38+AN41</f>
        <v>1</v>
      </c>
      <c r="AO43" s="592">
        <f t="shared" ref="AO43:AP44" si="176">+AO38+AO41</f>
        <v>1</v>
      </c>
      <c r="AP43" s="592">
        <f t="shared" si="176"/>
        <v>1</v>
      </c>
      <c r="AQ43" s="592">
        <f t="shared" ref="AQ43:AR44" si="177">+AQ38+AQ41</f>
        <v>1</v>
      </c>
      <c r="AR43" s="592">
        <f t="shared" si="177"/>
        <v>1</v>
      </c>
      <c r="AS43" s="592">
        <f t="shared" ref="AS43:AT44" si="178">+AS38+AS41</f>
        <v>1</v>
      </c>
      <c r="AT43" s="592">
        <f>+AT38+AT41</f>
        <v>1</v>
      </c>
      <c r="AU43" s="592">
        <f t="shared" ref="AU43:AV44" si="179">+AU38+AU41</f>
        <v>1</v>
      </c>
      <c r="AV43" s="592">
        <f>+AV38+AV41</f>
        <v>1</v>
      </c>
      <c r="AW43" s="592">
        <f t="shared" ref="AW43:AX44" si="180">+AW38+AW41</f>
        <v>1</v>
      </c>
      <c r="AX43" s="592">
        <f>+AX38+AX41</f>
        <v>1</v>
      </c>
      <c r="AY43" s="592">
        <f>+AY38+AY41</f>
        <v>1</v>
      </c>
      <c r="AZ43" s="592">
        <f>+AZ38+AZ41</f>
        <v>1</v>
      </c>
      <c r="BA43" s="592">
        <f t="shared" ref="BA43:DL43" si="181">+BA38+BA41</f>
        <v>1</v>
      </c>
      <c r="BB43" s="592">
        <f t="shared" si="181"/>
        <v>1</v>
      </c>
      <c r="BC43" s="592">
        <f t="shared" si="181"/>
        <v>1</v>
      </c>
      <c r="BD43" s="592">
        <f t="shared" si="181"/>
        <v>1</v>
      </c>
      <c r="BE43" s="592">
        <f t="shared" si="181"/>
        <v>1</v>
      </c>
      <c r="BF43" s="592">
        <f t="shared" si="181"/>
        <v>1</v>
      </c>
      <c r="BG43" s="592">
        <f t="shared" si="181"/>
        <v>1</v>
      </c>
      <c r="BH43" s="592">
        <f t="shared" si="181"/>
        <v>1</v>
      </c>
      <c r="BI43" s="592">
        <f t="shared" ref="BI43:BM44" si="182">+BI38+BI41</f>
        <v>1</v>
      </c>
      <c r="BJ43" s="592">
        <f t="shared" ref="BJ43" si="183">+BJ38+BJ41</f>
        <v>1</v>
      </c>
      <c r="BK43" s="592">
        <f t="shared" si="182"/>
        <v>1</v>
      </c>
      <c r="BL43" s="592">
        <f t="shared" si="182"/>
        <v>1</v>
      </c>
      <c r="BM43" s="592">
        <f t="shared" si="182"/>
        <v>1</v>
      </c>
      <c r="BN43" s="592">
        <f t="shared" si="181"/>
        <v>0</v>
      </c>
      <c r="BO43" s="592">
        <f t="shared" si="181"/>
        <v>1</v>
      </c>
      <c r="BP43" s="592">
        <f t="shared" si="181"/>
        <v>0</v>
      </c>
      <c r="BQ43" s="592">
        <f t="shared" si="181"/>
        <v>1</v>
      </c>
      <c r="BR43" s="592">
        <f t="shared" si="181"/>
        <v>0</v>
      </c>
      <c r="BS43" s="592">
        <f t="shared" si="181"/>
        <v>1</v>
      </c>
      <c r="BT43" s="592">
        <f t="shared" si="181"/>
        <v>0</v>
      </c>
      <c r="BU43" s="592">
        <f t="shared" si="181"/>
        <v>1</v>
      </c>
      <c r="BV43" s="592">
        <f t="shared" si="181"/>
        <v>0</v>
      </c>
      <c r="BW43" s="592">
        <f t="shared" si="181"/>
        <v>1</v>
      </c>
      <c r="BX43" s="592">
        <f t="shared" si="181"/>
        <v>0</v>
      </c>
      <c r="BY43" s="592">
        <f t="shared" si="181"/>
        <v>1</v>
      </c>
      <c r="BZ43" s="592">
        <f t="shared" si="181"/>
        <v>0</v>
      </c>
      <c r="CA43" s="592">
        <f t="shared" si="181"/>
        <v>1</v>
      </c>
      <c r="CB43" s="592">
        <f t="shared" si="181"/>
        <v>0</v>
      </c>
      <c r="CC43" s="592">
        <f t="shared" si="181"/>
        <v>1</v>
      </c>
      <c r="CD43" s="592">
        <f t="shared" si="181"/>
        <v>0</v>
      </c>
      <c r="CE43" s="592">
        <f>+CE38+CE41</f>
        <v>1</v>
      </c>
      <c r="CF43" s="592">
        <f t="shared" ref="CF43:CI43" si="184">+CF38+CF41</f>
        <v>1</v>
      </c>
      <c r="CG43" s="592">
        <f t="shared" si="184"/>
        <v>1</v>
      </c>
      <c r="CH43" s="592">
        <f t="shared" si="184"/>
        <v>1</v>
      </c>
      <c r="CI43" s="592">
        <f t="shared" si="184"/>
        <v>1</v>
      </c>
      <c r="CJ43" s="592">
        <f t="shared" si="181"/>
        <v>1</v>
      </c>
      <c r="CK43" s="592">
        <f t="shared" si="181"/>
        <v>0</v>
      </c>
      <c r="CL43" s="592">
        <f t="shared" si="181"/>
        <v>0</v>
      </c>
      <c r="CM43" s="592">
        <f t="shared" si="181"/>
        <v>0</v>
      </c>
      <c r="CN43" s="592">
        <f t="shared" si="181"/>
        <v>0</v>
      </c>
      <c r="CO43" s="592">
        <f t="shared" si="181"/>
        <v>0</v>
      </c>
      <c r="CP43" s="592">
        <f t="shared" si="181"/>
        <v>0</v>
      </c>
      <c r="CQ43" s="592">
        <f t="shared" si="181"/>
        <v>0</v>
      </c>
      <c r="CR43" s="592">
        <f t="shared" si="181"/>
        <v>0</v>
      </c>
      <c r="CS43" s="592">
        <f t="shared" si="181"/>
        <v>0</v>
      </c>
      <c r="CT43" s="592">
        <f t="shared" si="181"/>
        <v>0</v>
      </c>
      <c r="CU43" s="592">
        <f t="shared" si="181"/>
        <v>0</v>
      </c>
      <c r="CV43" s="592">
        <f t="shared" si="181"/>
        <v>0</v>
      </c>
      <c r="CW43" s="592">
        <f t="shared" si="181"/>
        <v>0</v>
      </c>
      <c r="CX43" s="592">
        <f t="shared" si="181"/>
        <v>0</v>
      </c>
      <c r="CY43" s="592">
        <f t="shared" si="181"/>
        <v>0</v>
      </c>
      <c r="CZ43" s="592">
        <f t="shared" si="181"/>
        <v>0</v>
      </c>
      <c r="DA43" s="592">
        <f t="shared" si="181"/>
        <v>0</v>
      </c>
      <c r="DB43" s="592">
        <f t="shared" si="181"/>
        <v>0</v>
      </c>
      <c r="DC43" s="592">
        <f t="shared" si="181"/>
        <v>0</v>
      </c>
      <c r="DD43" s="592">
        <f t="shared" si="181"/>
        <v>0</v>
      </c>
      <c r="DE43" s="592">
        <f t="shared" si="181"/>
        <v>0</v>
      </c>
      <c r="DF43" s="592">
        <f t="shared" si="181"/>
        <v>0</v>
      </c>
      <c r="DG43" s="592">
        <f t="shared" si="181"/>
        <v>0</v>
      </c>
      <c r="DH43" s="592">
        <f t="shared" si="181"/>
        <v>0</v>
      </c>
      <c r="DI43" s="592">
        <f t="shared" si="181"/>
        <v>0</v>
      </c>
      <c r="DJ43" s="592">
        <f t="shared" si="181"/>
        <v>0</v>
      </c>
      <c r="DK43" s="592">
        <f t="shared" si="181"/>
        <v>0</v>
      </c>
      <c r="DL43" s="592">
        <f t="shared" si="181"/>
        <v>0</v>
      </c>
      <c r="DM43" s="592">
        <f t="shared" ref="DM43:DN43" si="185">+DM38+DM41</f>
        <v>0</v>
      </c>
      <c r="DN43" s="592">
        <f t="shared" si="185"/>
        <v>1</v>
      </c>
      <c r="DO43" s="649"/>
      <c r="DP43" s="649"/>
      <c r="DQ43" s="649"/>
      <c r="DR43" s="649"/>
      <c r="DS43" s="649"/>
      <c r="DT43" s="649"/>
      <c r="DU43" s="649"/>
      <c r="DV43" s="649"/>
      <c r="DW43" s="649"/>
      <c r="DX43" s="649"/>
      <c r="DY43" s="649"/>
      <c r="DZ43" s="649"/>
      <c r="EA43" s="649"/>
      <c r="EB43" s="649"/>
      <c r="EC43" s="649"/>
      <c r="ED43" s="649"/>
      <c r="EE43" s="649"/>
      <c r="EF43" s="649"/>
      <c r="EG43" s="649"/>
      <c r="EH43" s="649"/>
      <c r="EI43" s="649"/>
      <c r="EJ43" s="649"/>
      <c r="EK43" s="649"/>
      <c r="EL43" s="649"/>
      <c r="EM43" s="650">
        <f t="shared" ref="EM43" si="186">EM38+EM41</f>
        <v>0</v>
      </c>
      <c r="EN43" s="651">
        <f>EN38+EN41</f>
        <v>0</v>
      </c>
      <c r="EO43" s="652">
        <f>EO38+EO41</f>
        <v>0</v>
      </c>
      <c r="EP43" s="653">
        <f>EP38+EP41</f>
        <v>0</v>
      </c>
      <c r="EQ43" s="650">
        <f>EQ38+EQ41</f>
        <v>0</v>
      </c>
      <c r="ER43" s="602">
        <f t="shared" si="10"/>
        <v>1</v>
      </c>
      <c r="ES43" s="602">
        <f t="shared" si="11"/>
        <v>1</v>
      </c>
      <c r="ET43" s="603">
        <f t="shared" si="12"/>
        <v>1</v>
      </c>
      <c r="EU43" s="603">
        <f t="shared" si="13"/>
        <v>1</v>
      </c>
      <c r="EV43" s="603">
        <f>+(AA43+BE43+CI43)/500%</f>
        <v>0.6</v>
      </c>
      <c r="EW43" s="548"/>
      <c r="EX43" s="543" t="s">
        <v>329</v>
      </c>
      <c r="EY43" s="543" t="s">
        <v>329</v>
      </c>
      <c r="EZ43" s="543"/>
      <c r="FA43" s="547"/>
      <c r="FB43" s="360"/>
    </row>
    <row r="44" spans="1:158" s="56" customFormat="1" ht="24.75" customHeight="1" thickBot="1" x14ac:dyDescent="0.3">
      <c r="A44" s="361"/>
      <c r="B44" s="361"/>
      <c r="C44" s="361"/>
      <c r="D44" s="361"/>
      <c r="E44" s="361"/>
      <c r="F44" s="590" t="s">
        <v>44</v>
      </c>
      <c r="G44" s="611">
        <f>+G39+G42</f>
        <v>3639416920.8304195</v>
      </c>
      <c r="H44" s="612">
        <f>+H39+H42</f>
        <v>507619010</v>
      </c>
      <c r="I44" s="612"/>
      <c r="J44" s="612"/>
      <c r="K44" s="612"/>
      <c r="L44" s="612"/>
      <c r="M44" s="612"/>
      <c r="N44" s="612"/>
      <c r="O44" s="612"/>
      <c r="P44" s="612"/>
      <c r="Q44" s="612"/>
      <c r="R44" s="612"/>
      <c r="S44" s="612"/>
      <c r="T44" s="613"/>
      <c r="U44" s="612"/>
      <c r="V44" s="612"/>
      <c r="W44" s="612">
        <f t="shared" ref="W44:AB44" si="187">+W39+W42</f>
        <v>507619010</v>
      </c>
      <c r="X44" s="612">
        <f t="shared" si="187"/>
        <v>507619010</v>
      </c>
      <c r="Y44" s="612">
        <f t="shared" si="187"/>
        <v>232617000</v>
      </c>
      <c r="Z44" s="612">
        <f t="shared" si="187"/>
        <v>367619010</v>
      </c>
      <c r="AA44" s="612">
        <f t="shared" si="187"/>
        <v>232617000</v>
      </c>
      <c r="AB44" s="612">
        <f t="shared" si="187"/>
        <v>777848010</v>
      </c>
      <c r="AC44" s="612">
        <f t="shared" ref="AC44:AK44" si="188">+AC39+AC42</f>
        <v>15431000</v>
      </c>
      <c r="AD44" s="612">
        <f t="shared" si="188"/>
        <v>15431000</v>
      </c>
      <c r="AE44" s="612">
        <f t="shared" si="188"/>
        <v>60740334</v>
      </c>
      <c r="AF44" s="612">
        <f t="shared" si="188"/>
        <v>60740334</v>
      </c>
      <c r="AG44" s="612">
        <f t="shared" si="188"/>
        <v>319082833</v>
      </c>
      <c r="AH44" s="612">
        <f t="shared" si="188"/>
        <v>319082833</v>
      </c>
      <c r="AI44" s="612">
        <f t="shared" si="188"/>
        <v>17088568</v>
      </c>
      <c r="AJ44" s="612">
        <f t="shared" si="188"/>
        <v>17088568</v>
      </c>
      <c r="AK44" s="612">
        <f t="shared" si="188"/>
        <v>15722777</v>
      </c>
      <c r="AL44" s="612">
        <f t="shared" si="173"/>
        <v>10722777</v>
      </c>
      <c r="AM44" s="612">
        <f t="shared" si="173"/>
        <v>2673933</v>
      </c>
      <c r="AN44" s="612">
        <f t="shared" ref="AN44" si="189">+AN39+AN42</f>
        <v>106766359</v>
      </c>
      <c r="AO44" s="612">
        <f t="shared" si="176"/>
        <v>0</v>
      </c>
      <c r="AP44" s="612">
        <f t="shared" si="176"/>
        <v>0</v>
      </c>
      <c r="AQ44" s="612">
        <f t="shared" si="177"/>
        <v>98678807.333333299</v>
      </c>
      <c r="AR44" s="612">
        <f t="shared" si="177"/>
        <v>39414000</v>
      </c>
      <c r="AS44" s="612">
        <f t="shared" si="178"/>
        <v>124099684.3333333</v>
      </c>
      <c r="AT44" s="612">
        <f t="shared" si="178"/>
        <v>0</v>
      </c>
      <c r="AU44" s="612">
        <f t="shared" si="179"/>
        <v>87576176.333333299</v>
      </c>
      <c r="AV44" s="612">
        <f t="shared" si="179"/>
        <v>11769667</v>
      </c>
      <c r="AW44" s="612">
        <f t="shared" si="180"/>
        <v>46164800</v>
      </c>
      <c r="AX44" s="612">
        <f t="shared" si="180"/>
        <v>21995433</v>
      </c>
      <c r="AY44" s="612">
        <f>+AY39+AY42</f>
        <v>46164800</v>
      </c>
      <c r="AZ44" s="612">
        <f t="shared" ref="AZ44" si="190">+AZ39+AZ42</f>
        <v>184481298.83041936</v>
      </c>
      <c r="BA44" s="612">
        <f t="shared" ref="BA44:DL44" si="191">+BA39+BA42</f>
        <v>833423713</v>
      </c>
      <c r="BB44" s="612">
        <f t="shared" si="191"/>
        <v>833423712.99999988</v>
      </c>
      <c r="BC44" s="612">
        <f t="shared" si="191"/>
        <v>787492269.8304193</v>
      </c>
      <c r="BD44" s="612">
        <f t="shared" si="191"/>
        <v>833423712.99999988</v>
      </c>
      <c r="BE44" s="612">
        <f t="shared" si="191"/>
        <v>787492269.8304193</v>
      </c>
      <c r="BF44" s="612">
        <f t="shared" si="191"/>
        <v>1012081651</v>
      </c>
      <c r="BG44" s="612">
        <f>+BG39+BG42</f>
        <v>468432833</v>
      </c>
      <c r="BH44" s="612">
        <f>+BH39+BH42</f>
        <v>455184000</v>
      </c>
      <c r="BI44" s="612">
        <f t="shared" si="182"/>
        <v>7912133</v>
      </c>
      <c r="BJ44" s="612">
        <f t="shared" ref="BJ44" si="192">+BJ39+BJ42</f>
        <v>14024632</v>
      </c>
      <c r="BK44" s="612">
        <f t="shared" si="182"/>
        <v>535736685</v>
      </c>
      <c r="BL44" s="612">
        <f t="shared" si="182"/>
        <v>0</v>
      </c>
      <c r="BM44" s="612">
        <f t="shared" si="182"/>
        <v>0</v>
      </c>
      <c r="BN44" s="612">
        <f t="shared" si="191"/>
        <v>0</v>
      </c>
      <c r="BO44" s="612">
        <f t="shared" si="191"/>
        <v>0</v>
      </c>
      <c r="BP44" s="612">
        <f t="shared" si="191"/>
        <v>0</v>
      </c>
      <c r="BQ44" s="612">
        <f t="shared" si="191"/>
        <v>0</v>
      </c>
      <c r="BR44" s="612">
        <f t="shared" si="191"/>
        <v>0</v>
      </c>
      <c r="BS44" s="612">
        <f t="shared" si="191"/>
        <v>0</v>
      </c>
      <c r="BT44" s="612">
        <f t="shared" si="191"/>
        <v>0</v>
      </c>
      <c r="BU44" s="612">
        <f t="shared" si="191"/>
        <v>0</v>
      </c>
      <c r="BV44" s="612">
        <f t="shared" si="191"/>
        <v>0</v>
      </c>
      <c r="BW44" s="612">
        <f t="shared" si="191"/>
        <v>0</v>
      </c>
      <c r="BX44" s="612">
        <f t="shared" si="191"/>
        <v>0</v>
      </c>
      <c r="BY44" s="612">
        <f t="shared" si="191"/>
        <v>0</v>
      </c>
      <c r="BZ44" s="612">
        <f t="shared" si="191"/>
        <v>0</v>
      </c>
      <c r="CA44" s="612">
        <f t="shared" si="191"/>
        <v>0</v>
      </c>
      <c r="CB44" s="612">
        <f t="shared" si="191"/>
        <v>0</v>
      </c>
      <c r="CC44" s="612">
        <f t="shared" si="191"/>
        <v>0</v>
      </c>
      <c r="CD44" s="612">
        <f t="shared" si="191"/>
        <v>0</v>
      </c>
      <c r="CE44" s="612">
        <f t="shared" si="191"/>
        <v>1012081651</v>
      </c>
      <c r="CF44" s="612">
        <f t="shared" si="191"/>
        <v>1012081651</v>
      </c>
      <c r="CG44" s="612">
        <f t="shared" si="191"/>
        <v>469208632</v>
      </c>
      <c r="CH44" s="612">
        <f t="shared" si="191"/>
        <v>1012081651</v>
      </c>
      <c r="CI44" s="612">
        <f t="shared" si="191"/>
        <v>469208632</v>
      </c>
      <c r="CJ44" s="612">
        <f t="shared" si="191"/>
        <v>758837000</v>
      </c>
      <c r="CK44" s="612">
        <f t="shared" si="191"/>
        <v>0</v>
      </c>
      <c r="CL44" s="612">
        <f t="shared" si="191"/>
        <v>0</v>
      </c>
      <c r="CM44" s="612">
        <f t="shared" si="191"/>
        <v>0</v>
      </c>
      <c r="CN44" s="612">
        <f t="shared" si="191"/>
        <v>0</v>
      </c>
      <c r="CO44" s="612">
        <f t="shared" si="191"/>
        <v>0</v>
      </c>
      <c r="CP44" s="612">
        <f t="shared" si="191"/>
        <v>0</v>
      </c>
      <c r="CQ44" s="612">
        <f t="shared" si="191"/>
        <v>0</v>
      </c>
      <c r="CR44" s="612">
        <f t="shared" si="191"/>
        <v>0</v>
      </c>
      <c r="CS44" s="612">
        <f t="shared" si="191"/>
        <v>0</v>
      </c>
      <c r="CT44" s="612">
        <f t="shared" si="191"/>
        <v>0</v>
      </c>
      <c r="CU44" s="612">
        <f t="shared" si="191"/>
        <v>0</v>
      </c>
      <c r="CV44" s="612">
        <f t="shared" si="191"/>
        <v>0</v>
      </c>
      <c r="CW44" s="612">
        <f t="shared" si="191"/>
        <v>0</v>
      </c>
      <c r="CX44" s="612">
        <f t="shared" si="191"/>
        <v>0</v>
      </c>
      <c r="CY44" s="612">
        <f t="shared" si="191"/>
        <v>0</v>
      </c>
      <c r="CZ44" s="612">
        <f t="shared" si="191"/>
        <v>0</v>
      </c>
      <c r="DA44" s="612">
        <f t="shared" si="191"/>
        <v>0</v>
      </c>
      <c r="DB44" s="612">
        <f t="shared" si="191"/>
        <v>0</v>
      </c>
      <c r="DC44" s="612">
        <f t="shared" si="191"/>
        <v>0</v>
      </c>
      <c r="DD44" s="612">
        <f t="shared" si="191"/>
        <v>0</v>
      </c>
      <c r="DE44" s="612">
        <f t="shared" si="191"/>
        <v>0</v>
      </c>
      <c r="DF44" s="612">
        <f t="shared" si="191"/>
        <v>0</v>
      </c>
      <c r="DG44" s="612">
        <f t="shared" si="191"/>
        <v>0</v>
      </c>
      <c r="DH44" s="612">
        <f t="shared" si="191"/>
        <v>0</v>
      </c>
      <c r="DI44" s="612">
        <f t="shared" si="191"/>
        <v>0</v>
      </c>
      <c r="DJ44" s="612">
        <f t="shared" si="191"/>
        <v>0</v>
      </c>
      <c r="DK44" s="612">
        <f t="shared" si="191"/>
        <v>0</v>
      </c>
      <c r="DL44" s="612">
        <f t="shared" si="191"/>
        <v>0</v>
      </c>
      <c r="DM44" s="612">
        <f t="shared" ref="DM44:DN44" si="193">+DM39+DM42</f>
        <v>0</v>
      </c>
      <c r="DN44" s="612">
        <f t="shared" si="193"/>
        <v>848389000</v>
      </c>
      <c r="DO44" s="655"/>
      <c r="DP44" s="655"/>
      <c r="DQ44" s="655"/>
      <c r="DR44" s="655"/>
      <c r="DS44" s="655"/>
      <c r="DT44" s="655"/>
      <c r="DU44" s="655"/>
      <c r="DV44" s="655"/>
      <c r="DW44" s="655"/>
      <c r="DX44" s="655"/>
      <c r="DY44" s="655"/>
      <c r="DZ44" s="655"/>
      <c r="EA44" s="655"/>
      <c r="EB44" s="655"/>
      <c r="EC44" s="655"/>
      <c r="ED44" s="655"/>
      <c r="EE44" s="655"/>
      <c r="EF44" s="655"/>
      <c r="EG44" s="655"/>
      <c r="EH44" s="655"/>
      <c r="EI44" s="655"/>
      <c r="EJ44" s="655"/>
      <c r="EK44" s="655"/>
      <c r="EL44" s="655"/>
      <c r="EM44" s="642">
        <f>EK44+EI44+EG44+EE44+EC44+EA44+DY44+DW44+DU44+DS44+DQ44+DO44</f>
        <v>0</v>
      </c>
      <c r="EN44" s="643">
        <f>+EN39+EN42</f>
        <v>0</v>
      </c>
      <c r="EO44" s="643">
        <f t="shared" ref="EO44:EQ44" si="194">+EO39+EO42</f>
        <v>0</v>
      </c>
      <c r="EP44" s="643">
        <f t="shared" si="194"/>
        <v>0</v>
      </c>
      <c r="EQ44" s="643">
        <f t="shared" si="194"/>
        <v>0</v>
      </c>
      <c r="ER44" s="619">
        <f t="shared" si="10"/>
        <v>0</v>
      </c>
      <c r="ES44" s="619">
        <f t="shared" si="11"/>
        <v>0.46360748812745739</v>
      </c>
      <c r="ET44" s="620">
        <f t="shared" si="12"/>
        <v>0.46360748812745739</v>
      </c>
      <c r="EU44" s="620">
        <f t="shared" si="13"/>
        <v>0.67294812678721116</v>
      </c>
      <c r="EV44" s="621">
        <f t="shared" si="14"/>
        <v>0.40921882109912155</v>
      </c>
      <c r="EW44" s="648"/>
      <c r="EX44" s="543" t="s">
        <v>329</v>
      </c>
      <c r="EY44" s="543" t="s">
        <v>329</v>
      </c>
      <c r="EZ44" s="543"/>
      <c r="FA44" s="547"/>
      <c r="FB44" s="360"/>
    </row>
    <row r="45" spans="1:158" s="4" customFormat="1" ht="24.75" customHeight="1" x14ac:dyDescent="0.25">
      <c r="A45" s="361" t="s">
        <v>308</v>
      </c>
      <c r="B45" s="361">
        <v>6</v>
      </c>
      <c r="C45" s="361" t="s">
        <v>313</v>
      </c>
      <c r="D45" s="361" t="s">
        <v>266</v>
      </c>
      <c r="E45" s="361">
        <v>268</v>
      </c>
      <c r="F45" s="281" t="s">
        <v>40</v>
      </c>
      <c r="G45" s="640">
        <f>+AA45+BD45+BF45+CJ45+DN45</f>
        <v>7948</v>
      </c>
      <c r="H45" s="566">
        <v>1292</v>
      </c>
      <c r="I45" s="566"/>
      <c r="J45" s="566"/>
      <c r="K45" s="566"/>
      <c r="L45" s="566"/>
      <c r="M45" s="566"/>
      <c r="N45" s="566"/>
      <c r="O45" s="566"/>
      <c r="P45" s="566"/>
      <c r="Q45" s="566"/>
      <c r="R45" s="566"/>
      <c r="S45" s="566"/>
      <c r="T45" s="566"/>
      <c r="U45" s="566"/>
      <c r="V45" s="566"/>
      <c r="W45" s="566">
        <v>1292</v>
      </c>
      <c r="X45" s="566">
        <v>1292</v>
      </c>
      <c r="Y45" s="566">
        <v>1292</v>
      </c>
      <c r="Z45" s="566">
        <v>1292</v>
      </c>
      <c r="AA45" s="566">
        <v>1292</v>
      </c>
      <c r="AB45" s="566">
        <v>759</v>
      </c>
      <c r="AC45" s="566">
        <v>51</v>
      </c>
      <c r="AD45" s="566">
        <v>278</v>
      </c>
      <c r="AE45" s="566">
        <v>66</v>
      </c>
      <c r="AF45" s="566">
        <v>211</v>
      </c>
      <c r="AG45" s="566">
        <v>66</v>
      </c>
      <c r="AH45" s="566">
        <v>837</v>
      </c>
      <c r="AI45" s="566">
        <v>473</v>
      </c>
      <c r="AJ45" s="566">
        <v>488</v>
      </c>
      <c r="AK45" s="566">
        <v>2050</v>
      </c>
      <c r="AL45" s="566">
        <v>892</v>
      </c>
      <c r="AM45" s="566">
        <v>295</v>
      </c>
      <c r="AN45" s="566">
        <v>798</v>
      </c>
      <c r="AO45" s="566">
        <v>295</v>
      </c>
      <c r="AP45" s="566">
        <v>265</v>
      </c>
      <c r="AQ45" s="566">
        <v>295</v>
      </c>
      <c r="AR45" s="566">
        <v>203</v>
      </c>
      <c r="AS45" s="566">
        <v>295</v>
      </c>
      <c r="AT45" s="566">
        <v>294</v>
      </c>
      <c r="AU45" s="566">
        <v>295</v>
      </c>
      <c r="AV45" s="566">
        <v>575</v>
      </c>
      <c r="AW45" s="566">
        <v>295</v>
      </c>
      <c r="AX45" s="566">
        <v>57</v>
      </c>
      <c r="AY45" s="566">
        <f>231+243</f>
        <v>474</v>
      </c>
      <c r="AZ45" s="566">
        <v>52</v>
      </c>
      <c r="BA45" s="640">
        <f>AY45+AW45+AU45+AS45+AQ45+AO45+AM45+AK45+AI45+AG45+AE45+AC45</f>
        <v>4950</v>
      </c>
      <c r="BB45" s="640">
        <f>AC45+AE45+AG45+AI45+AK45+AM45+AO45+AQ45+AS45+AU45+AW45+AY45</f>
        <v>4950</v>
      </c>
      <c r="BC45" s="640">
        <f>AD45+AF45+AH45+AJ45+AL45+AN45+AP45+AR45+AT45+AV45+AX45+AZ45</f>
        <v>4950</v>
      </c>
      <c r="BD45" s="640">
        <f>AE45+AG45+AI45+AK45+AM45+AO45+AQ45+AS45+AU45+AW45+AY45+AC45</f>
        <v>4950</v>
      </c>
      <c r="BE45" s="640">
        <f>AD45+AF45+AH45+AJ45+AL45+AN45+AP45+AR45+AT45+AV45+AX45+AZ45</f>
        <v>4950</v>
      </c>
      <c r="BF45" s="566">
        <v>1097</v>
      </c>
      <c r="BG45" s="566">
        <v>85</v>
      </c>
      <c r="BH45" s="566">
        <v>0</v>
      </c>
      <c r="BI45" s="566">
        <v>92</v>
      </c>
      <c r="BJ45" s="566">
        <v>32</v>
      </c>
      <c r="BK45" s="566">
        <v>92</v>
      </c>
      <c r="BL45" s="566">
        <v>55</v>
      </c>
      <c r="BM45" s="566">
        <v>92</v>
      </c>
      <c r="BN45" s="566"/>
      <c r="BO45" s="566">
        <v>92</v>
      </c>
      <c r="BP45" s="566"/>
      <c r="BQ45" s="566">
        <v>99</v>
      </c>
      <c r="BR45" s="566"/>
      <c r="BS45" s="566">
        <v>92</v>
      </c>
      <c r="BT45" s="566"/>
      <c r="BU45" s="566">
        <v>92</v>
      </c>
      <c r="BV45" s="566"/>
      <c r="BW45" s="566">
        <v>92</v>
      </c>
      <c r="BX45" s="566"/>
      <c r="BY45" s="566">
        <v>92</v>
      </c>
      <c r="BZ45" s="566"/>
      <c r="CA45" s="566">
        <v>92</v>
      </c>
      <c r="CB45" s="566"/>
      <c r="CC45" s="566">
        <v>85</v>
      </c>
      <c r="CD45" s="566"/>
      <c r="CE45" s="605">
        <f>CC45+CA45+BY45+BW45+BU45+BS45+BQ45+BO45+BM45+BK45+BI45+BG45</f>
        <v>1097</v>
      </c>
      <c r="CF45" s="605">
        <f t="shared" ref="CF45:CG49" si="195">+BG45+BI45+BK45</f>
        <v>269</v>
      </c>
      <c r="CG45" s="607">
        <f t="shared" si="195"/>
        <v>87</v>
      </c>
      <c r="CH45" s="607">
        <f>CC45+CA45+BY45+BW45+BU45+BS45+BQ45+BO45+BM45+BK45+BI45+BG45</f>
        <v>1097</v>
      </c>
      <c r="CI45" s="607">
        <f>+BH45+BJ45+BL45</f>
        <v>87</v>
      </c>
      <c r="CJ45" s="566">
        <v>370</v>
      </c>
      <c r="CK45" s="566"/>
      <c r="CL45" s="566"/>
      <c r="CM45" s="566"/>
      <c r="CN45" s="566"/>
      <c r="CO45" s="566"/>
      <c r="CP45" s="566"/>
      <c r="CQ45" s="566"/>
      <c r="CR45" s="566"/>
      <c r="CS45" s="566"/>
      <c r="CT45" s="566"/>
      <c r="CU45" s="566"/>
      <c r="CV45" s="566"/>
      <c r="CW45" s="566"/>
      <c r="CX45" s="566"/>
      <c r="CY45" s="566"/>
      <c r="CZ45" s="566"/>
      <c r="DA45" s="566"/>
      <c r="DB45" s="566"/>
      <c r="DC45" s="566"/>
      <c r="DD45" s="566"/>
      <c r="DE45" s="566"/>
      <c r="DF45" s="566"/>
      <c r="DG45" s="566"/>
      <c r="DH45" s="566"/>
      <c r="DI45" s="566">
        <v>0</v>
      </c>
      <c r="DJ45" s="566">
        <v>0</v>
      </c>
      <c r="DK45" s="566">
        <v>0</v>
      </c>
      <c r="DL45" s="654">
        <v>0</v>
      </c>
      <c r="DM45" s="566">
        <v>0</v>
      </c>
      <c r="DN45" s="566">
        <f>482-243</f>
        <v>239</v>
      </c>
      <c r="DO45" s="628"/>
      <c r="DP45" s="628"/>
      <c r="DQ45" s="628"/>
      <c r="DR45" s="628"/>
      <c r="DS45" s="628"/>
      <c r="DT45" s="628"/>
      <c r="DU45" s="628"/>
      <c r="DV45" s="628"/>
      <c r="DW45" s="628"/>
      <c r="DX45" s="628"/>
      <c r="DY45" s="628"/>
      <c r="DZ45" s="628"/>
      <c r="EA45" s="628"/>
      <c r="EB45" s="628"/>
      <c r="EC45" s="628"/>
      <c r="ED45" s="628"/>
      <c r="EE45" s="628"/>
      <c r="EF45" s="628"/>
      <c r="EG45" s="629"/>
      <c r="EH45" s="629"/>
      <c r="EI45" s="629"/>
      <c r="EJ45" s="629"/>
      <c r="EK45" s="629"/>
      <c r="EL45" s="629"/>
      <c r="EM45" s="630">
        <f>EK45+EI45+EG45+EE45+EC45+EA45+DY45+DW45+DU45+DS45+DQ45+DO45</f>
        <v>0</v>
      </c>
      <c r="EN45" s="629">
        <f t="shared" ref="EN45:EN50" si="196">DO45+DQ45+DS45+DU45</f>
        <v>0</v>
      </c>
      <c r="EO45" s="631">
        <f t="shared" ref="EO45:EO50" si="197">DP45+DR45+DT45+DV45</f>
        <v>0</v>
      </c>
      <c r="EP45" s="632">
        <f>DQ45+DS45+DU45+DW45+DY45+EA45+EC45+EE45+EG45+EI45+EK45+DO45</f>
        <v>0</v>
      </c>
      <c r="EQ45" s="629">
        <f>DP45+DR45+DT45+DV45</f>
        <v>0</v>
      </c>
      <c r="ER45" s="609">
        <f t="shared" si="10"/>
        <v>0.59782608695652173</v>
      </c>
      <c r="ES45" s="609">
        <f t="shared" si="11"/>
        <v>0.32342007434944237</v>
      </c>
      <c r="ET45" s="610">
        <f t="shared" si="12"/>
        <v>7.9307201458523241E-2</v>
      </c>
      <c r="EU45" s="610">
        <f t="shared" si="13"/>
        <v>0.86237907071808151</v>
      </c>
      <c r="EV45" s="610">
        <f t="shared" si="14"/>
        <v>0.79630095621540009</v>
      </c>
      <c r="EW45" s="544" t="s">
        <v>650</v>
      </c>
      <c r="EX45" s="471" t="s">
        <v>637</v>
      </c>
      <c r="EY45" s="471" t="s">
        <v>638</v>
      </c>
      <c r="EZ45" s="543" t="s">
        <v>590</v>
      </c>
      <c r="FA45" s="547" t="s">
        <v>339</v>
      </c>
      <c r="FB45" s="360"/>
    </row>
    <row r="46" spans="1:158" s="65" customFormat="1" ht="24.75" customHeight="1" x14ac:dyDescent="0.25">
      <c r="A46" s="361"/>
      <c r="B46" s="361"/>
      <c r="C46" s="361"/>
      <c r="D46" s="361"/>
      <c r="E46" s="361"/>
      <c r="F46" s="282" t="s">
        <v>3</v>
      </c>
      <c r="G46" s="125">
        <f>+AA46+BE46+CH46+CJ46+DN46</f>
        <v>6492453799</v>
      </c>
      <c r="H46" s="124">
        <v>658814131</v>
      </c>
      <c r="I46" s="137"/>
      <c r="J46" s="137"/>
      <c r="K46" s="137"/>
      <c r="L46" s="137"/>
      <c r="M46" s="137"/>
      <c r="N46" s="137"/>
      <c r="O46" s="137"/>
      <c r="P46" s="137"/>
      <c r="Q46" s="137"/>
      <c r="R46" s="137"/>
      <c r="S46" s="137"/>
      <c r="T46" s="124"/>
      <c r="U46" s="124"/>
      <c r="V46" s="124"/>
      <c r="W46" s="124">
        <v>658814131</v>
      </c>
      <c r="X46" s="124">
        <v>658814131</v>
      </c>
      <c r="Y46" s="124">
        <v>644978000</v>
      </c>
      <c r="Z46" s="124">
        <v>658814131</v>
      </c>
      <c r="AA46" s="124">
        <v>644978000</v>
      </c>
      <c r="AB46" s="124">
        <v>1294148000</v>
      </c>
      <c r="AC46" s="137">
        <v>0</v>
      </c>
      <c r="AD46" s="124">
        <v>0</v>
      </c>
      <c r="AE46" s="124">
        <v>385283000</v>
      </c>
      <c r="AF46" s="124">
        <f>385283000-AD46</f>
        <v>385283000</v>
      </c>
      <c r="AG46" s="124">
        <v>752696000</v>
      </c>
      <c r="AH46" s="124">
        <f>1137979000-AF46-AD46</f>
        <v>752696000</v>
      </c>
      <c r="AI46" s="124">
        <v>0</v>
      </c>
      <c r="AJ46" s="124">
        <f>1137979000-AH46-AF46-AD46</f>
        <v>0</v>
      </c>
      <c r="AK46" s="137">
        <v>24066000</v>
      </c>
      <c r="AL46" s="137">
        <f>1162045000-AJ46-AH46-AF46-AD46</f>
        <v>24066000</v>
      </c>
      <c r="AM46" s="137">
        <v>0</v>
      </c>
      <c r="AN46" s="137">
        <v>0</v>
      </c>
      <c r="AO46" s="137">
        <v>0</v>
      </c>
      <c r="AP46" s="137">
        <v>0</v>
      </c>
      <c r="AQ46" s="137">
        <v>44034333.333333336</v>
      </c>
      <c r="AR46" s="137">
        <v>0</v>
      </c>
      <c r="AS46" s="137">
        <v>44034333.333333336</v>
      </c>
      <c r="AT46" s="137">
        <v>24595500</v>
      </c>
      <c r="AU46" s="137">
        <v>44034333.333333336</v>
      </c>
      <c r="AV46" s="137">
        <v>15965667</v>
      </c>
      <c r="AW46" s="137">
        <v>0</v>
      </c>
      <c r="AX46" s="137">
        <v>61570599</v>
      </c>
      <c r="AY46" s="137">
        <v>0</v>
      </c>
      <c r="AZ46" s="137">
        <v>8140033</v>
      </c>
      <c r="BA46" s="124">
        <f>AY46+AW46+AU46+AS46+AQ46+AO46+AM46+AK46+AI46+AG46+AE46+AC46</f>
        <v>1294148000</v>
      </c>
      <c r="BB46" s="124">
        <f>AC46+AE46+AG46+AI46+AK46+AM46+AO46+AQ46+AS46+AU46+AW46+AY46</f>
        <v>1294147999.9999998</v>
      </c>
      <c r="BC46" s="124">
        <f>AD46+AF46+AH46+AJ46+AL46+AN46+AP46+AR46+AT46+AV46+AX46+AZ46</f>
        <v>1272316799</v>
      </c>
      <c r="BD46" s="124">
        <f>AE46+AG46+AI46+AK46+AM46+AO46+AQ46+AS46+AU46+AW46+AY46+AC46</f>
        <v>1294147999.9999998</v>
      </c>
      <c r="BE46" s="124">
        <f>AD46+AF46+AH46+AJ46+AL46+AN46+AP46+AR46+AT46+AV46+AX46+AZ46</f>
        <v>1272316799</v>
      </c>
      <c r="BF46" s="124">
        <v>1568833000</v>
      </c>
      <c r="BG46" s="137">
        <v>1443681000</v>
      </c>
      <c r="BH46" s="137">
        <v>1487818000</v>
      </c>
      <c r="BI46" s="137">
        <v>0</v>
      </c>
      <c r="BJ46" s="137">
        <v>0</v>
      </c>
      <c r="BK46" s="137">
        <f>82874000+ 48160000</f>
        <v>131034000</v>
      </c>
      <c r="BL46" s="137">
        <v>0</v>
      </c>
      <c r="BM46" s="137">
        <v>0</v>
      </c>
      <c r="BN46" s="137"/>
      <c r="BO46" s="137">
        <v>0</v>
      </c>
      <c r="BP46" s="137"/>
      <c r="BQ46" s="137">
        <v>7278000</v>
      </c>
      <c r="BR46" s="137"/>
      <c r="BS46" s="137">
        <v>0</v>
      </c>
      <c r="BT46" s="137"/>
      <c r="BU46" s="137">
        <v>0</v>
      </c>
      <c r="BV46" s="137"/>
      <c r="BW46" s="137">
        <v>35000000</v>
      </c>
      <c r="BX46" s="137"/>
      <c r="BY46" s="137">
        <v>0</v>
      </c>
      <c r="BZ46" s="137"/>
      <c r="CA46" s="137">
        <v>0</v>
      </c>
      <c r="CB46" s="137"/>
      <c r="CC46" s="137">
        <v>0</v>
      </c>
      <c r="CD46" s="137"/>
      <c r="CE46" s="125">
        <f>CC46+CA46+BY46+BW46+BU46+BS46+BQ46+BO46+BM46+BK46+BI46+BG46</f>
        <v>1616993000</v>
      </c>
      <c r="CF46" s="125">
        <f t="shared" si="195"/>
        <v>1574715000</v>
      </c>
      <c r="CG46" s="124">
        <f t="shared" si="195"/>
        <v>1487818000</v>
      </c>
      <c r="CH46" s="124">
        <f>CC46+CA46+BY46+BW46+BU46+BS46+BQ46+BO46+BM46+BK46+BI46+BG46</f>
        <v>1616993000</v>
      </c>
      <c r="CI46" s="124">
        <f>+BH46+BJ46+BL46</f>
        <v>1487818000</v>
      </c>
      <c r="CJ46" s="137">
        <v>1939781000</v>
      </c>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24"/>
      <c r="DJ46" s="137"/>
      <c r="DK46" s="137"/>
      <c r="DL46" s="124"/>
      <c r="DM46" s="137"/>
      <c r="DN46" s="137">
        <v>1018385000</v>
      </c>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108">
        <f>EK46+EI46+EG46+EE46+EC46+EA46+DY46+DW46+DU46+DS46+DQ46+DO46</f>
        <v>0</v>
      </c>
      <c r="EN46" s="98">
        <f t="shared" si="196"/>
        <v>0</v>
      </c>
      <c r="EO46" s="98">
        <f t="shared" si="197"/>
        <v>0</v>
      </c>
      <c r="EP46" s="99">
        <f>DQ46+DS46+DU46+DW46+DY46+EA46+EC46+EE46+EG46+EI46+EK46+DO46</f>
        <v>0</v>
      </c>
      <c r="EQ46" s="98">
        <f>DP46+DR46+DT46+DV46</f>
        <v>0</v>
      </c>
      <c r="ER46" s="144">
        <f t="shared" si="10"/>
        <v>0</v>
      </c>
      <c r="ES46" s="144">
        <f t="shared" si="11"/>
        <v>0.94481731614927145</v>
      </c>
      <c r="ET46" s="145">
        <f t="shared" si="12"/>
        <v>0.92011406357355907</v>
      </c>
      <c r="EU46" s="145">
        <f t="shared" si="13"/>
        <v>0.95382509696870477</v>
      </c>
      <c r="EV46" s="145">
        <f t="shared" si="14"/>
        <v>0.52447239586432981</v>
      </c>
      <c r="EW46" s="544"/>
      <c r="EX46" s="472"/>
      <c r="EY46" s="472"/>
      <c r="EZ46" s="543"/>
      <c r="FA46" s="547"/>
      <c r="FB46" s="360"/>
    </row>
    <row r="47" spans="1:158" s="65" customFormat="1" ht="24.75" customHeight="1" x14ac:dyDescent="0.25">
      <c r="A47" s="361"/>
      <c r="B47" s="361"/>
      <c r="C47" s="361"/>
      <c r="D47" s="361"/>
      <c r="E47" s="361"/>
      <c r="F47" s="283" t="s">
        <v>216</v>
      </c>
      <c r="G47" s="137"/>
      <c r="H47" s="124"/>
      <c r="I47" s="137"/>
      <c r="J47" s="137"/>
      <c r="K47" s="137"/>
      <c r="L47" s="137"/>
      <c r="M47" s="137"/>
      <c r="N47" s="137"/>
      <c r="O47" s="137"/>
      <c r="P47" s="137"/>
      <c r="Q47" s="137"/>
      <c r="R47" s="137"/>
      <c r="S47" s="137"/>
      <c r="T47" s="124"/>
      <c r="U47" s="124"/>
      <c r="V47" s="124"/>
      <c r="W47" s="124"/>
      <c r="X47" s="124"/>
      <c r="Y47" s="124"/>
      <c r="Z47" s="124"/>
      <c r="AA47" s="124"/>
      <c r="AB47" s="124"/>
      <c r="AC47" s="137">
        <v>0</v>
      </c>
      <c r="AD47" s="137">
        <v>0</v>
      </c>
      <c r="AE47" s="124">
        <v>0</v>
      </c>
      <c r="AF47" s="124">
        <v>0</v>
      </c>
      <c r="AG47" s="124">
        <v>2672200</v>
      </c>
      <c r="AH47" s="124">
        <v>2672200</v>
      </c>
      <c r="AI47" s="124">
        <v>50155734</v>
      </c>
      <c r="AJ47" s="124">
        <f>52827934-AH47</f>
        <v>50155734</v>
      </c>
      <c r="AK47" s="137">
        <v>112069567</v>
      </c>
      <c r="AL47" s="137">
        <f>164897501-AJ47-AH47</f>
        <v>112069567</v>
      </c>
      <c r="AM47" s="137">
        <v>153388400</v>
      </c>
      <c r="AN47" s="137">
        <v>153388400</v>
      </c>
      <c r="AO47" s="137">
        <v>0</v>
      </c>
      <c r="AP47" s="137">
        <v>133716400</v>
      </c>
      <c r="AQ47" s="137">
        <v>0</v>
      </c>
      <c r="AR47" s="137">
        <v>134296967</v>
      </c>
      <c r="AS47" s="137">
        <v>0</v>
      </c>
      <c r="AT47" s="137">
        <v>143750933</v>
      </c>
      <c r="AU47" s="137">
        <v>0</v>
      </c>
      <c r="AV47" s="137">
        <v>139067500</v>
      </c>
      <c r="AW47" s="137">
        <v>0</v>
      </c>
      <c r="AX47" s="137">
        <v>120979400</v>
      </c>
      <c r="AY47" s="137">
        <v>0</v>
      </c>
      <c r="AZ47" s="137">
        <v>168419156</v>
      </c>
      <c r="BA47" s="124">
        <f>AY47+AW47+AU47+AS47+AQ47+AO47+AM47+AK47+AI47+AG47+AE47+AC47</f>
        <v>318285901</v>
      </c>
      <c r="BB47" s="124">
        <f>AC47+AE47+AG47+AI47+AK47+AM47+AO47+AQ47+AS47+AU47+AW47+AY47</f>
        <v>318285901</v>
      </c>
      <c r="BC47" s="124">
        <f t="shared" ref="BC47:BC49" si="198">AD47+AF47+AH47+AJ47+AL47+AN47+AP47+AR47+AT47+AV47+AX47+AZ47</f>
        <v>1158516257</v>
      </c>
      <c r="BD47" s="124">
        <f>AE47+AG47+AI47+AK47+AM47+AO47+AQ47+AS47+AU47+AW47+AY47+AC47</f>
        <v>318285901</v>
      </c>
      <c r="BE47" s="124">
        <f>AD47+AF47+AH47+AJ47+AL47+AN47+AP47+AR47+AT47+AV47+AX47+AZ47</f>
        <v>1158516257</v>
      </c>
      <c r="BF47" s="137">
        <v>0</v>
      </c>
      <c r="BG47" s="137">
        <v>0</v>
      </c>
      <c r="BH47" s="137">
        <v>0</v>
      </c>
      <c r="BI47" s="137"/>
      <c r="BJ47" s="137">
        <v>13187899</v>
      </c>
      <c r="BK47" s="137"/>
      <c r="BL47" s="137">
        <v>121091401</v>
      </c>
      <c r="BM47" s="137"/>
      <c r="BN47" s="137"/>
      <c r="BO47" s="137"/>
      <c r="BP47" s="137"/>
      <c r="BQ47" s="137"/>
      <c r="BR47" s="137"/>
      <c r="BS47" s="137"/>
      <c r="BT47" s="137"/>
      <c r="BU47" s="137"/>
      <c r="BV47" s="137"/>
      <c r="BW47" s="137"/>
      <c r="BX47" s="137"/>
      <c r="BY47" s="137"/>
      <c r="BZ47" s="137"/>
      <c r="CA47" s="137"/>
      <c r="CB47" s="137"/>
      <c r="CC47" s="137"/>
      <c r="CD47" s="137"/>
      <c r="CE47" s="125">
        <f>CC47+CA47+BY47+BW47+BU47+BS47+BQ47+BO47+BM47+BK47+BI47+BG47</f>
        <v>0</v>
      </c>
      <c r="CF47" s="125">
        <f t="shared" si="195"/>
        <v>0</v>
      </c>
      <c r="CG47" s="124">
        <f t="shared" si="195"/>
        <v>134279300</v>
      </c>
      <c r="CH47" s="124">
        <f>CC47+CA47+BY47+BW47+BU47+BS47+BQ47+BO47+BM47+BK47+BI47+BG47</f>
        <v>0</v>
      </c>
      <c r="CI47" s="124">
        <f>+BH47+BJ47+BL47</f>
        <v>134279300</v>
      </c>
      <c r="CJ47" s="137">
        <v>0</v>
      </c>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24"/>
      <c r="DJ47" s="137"/>
      <c r="DK47" s="137"/>
      <c r="DL47" s="124"/>
      <c r="DM47" s="137"/>
      <c r="DN47" s="137">
        <v>0</v>
      </c>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108">
        <f>EI47+EG47+EE47+EC47+EA47+DY47+DW47+DU47+DS47+DQ47+DO47+EK47</f>
        <v>0</v>
      </c>
      <c r="EN47" s="98">
        <f t="shared" si="196"/>
        <v>0</v>
      </c>
      <c r="EO47" s="98">
        <f t="shared" si="197"/>
        <v>0</v>
      </c>
      <c r="EP47" s="94">
        <f>DQ47+DS47+DU47+DW47+DY47+EA47+EC47+EE47+EG47+EI47+EK47</f>
        <v>0</v>
      </c>
      <c r="EQ47" s="98">
        <f>DP47+DR47+DT47+DV47</f>
        <v>0</v>
      </c>
      <c r="ER47" s="144" t="e">
        <f t="shared" si="10"/>
        <v>#DIV/0!</v>
      </c>
      <c r="ES47" s="144" t="e">
        <f t="shared" si="11"/>
        <v>#DIV/0!</v>
      </c>
      <c r="ET47" s="145" t="e">
        <f t="shared" si="12"/>
        <v>#DIV/0!</v>
      </c>
      <c r="EU47" s="145">
        <f t="shared" si="13"/>
        <v>4.0617430836183974</v>
      </c>
      <c r="EV47" s="145" t="e">
        <f t="shared" si="14"/>
        <v>#DIV/0!</v>
      </c>
      <c r="EW47" s="544"/>
      <c r="EX47" s="472"/>
      <c r="EY47" s="472"/>
      <c r="EZ47" s="543"/>
      <c r="FA47" s="547"/>
      <c r="FB47" s="360"/>
    </row>
    <row r="48" spans="1:158" s="4" customFormat="1" ht="24.75" customHeight="1" x14ac:dyDescent="0.25">
      <c r="A48" s="361"/>
      <c r="B48" s="361"/>
      <c r="C48" s="361"/>
      <c r="D48" s="361"/>
      <c r="E48" s="361"/>
      <c r="F48" s="281" t="s">
        <v>41</v>
      </c>
      <c r="G48" s="141">
        <f>+AA48+BD48+BF48+CJ48+DN48</f>
        <v>0</v>
      </c>
      <c r="H48" s="324">
        <v>0</v>
      </c>
      <c r="I48" s="324"/>
      <c r="J48" s="324"/>
      <c r="K48" s="324"/>
      <c r="L48" s="324"/>
      <c r="M48" s="324"/>
      <c r="N48" s="324"/>
      <c r="O48" s="324"/>
      <c r="P48" s="324"/>
      <c r="Q48" s="324"/>
      <c r="R48" s="324"/>
      <c r="S48" s="324"/>
      <c r="T48" s="324"/>
      <c r="U48" s="324"/>
      <c r="V48" s="324"/>
      <c r="W48" s="324">
        <v>0</v>
      </c>
      <c r="X48" s="324">
        <v>0</v>
      </c>
      <c r="Y48" s="324">
        <v>0</v>
      </c>
      <c r="Z48" s="324">
        <v>0</v>
      </c>
      <c r="AA48" s="324">
        <v>0</v>
      </c>
      <c r="AB48" s="324">
        <v>0</v>
      </c>
      <c r="AC48" s="324">
        <v>0</v>
      </c>
      <c r="AD48" s="324">
        <v>0</v>
      </c>
      <c r="AE48" s="324">
        <v>0</v>
      </c>
      <c r="AF48" s="324">
        <v>0</v>
      </c>
      <c r="AG48" s="324">
        <v>0</v>
      </c>
      <c r="AH48" s="324">
        <v>0</v>
      </c>
      <c r="AI48" s="324">
        <v>0</v>
      </c>
      <c r="AJ48" s="324">
        <v>0</v>
      </c>
      <c r="AK48" s="324">
        <v>0</v>
      </c>
      <c r="AL48" s="324">
        <v>0</v>
      </c>
      <c r="AM48" s="324">
        <v>0</v>
      </c>
      <c r="AN48" s="324">
        <v>0</v>
      </c>
      <c r="AO48" s="324">
        <v>0</v>
      </c>
      <c r="AP48" s="324">
        <v>0</v>
      </c>
      <c r="AQ48" s="324">
        <v>0</v>
      </c>
      <c r="AR48" s="324">
        <v>0</v>
      </c>
      <c r="AS48" s="324">
        <v>0</v>
      </c>
      <c r="AT48" s="324">
        <v>0</v>
      </c>
      <c r="AU48" s="324">
        <v>0</v>
      </c>
      <c r="AV48" s="324">
        <v>0</v>
      </c>
      <c r="AW48" s="324">
        <v>0</v>
      </c>
      <c r="AX48" s="324">
        <v>0</v>
      </c>
      <c r="AY48" s="324">
        <v>0</v>
      </c>
      <c r="AZ48" s="324">
        <v>0</v>
      </c>
      <c r="BA48" s="141">
        <f>AY48+AW48+AU48+AS48+AQ48+AO48+AM48+AK48+AI48+AG48+AE48+AC48</f>
        <v>0</v>
      </c>
      <c r="BB48" s="141">
        <f>AC48+AE48+AG48+AI48+AK48+AM48+AO48+AQ48+AS48+AU48+AW48+AY48</f>
        <v>0</v>
      </c>
      <c r="BC48" s="141">
        <f t="shared" si="198"/>
        <v>0</v>
      </c>
      <c r="BD48" s="141">
        <f>BE49-BC49</f>
        <v>0</v>
      </c>
      <c r="BE48" s="141">
        <f>AD48+AF48+AH48+AJ48+AL48+AN48+AP48+AR48+AT48+AV48+AX48+AZ48</f>
        <v>0</v>
      </c>
      <c r="BF48" s="324">
        <v>0</v>
      </c>
      <c r="BG48" s="324">
        <v>0</v>
      </c>
      <c r="BH48" s="324">
        <v>0</v>
      </c>
      <c r="BI48" s="324"/>
      <c r="BJ48" s="324">
        <v>0</v>
      </c>
      <c r="BK48" s="324">
        <v>0</v>
      </c>
      <c r="BL48" s="324">
        <v>0</v>
      </c>
      <c r="BM48" s="324"/>
      <c r="BN48" s="324"/>
      <c r="BO48" s="324"/>
      <c r="BP48" s="324"/>
      <c r="BQ48" s="324"/>
      <c r="BR48" s="324"/>
      <c r="BS48" s="324"/>
      <c r="BT48" s="324"/>
      <c r="BU48" s="324"/>
      <c r="BV48" s="324"/>
      <c r="BW48" s="324"/>
      <c r="BX48" s="324"/>
      <c r="BY48" s="324"/>
      <c r="BZ48" s="324"/>
      <c r="CA48" s="324"/>
      <c r="CB48" s="324"/>
      <c r="CC48" s="324"/>
      <c r="CD48" s="324"/>
      <c r="CE48" s="299">
        <f>CC48+CA48+BY48+BW48+BU48+BS48+BQ48+BO48+BM48+BK48+BI48+BG48</f>
        <v>0</v>
      </c>
      <c r="CF48" s="299">
        <f t="shared" si="195"/>
        <v>0</v>
      </c>
      <c r="CG48" s="285">
        <f t="shared" si="195"/>
        <v>0</v>
      </c>
      <c r="CH48" s="285">
        <f>CC48+CA48+BY48+BW48+BU48+BS48+BQ48+BO48+BM48+BK48+BI48+BG48</f>
        <v>0</v>
      </c>
      <c r="CI48" s="285">
        <f>+BH48+BJ48+BL48</f>
        <v>0</v>
      </c>
      <c r="CJ48" s="324">
        <v>0</v>
      </c>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v>0</v>
      </c>
      <c r="DJ48" s="324">
        <v>0</v>
      </c>
      <c r="DK48" s="324">
        <v>0</v>
      </c>
      <c r="DL48" s="142">
        <v>0</v>
      </c>
      <c r="DM48" s="324">
        <v>0</v>
      </c>
      <c r="DN48" s="324">
        <v>0</v>
      </c>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109">
        <f>EI48+EG48+EE48+EC48+EA48+DY48+DW48+DU48+DS48+DQ48+DO48+EK48</f>
        <v>0</v>
      </c>
      <c r="EN48" s="120">
        <f t="shared" si="196"/>
        <v>0</v>
      </c>
      <c r="EO48" s="100">
        <f t="shared" si="197"/>
        <v>0</v>
      </c>
      <c r="EP48" s="101">
        <f>DQ48+DS48+DU48+DW48+DY48+EA48+EC48+EE48+EG48+EI48+EK48</f>
        <v>0</v>
      </c>
      <c r="EQ48" s="109">
        <f>DP48+DR48+DT48+DV48</f>
        <v>0</v>
      </c>
      <c r="ER48" s="144" t="e">
        <f t="shared" si="10"/>
        <v>#DIV/0!</v>
      </c>
      <c r="ES48" s="144" t="e">
        <f t="shared" si="11"/>
        <v>#DIV/0!</v>
      </c>
      <c r="ET48" s="145" t="e">
        <f t="shared" si="12"/>
        <v>#DIV/0!</v>
      </c>
      <c r="EU48" s="145" t="e">
        <f t="shared" si="13"/>
        <v>#DIV/0!</v>
      </c>
      <c r="EV48" s="145" t="e">
        <f t="shared" si="14"/>
        <v>#DIV/0!</v>
      </c>
      <c r="EW48" s="544"/>
      <c r="EX48" s="472"/>
      <c r="EY48" s="472"/>
      <c r="EZ48" s="543"/>
      <c r="FA48" s="547"/>
      <c r="FB48" s="360"/>
    </row>
    <row r="49" spans="1:158" s="4" customFormat="1" ht="24.75" customHeight="1" x14ac:dyDescent="0.25">
      <c r="A49" s="361"/>
      <c r="B49" s="361"/>
      <c r="C49" s="361"/>
      <c r="D49" s="361"/>
      <c r="E49" s="361"/>
      <c r="F49" s="282" t="s">
        <v>4</v>
      </c>
      <c r="G49" s="125">
        <f>+AA49+BE49+CH49+CJ49+DN49</f>
        <v>375605682</v>
      </c>
      <c r="H49" s="124">
        <v>0</v>
      </c>
      <c r="I49" s="137"/>
      <c r="J49" s="137"/>
      <c r="K49" s="137"/>
      <c r="L49" s="137"/>
      <c r="M49" s="137"/>
      <c r="N49" s="137"/>
      <c r="O49" s="137"/>
      <c r="P49" s="137"/>
      <c r="Q49" s="137"/>
      <c r="R49" s="137"/>
      <c r="S49" s="137"/>
      <c r="T49" s="124"/>
      <c r="U49" s="124"/>
      <c r="V49" s="124"/>
      <c r="W49" s="124">
        <v>0</v>
      </c>
      <c r="X49" s="124">
        <v>0</v>
      </c>
      <c r="Y49" s="124">
        <v>0</v>
      </c>
      <c r="Z49" s="124">
        <v>0</v>
      </c>
      <c r="AA49" s="124">
        <v>0</v>
      </c>
      <c r="AB49" s="124">
        <v>282323662</v>
      </c>
      <c r="AC49" s="124">
        <v>62610500</v>
      </c>
      <c r="AD49" s="124">
        <v>62610500</v>
      </c>
      <c r="AE49" s="124">
        <v>113705833</v>
      </c>
      <c r="AF49" s="124">
        <f>176316333-AD49</f>
        <v>113705833</v>
      </c>
      <c r="AG49" s="124">
        <v>41010499</v>
      </c>
      <c r="AH49" s="124">
        <f>217326832-AF49-AD49</f>
        <v>41010499</v>
      </c>
      <c r="AI49" s="124">
        <v>24710465</v>
      </c>
      <c r="AJ49" s="124">
        <f>242037297-AH49-AF49-AD49</f>
        <v>24710465</v>
      </c>
      <c r="AK49" s="137">
        <v>3094000</v>
      </c>
      <c r="AL49" s="137">
        <f>245131297-AJ49-AH49-AF49-AD49</f>
        <v>3094000</v>
      </c>
      <c r="AM49" s="137">
        <v>14803433</v>
      </c>
      <c r="AN49" s="137">
        <v>14803433</v>
      </c>
      <c r="AO49" s="137">
        <v>0</v>
      </c>
      <c r="AP49" s="137">
        <v>0</v>
      </c>
      <c r="AQ49" s="137">
        <f>30516833-3961969-22793465</f>
        <v>3761399</v>
      </c>
      <c r="AR49" s="137">
        <v>0</v>
      </c>
      <c r="AS49" s="137">
        <f>10636900+601</f>
        <v>10637501</v>
      </c>
      <c r="AT49" s="137">
        <v>0</v>
      </c>
      <c r="AU49" s="137"/>
      <c r="AV49" s="137">
        <v>0</v>
      </c>
      <c r="AW49" s="137">
        <v>0</v>
      </c>
      <c r="AX49" s="137">
        <v>1870410</v>
      </c>
      <c r="AY49" s="137"/>
      <c r="AZ49" s="137"/>
      <c r="BA49" s="124">
        <f>AY49+AW49+AU49+AS49+AQ49+AO49+AM49+AK49+AI49+AG49+AE49+AC49</f>
        <v>274333630</v>
      </c>
      <c r="BB49" s="124">
        <f>AC49+AE49+AG49+AI49+AK49+AM49+AO49+AQ49+AS49+AU49+AW49+AY49</f>
        <v>274333630</v>
      </c>
      <c r="BC49" s="124">
        <f t="shared" si="198"/>
        <v>261805140</v>
      </c>
      <c r="BD49" s="124">
        <f>AE49+AG49+AI49+AK49+AM49+AO49+AQ49+AS49+AU49+AW49+AY49+AC49</f>
        <v>274333630</v>
      </c>
      <c r="BE49" s="124">
        <v>261805140</v>
      </c>
      <c r="BF49" s="137">
        <v>113800542</v>
      </c>
      <c r="BG49" s="137">
        <v>8850800</v>
      </c>
      <c r="BH49" s="137">
        <v>0</v>
      </c>
      <c r="BI49" s="137">
        <v>104949742</v>
      </c>
      <c r="BJ49" s="137">
        <v>51705541</v>
      </c>
      <c r="BK49" s="137"/>
      <c r="BL49" s="137">
        <v>11268600</v>
      </c>
      <c r="BM49" s="137"/>
      <c r="BN49" s="137"/>
      <c r="BO49" s="137"/>
      <c r="BP49" s="137"/>
      <c r="BQ49" s="137"/>
      <c r="BR49" s="137"/>
      <c r="BS49" s="137"/>
      <c r="BT49" s="137"/>
      <c r="BU49" s="137"/>
      <c r="BV49" s="137"/>
      <c r="BW49" s="137"/>
      <c r="BX49" s="137"/>
      <c r="BY49" s="137"/>
      <c r="BZ49" s="137"/>
      <c r="CA49" s="137"/>
      <c r="CB49" s="137"/>
      <c r="CC49" s="137"/>
      <c r="CD49" s="137"/>
      <c r="CE49" s="125">
        <f>CC49+CA49+BY49+BW49+BU49+BS49+BQ49+BO49+BM49+BK49+BI49+BG49</f>
        <v>113800542</v>
      </c>
      <c r="CF49" s="125">
        <f t="shared" si="195"/>
        <v>113800542</v>
      </c>
      <c r="CG49" s="124">
        <f t="shared" si="195"/>
        <v>62974141</v>
      </c>
      <c r="CH49" s="124">
        <f>CC49+CA49+BY49+BW49+BU49+BS49+BQ49+BO49+BM49+BK49+BI49+BG49</f>
        <v>113800542</v>
      </c>
      <c r="CI49" s="139">
        <f>+BH49+BJ49+BL49</f>
        <v>62974141</v>
      </c>
      <c r="CJ49" s="137">
        <v>0</v>
      </c>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24">
        <v>0</v>
      </c>
      <c r="DJ49" s="137">
        <v>0</v>
      </c>
      <c r="DK49" s="137">
        <v>0</v>
      </c>
      <c r="DL49" s="124">
        <v>0</v>
      </c>
      <c r="DM49" s="137">
        <v>0</v>
      </c>
      <c r="DN49" s="137">
        <v>0</v>
      </c>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109">
        <f>EI49+EG49+EE49+EC49+EA49+DY49+DW49+DU49+DS49+DQ49+DO49+EK49</f>
        <v>0</v>
      </c>
      <c r="EN49" s="98">
        <f t="shared" si="196"/>
        <v>0</v>
      </c>
      <c r="EO49" s="98">
        <f t="shared" si="197"/>
        <v>0</v>
      </c>
      <c r="EP49" s="94">
        <f>DQ49+DS49+DU49+DW49+DY49+EA49+EC49+EE49+EG49+EI49+EK49+DO49</f>
        <v>0</v>
      </c>
      <c r="EQ49" s="98">
        <f>DP49+DR49+DT49+DV49</f>
        <v>0</v>
      </c>
      <c r="ER49" s="144" t="e">
        <f t="shared" si="10"/>
        <v>#DIV/0!</v>
      </c>
      <c r="ES49" s="144">
        <f t="shared" si="11"/>
        <v>0.5533729443924793</v>
      </c>
      <c r="ET49" s="145">
        <f t="shared" si="12"/>
        <v>0.5533729443924793</v>
      </c>
      <c r="EU49" s="145">
        <f t="shared" si="13"/>
        <v>0.83677064383807975</v>
      </c>
      <c r="EV49" s="145">
        <f t="shared" si="14"/>
        <v>0.86468149062771638</v>
      </c>
      <c r="EW49" s="544"/>
      <c r="EX49" s="472"/>
      <c r="EY49" s="472"/>
      <c r="EZ49" s="543"/>
      <c r="FA49" s="547"/>
      <c r="FB49" s="360"/>
    </row>
    <row r="50" spans="1:158" s="4" customFormat="1" ht="24.75" customHeight="1" thickBot="1" x14ac:dyDescent="0.3">
      <c r="A50" s="361"/>
      <c r="B50" s="361"/>
      <c r="C50" s="361"/>
      <c r="D50" s="361"/>
      <c r="E50" s="361"/>
      <c r="F50" s="281" t="s">
        <v>42</v>
      </c>
      <c r="G50" s="622">
        <f>+G45+G48</f>
        <v>7948</v>
      </c>
      <c r="H50" s="622">
        <f>+H45+H48</f>
        <v>1292</v>
      </c>
      <c r="I50" s="622">
        <f t="shared" ref="I50:AZ50" si="199">+I45+I48</f>
        <v>0</v>
      </c>
      <c r="J50" s="622">
        <f t="shared" si="199"/>
        <v>0</v>
      </c>
      <c r="K50" s="622">
        <f t="shared" si="199"/>
        <v>0</v>
      </c>
      <c r="L50" s="622">
        <f t="shared" si="199"/>
        <v>0</v>
      </c>
      <c r="M50" s="622">
        <f t="shared" si="199"/>
        <v>0</v>
      </c>
      <c r="N50" s="622">
        <f t="shared" si="199"/>
        <v>0</v>
      </c>
      <c r="O50" s="622">
        <f t="shared" si="199"/>
        <v>0</v>
      </c>
      <c r="P50" s="622">
        <f t="shared" si="199"/>
        <v>0</v>
      </c>
      <c r="Q50" s="622">
        <f t="shared" si="199"/>
        <v>0</v>
      </c>
      <c r="R50" s="622">
        <f t="shared" si="199"/>
        <v>0</v>
      </c>
      <c r="S50" s="622">
        <f t="shared" si="199"/>
        <v>0</v>
      </c>
      <c r="T50" s="622">
        <f t="shared" si="199"/>
        <v>0</v>
      </c>
      <c r="U50" s="622">
        <f t="shared" si="199"/>
        <v>0</v>
      </c>
      <c r="V50" s="622">
        <f t="shared" si="199"/>
        <v>0</v>
      </c>
      <c r="W50" s="622">
        <f>+W45+W48</f>
        <v>1292</v>
      </c>
      <c r="X50" s="622">
        <f>+X45+X48</f>
        <v>1292</v>
      </c>
      <c r="Y50" s="622">
        <f t="shared" si="199"/>
        <v>1292</v>
      </c>
      <c r="Z50" s="622">
        <f>+Z45+Z48</f>
        <v>1292</v>
      </c>
      <c r="AA50" s="622">
        <f t="shared" si="199"/>
        <v>1292</v>
      </c>
      <c r="AB50" s="595">
        <f>+AB45+AB48</f>
        <v>759</v>
      </c>
      <c r="AC50" s="622">
        <f>+AC45+AC48</f>
        <v>51</v>
      </c>
      <c r="AD50" s="622">
        <f t="shared" si="199"/>
        <v>278</v>
      </c>
      <c r="AE50" s="622">
        <f t="shared" si="199"/>
        <v>66</v>
      </c>
      <c r="AF50" s="622">
        <f t="shared" si="199"/>
        <v>211</v>
      </c>
      <c r="AG50" s="622">
        <f t="shared" si="199"/>
        <v>66</v>
      </c>
      <c r="AH50" s="622">
        <f t="shared" si="199"/>
        <v>837</v>
      </c>
      <c r="AI50" s="622">
        <f t="shared" si="199"/>
        <v>473</v>
      </c>
      <c r="AJ50" s="622">
        <f t="shared" si="199"/>
        <v>488</v>
      </c>
      <c r="AK50" s="622">
        <f t="shared" si="199"/>
        <v>2050</v>
      </c>
      <c r="AL50" s="622">
        <f t="shared" si="199"/>
        <v>892</v>
      </c>
      <c r="AM50" s="622">
        <f t="shared" si="199"/>
        <v>295</v>
      </c>
      <c r="AN50" s="622">
        <f t="shared" ref="AN50" si="200">+AN45+AN48</f>
        <v>798</v>
      </c>
      <c r="AO50" s="622">
        <f t="shared" si="199"/>
        <v>295</v>
      </c>
      <c r="AP50" s="622">
        <f t="shared" si="199"/>
        <v>265</v>
      </c>
      <c r="AQ50" s="622">
        <f t="shared" si="199"/>
        <v>295</v>
      </c>
      <c r="AR50" s="622">
        <f t="shared" si="199"/>
        <v>203</v>
      </c>
      <c r="AS50" s="622">
        <f t="shared" si="199"/>
        <v>295</v>
      </c>
      <c r="AT50" s="622">
        <f t="shared" si="199"/>
        <v>294</v>
      </c>
      <c r="AU50" s="622">
        <f t="shared" si="199"/>
        <v>295</v>
      </c>
      <c r="AV50" s="622">
        <f t="shared" ref="AV50:AX50" si="201">+AV45+AV48</f>
        <v>575</v>
      </c>
      <c r="AW50" s="622">
        <f t="shared" si="199"/>
        <v>295</v>
      </c>
      <c r="AX50" s="622">
        <f t="shared" si="201"/>
        <v>57</v>
      </c>
      <c r="AY50" s="622">
        <f t="shared" si="199"/>
        <v>474</v>
      </c>
      <c r="AZ50" s="622">
        <f t="shared" si="199"/>
        <v>52</v>
      </c>
      <c r="BA50" s="622">
        <f t="shared" ref="BA50:BF51" si="202">+BA45+BA48</f>
        <v>4950</v>
      </c>
      <c r="BB50" s="595">
        <f t="shared" si="202"/>
        <v>4950</v>
      </c>
      <c r="BC50" s="595">
        <f t="shared" si="202"/>
        <v>4950</v>
      </c>
      <c r="BD50" s="595">
        <f t="shared" si="202"/>
        <v>4950</v>
      </c>
      <c r="BE50" s="595">
        <f t="shared" si="202"/>
        <v>4950</v>
      </c>
      <c r="BF50" s="595">
        <f t="shared" si="202"/>
        <v>1097</v>
      </c>
      <c r="BG50" s="595">
        <f t="shared" ref="BG50:CD50" si="203">+BG45+BG48</f>
        <v>85</v>
      </c>
      <c r="BH50" s="595">
        <f t="shared" si="203"/>
        <v>0</v>
      </c>
      <c r="BI50" s="595">
        <f t="shared" si="203"/>
        <v>92</v>
      </c>
      <c r="BJ50" s="595">
        <f t="shared" ref="BJ50" si="204">+BJ45+BJ48</f>
        <v>32</v>
      </c>
      <c r="BK50" s="595">
        <f t="shared" si="203"/>
        <v>92</v>
      </c>
      <c r="BL50" s="595">
        <f t="shared" si="203"/>
        <v>55</v>
      </c>
      <c r="BM50" s="595">
        <f t="shared" si="203"/>
        <v>92</v>
      </c>
      <c r="BN50" s="595">
        <f t="shared" si="203"/>
        <v>0</v>
      </c>
      <c r="BO50" s="595">
        <f t="shared" si="203"/>
        <v>92</v>
      </c>
      <c r="BP50" s="595">
        <f t="shared" si="203"/>
        <v>0</v>
      </c>
      <c r="BQ50" s="595">
        <f t="shared" si="203"/>
        <v>99</v>
      </c>
      <c r="BR50" s="595">
        <f t="shared" si="203"/>
        <v>0</v>
      </c>
      <c r="BS50" s="595">
        <f t="shared" si="203"/>
        <v>92</v>
      </c>
      <c r="BT50" s="595">
        <f t="shared" si="203"/>
        <v>0</v>
      </c>
      <c r="BU50" s="595">
        <f t="shared" si="203"/>
        <v>92</v>
      </c>
      <c r="BV50" s="595">
        <f t="shared" si="203"/>
        <v>0</v>
      </c>
      <c r="BW50" s="595">
        <f t="shared" si="203"/>
        <v>92</v>
      </c>
      <c r="BX50" s="595">
        <f t="shared" si="203"/>
        <v>0</v>
      </c>
      <c r="BY50" s="595">
        <f t="shared" si="203"/>
        <v>92</v>
      </c>
      <c r="BZ50" s="595">
        <f t="shared" si="203"/>
        <v>0</v>
      </c>
      <c r="CA50" s="595">
        <f t="shared" si="203"/>
        <v>92</v>
      </c>
      <c r="CB50" s="595">
        <f t="shared" si="203"/>
        <v>0</v>
      </c>
      <c r="CC50" s="595">
        <f t="shared" si="203"/>
        <v>85</v>
      </c>
      <c r="CD50" s="595">
        <f t="shared" si="203"/>
        <v>0</v>
      </c>
      <c r="CE50" s="595">
        <f>+CE45+CE48</f>
        <v>1097</v>
      </c>
      <c r="CF50" s="595">
        <f t="shared" ref="CF50:CI50" si="205">+CF45+CF48</f>
        <v>269</v>
      </c>
      <c r="CG50" s="595">
        <f t="shared" si="205"/>
        <v>87</v>
      </c>
      <c r="CH50" s="623">
        <f t="shared" si="205"/>
        <v>1097</v>
      </c>
      <c r="CI50" s="623">
        <f t="shared" si="205"/>
        <v>87</v>
      </c>
      <c r="CJ50" s="595">
        <f t="shared" ref="CJ50:CJ51" si="206">+CJ45+CJ48</f>
        <v>370</v>
      </c>
      <c r="CK50" s="595"/>
      <c r="CL50" s="595"/>
      <c r="CM50" s="595"/>
      <c r="CN50" s="595"/>
      <c r="CO50" s="595"/>
      <c r="CP50" s="595"/>
      <c r="CQ50" s="595"/>
      <c r="CR50" s="595"/>
      <c r="CS50" s="595"/>
      <c r="CT50" s="595"/>
      <c r="CU50" s="595"/>
      <c r="CV50" s="595"/>
      <c r="CW50" s="595"/>
      <c r="CX50" s="595"/>
      <c r="CY50" s="595"/>
      <c r="CZ50" s="595"/>
      <c r="DA50" s="595"/>
      <c r="DB50" s="595"/>
      <c r="DC50" s="595"/>
      <c r="DD50" s="595"/>
      <c r="DE50" s="595"/>
      <c r="DF50" s="595"/>
      <c r="DG50" s="595"/>
      <c r="DH50" s="595"/>
      <c r="DI50" s="595">
        <v>0</v>
      </c>
      <c r="DJ50" s="595">
        <v>0</v>
      </c>
      <c r="DK50" s="595">
        <v>0</v>
      </c>
      <c r="DL50" s="624">
        <v>0</v>
      </c>
      <c r="DM50" s="595">
        <v>0</v>
      </c>
      <c r="DN50" s="595">
        <f t="shared" ref="DN50:DN51" si="207">+DN45+DN48</f>
        <v>239</v>
      </c>
      <c r="DO50" s="636"/>
      <c r="DP50" s="636"/>
      <c r="DQ50" s="636"/>
      <c r="DR50" s="636"/>
      <c r="DS50" s="636"/>
      <c r="DT50" s="636"/>
      <c r="DU50" s="636"/>
      <c r="DV50" s="636"/>
      <c r="DW50" s="636"/>
      <c r="DX50" s="636"/>
      <c r="DY50" s="636"/>
      <c r="DZ50" s="636"/>
      <c r="EA50" s="636"/>
      <c r="EB50" s="636"/>
      <c r="EC50" s="636"/>
      <c r="ED50" s="636"/>
      <c r="EE50" s="636"/>
      <c r="EF50" s="636"/>
      <c r="EG50" s="636"/>
      <c r="EH50" s="636"/>
      <c r="EI50" s="636"/>
      <c r="EJ50" s="636"/>
      <c r="EK50" s="636"/>
      <c r="EL50" s="636"/>
      <c r="EM50" s="637">
        <f>EI50+EG50+EE50+EC50+EA50+DY50+DW50+DU50+DS50+DQ50+DO50+EK50</f>
        <v>0</v>
      </c>
      <c r="EN50" s="638">
        <f t="shared" si="196"/>
        <v>0</v>
      </c>
      <c r="EO50" s="638">
        <f t="shared" si="197"/>
        <v>0</v>
      </c>
      <c r="EP50" s="639">
        <f>DQ50+DS50+DU50+DW50+DY50+EA50+EC50+EE50+EG50+EI50+EK50+DO50</f>
        <v>0</v>
      </c>
      <c r="EQ50" s="638">
        <f>DR50+DT50+DV50+DP50</f>
        <v>0</v>
      </c>
      <c r="ER50" s="602">
        <f t="shared" si="10"/>
        <v>0.59782608695652173</v>
      </c>
      <c r="ES50" s="602">
        <f t="shared" si="11"/>
        <v>0.32342007434944237</v>
      </c>
      <c r="ET50" s="603">
        <f t="shared" si="12"/>
        <v>7.9307201458523241E-2</v>
      </c>
      <c r="EU50" s="603">
        <f t="shared" si="13"/>
        <v>0.86237907071808151</v>
      </c>
      <c r="EV50" s="603">
        <f t="shared" si="14"/>
        <v>0.79630095621540009</v>
      </c>
      <c r="EW50" s="544"/>
      <c r="EX50" s="472"/>
      <c r="EY50" s="472"/>
      <c r="EZ50" s="543"/>
      <c r="FA50" s="547"/>
      <c r="FB50" s="360"/>
    </row>
    <row r="51" spans="1:158" s="33" customFormat="1" ht="24.75" customHeight="1" thickBot="1" x14ac:dyDescent="0.3">
      <c r="A51" s="361"/>
      <c r="B51" s="361"/>
      <c r="C51" s="361"/>
      <c r="D51" s="361"/>
      <c r="E51" s="361"/>
      <c r="F51" s="590" t="s">
        <v>44</v>
      </c>
      <c r="G51" s="611">
        <f>+G46+G49</f>
        <v>6868059481</v>
      </c>
      <c r="H51" s="612">
        <f>+H46+H49</f>
        <v>658814131</v>
      </c>
      <c r="I51" s="612">
        <f t="shared" ref="I51:AZ51" si="208">+I46+I49</f>
        <v>0</v>
      </c>
      <c r="J51" s="612">
        <f t="shared" si="208"/>
        <v>0</v>
      </c>
      <c r="K51" s="612">
        <f t="shared" si="208"/>
        <v>0</v>
      </c>
      <c r="L51" s="612">
        <f t="shared" si="208"/>
        <v>0</v>
      </c>
      <c r="M51" s="612">
        <f t="shared" si="208"/>
        <v>0</v>
      </c>
      <c r="N51" s="612">
        <f t="shared" si="208"/>
        <v>0</v>
      </c>
      <c r="O51" s="612">
        <f t="shared" si="208"/>
        <v>0</v>
      </c>
      <c r="P51" s="612">
        <f t="shared" si="208"/>
        <v>0</v>
      </c>
      <c r="Q51" s="612">
        <f t="shared" si="208"/>
        <v>0</v>
      </c>
      <c r="R51" s="612">
        <f t="shared" si="208"/>
        <v>0</v>
      </c>
      <c r="S51" s="612">
        <f t="shared" si="208"/>
        <v>0</v>
      </c>
      <c r="T51" s="612">
        <f t="shared" si="208"/>
        <v>0</v>
      </c>
      <c r="U51" s="612">
        <f t="shared" si="208"/>
        <v>0</v>
      </c>
      <c r="V51" s="612">
        <f t="shared" si="208"/>
        <v>0</v>
      </c>
      <c r="W51" s="612">
        <f>+W46+W49</f>
        <v>658814131</v>
      </c>
      <c r="X51" s="612">
        <f>+X46+X49</f>
        <v>658814131</v>
      </c>
      <c r="Y51" s="612">
        <f t="shared" si="208"/>
        <v>644978000</v>
      </c>
      <c r="Z51" s="612">
        <f>+Z46+Z49</f>
        <v>658814131</v>
      </c>
      <c r="AA51" s="612">
        <f t="shared" si="208"/>
        <v>644978000</v>
      </c>
      <c r="AB51" s="633">
        <f>+AB46+AB49</f>
        <v>1576471662</v>
      </c>
      <c r="AC51" s="612">
        <f t="shared" si="208"/>
        <v>62610500</v>
      </c>
      <c r="AD51" s="612">
        <f t="shared" si="208"/>
        <v>62610500</v>
      </c>
      <c r="AE51" s="612">
        <f t="shared" si="208"/>
        <v>498988833</v>
      </c>
      <c r="AF51" s="612">
        <f t="shared" si="208"/>
        <v>498988833</v>
      </c>
      <c r="AG51" s="612">
        <f t="shared" si="208"/>
        <v>793706499</v>
      </c>
      <c r="AH51" s="612">
        <f t="shared" si="208"/>
        <v>793706499</v>
      </c>
      <c r="AI51" s="612">
        <f t="shared" si="208"/>
        <v>24710465</v>
      </c>
      <c r="AJ51" s="612">
        <f t="shared" si="208"/>
        <v>24710465</v>
      </c>
      <c r="AK51" s="612">
        <f t="shared" si="208"/>
        <v>27160000</v>
      </c>
      <c r="AL51" s="612">
        <f>+AL46+AL49</f>
        <v>27160000</v>
      </c>
      <c r="AM51" s="612">
        <f t="shared" si="208"/>
        <v>14803433</v>
      </c>
      <c r="AN51" s="612">
        <f t="shared" ref="AN51" si="209">+AN46+AN49</f>
        <v>14803433</v>
      </c>
      <c r="AO51" s="612">
        <f t="shared" si="208"/>
        <v>0</v>
      </c>
      <c r="AP51" s="612">
        <f t="shared" si="208"/>
        <v>0</v>
      </c>
      <c r="AQ51" s="612">
        <f t="shared" si="208"/>
        <v>47795732.333333336</v>
      </c>
      <c r="AR51" s="612">
        <f t="shared" si="208"/>
        <v>0</v>
      </c>
      <c r="AS51" s="612">
        <f t="shared" si="208"/>
        <v>54671834.333333336</v>
      </c>
      <c r="AT51" s="612">
        <f t="shared" si="208"/>
        <v>24595500</v>
      </c>
      <c r="AU51" s="612">
        <f t="shared" si="208"/>
        <v>44034333.333333336</v>
      </c>
      <c r="AV51" s="612">
        <f t="shared" ref="AV51:AX51" si="210">+AV46+AV49</f>
        <v>15965667</v>
      </c>
      <c r="AW51" s="612">
        <f t="shared" si="208"/>
        <v>0</v>
      </c>
      <c r="AX51" s="612">
        <f t="shared" si="210"/>
        <v>63441009</v>
      </c>
      <c r="AY51" s="612">
        <f t="shared" si="208"/>
        <v>0</v>
      </c>
      <c r="AZ51" s="612">
        <f t="shared" si="208"/>
        <v>8140033</v>
      </c>
      <c r="BA51" s="613">
        <f t="shared" ref="BA51:BE51" si="211">+BA46+BA49</f>
        <v>1568481630</v>
      </c>
      <c r="BB51" s="614">
        <f t="shared" si="211"/>
        <v>1568481629.9999998</v>
      </c>
      <c r="BC51" s="614">
        <f t="shared" si="211"/>
        <v>1534121939</v>
      </c>
      <c r="BD51" s="614">
        <f t="shared" si="211"/>
        <v>1568481629.9999998</v>
      </c>
      <c r="BE51" s="614">
        <f t="shared" si="211"/>
        <v>1534121939</v>
      </c>
      <c r="BF51" s="614">
        <f t="shared" si="202"/>
        <v>1682633542</v>
      </c>
      <c r="BG51" s="614">
        <f t="shared" ref="BG51:CD51" si="212">+BG46+BG49</f>
        <v>1452531800</v>
      </c>
      <c r="BH51" s="614">
        <f t="shared" si="212"/>
        <v>1487818000</v>
      </c>
      <c r="BI51" s="614">
        <f>+BI46+BI49</f>
        <v>104949742</v>
      </c>
      <c r="BJ51" s="614">
        <f>+BJ46+BJ49</f>
        <v>51705541</v>
      </c>
      <c r="BK51" s="614">
        <f t="shared" si="212"/>
        <v>131034000</v>
      </c>
      <c r="BL51" s="614">
        <f t="shared" si="212"/>
        <v>11268600</v>
      </c>
      <c r="BM51" s="614">
        <f t="shared" si="212"/>
        <v>0</v>
      </c>
      <c r="BN51" s="614">
        <f t="shared" si="212"/>
        <v>0</v>
      </c>
      <c r="BO51" s="614">
        <f t="shared" si="212"/>
        <v>0</v>
      </c>
      <c r="BP51" s="614">
        <f t="shared" si="212"/>
        <v>0</v>
      </c>
      <c r="BQ51" s="614">
        <f t="shared" si="212"/>
        <v>7278000</v>
      </c>
      <c r="BR51" s="614">
        <f t="shared" si="212"/>
        <v>0</v>
      </c>
      <c r="BS51" s="614">
        <f t="shared" si="212"/>
        <v>0</v>
      </c>
      <c r="BT51" s="614">
        <f t="shared" si="212"/>
        <v>0</v>
      </c>
      <c r="BU51" s="614">
        <f t="shared" si="212"/>
        <v>0</v>
      </c>
      <c r="BV51" s="614">
        <f t="shared" si="212"/>
        <v>0</v>
      </c>
      <c r="BW51" s="614">
        <f t="shared" si="212"/>
        <v>35000000</v>
      </c>
      <c r="BX51" s="614">
        <f t="shared" si="212"/>
        <v>0</v>
      </c>
      <c r="BY51" s="614">
        <f t="shared" si="212"/>
        <v>0</v>
      </c>
      <c r="BZ51" s="614">
        <f t="shared" si="212"/>
        <v>0</v>
      </c>
      <c r="CA51" s="614">
        <f t="shared" si="212"/>
        <v>0</v>
      </c>
      <c r="CB51" s="614">
        <f t="shared" si="212"/>
        <v>0</v>
      </c>
      <c r="CC51" s="614">
        <f t="shared" si="212"/>
        <v>0</v>
      </c>
      <c r="CD51" s="614">
        <f t="shared" si="212"/>
        <v>0</v>
      </c>
      <c r="CE51" s="614">
        <f>+CE46+CE49</f>
        <v>1730793542</v>
      </c>
      <c r="CF51" s="614">
        <f t="shared" ref="CF51:CI51" si="213">+CF46+CF49</f>
        <v>1688515542</v>
      </c>
      <c r="CG51" s="614">
        <f t="shared" si="213"/>
        <v>1550792141</v>
      </c>
      <c r="CH51" s="613">
        <f t="shared" si="213"/>
        <v>1730793542</v>
      </c>
      <c r="CI51" s="613">
        <f t="shared" si="213"/>
        <v>1550792141</v>
      </c>
      <c r="CJ51" s="614">
        <f t="shared" si="206"/>
        <v>1939781000</v>
      </c>
      <c r="CK51" s="612"/>
      <c r="CL51" s="612"/>
      <c r="CM51" s="612"/>
      <c r="CN51" s="612"/>
      <c r="CO51" s="612"/>
      <c r="CP51" s="612"/>
      <c r="CQ51" s="612"/>
      <c r="CR51" s="612"/>
      <c r="CS51" s="612"/>
      <c r="CT51" s="612"/>
      <c r="CU51" s="612"/>
      <c r="CV51" s="612"/>
      <c r="CW51" s="612"/>
      <c r="CX51" s="612"/>
      <c r="CY51" s="612"/>
      <c r="CZ51" s="612"/>
      <c r="DA51" s="612"/>
      <c r="DB51" s="612"/>
      <c r="DC51" s="612"/>
      <c r="DD51" s="612"/>
      <c r="DE51" s="612"/>
      <c r="DF51" s="612"/>
      <c r="DG51" s="612"/>
      <c r="DH51" s="612"/>
      <c r="DI51" s="613">
        <v>0</v>
      </c>
      <c r="DJ51" s="614">
        <v>0</v>
      </c>
      <c r="DK51" s="614">
        <v>0</v>
      </c>
      <c r="DL51" s="613">
        <v>0</v>
      </c>
      <c r="DM51" s="614">
        <v>0</v>
      </c>
      <c r="DN51" s="614">
        <f t="shared" si="207"/>
        <v>1018385000</v>
      </c>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2">
        <f>EK51+EI51+EG51+EE51+EC51+EA51+DY51+DW51+DU51+DS51+DQ51+DO51</f>
        <v>0</v>
      </c>
      <c r="EN51" s="643">
        <f t="shared" ref="EN51" si="214">+EN46+EN49</f>
        <v>0</v>
      </c>
      <c r="EO51" s="644">
        <f t="shared" ref="EO51" si="215">EO46+EO49</f>
        <v>0</v>
      </c>
      <c r="EP51" s="643">
        <f t="shared" ref="EP51:EQ51" si="216">+EP46+EP49</f>
        <v>0</v>
      </c>
      <c r="EQ51" s="643">
        <f t="shared" si="216"/>
        <v>0</v>
      </c>
      <c r="ER51" s="619">
        <f t="shared" si="10"/>
        <v>8.5997527359311321E-2</v>
      </c>
      <c r="ES51" s="619">
        <f t="shared" si="11"/>
        <v>0.91843521864366706</v>
      </c>
      <c r="ET51" s="620">
        <f t="shared" si="12"/>
        <v>0.89600065135902851</v>
      </c>
      <c r="EU51" s="620">
        <f t="shared" si="13"/>
        <v>0.94234662092463661</v>
      </c>
      <c r="EV51" s="621">
        <f t="shared" si="14"/>
        <v>0.5430780106547537</v>
      </c>
      <c r="EW51" s="635"/>
      <c r="EX51" s="457"/>
      <c r="EY51" s="457"/>
      <c r="EZ51" s="543"/>
      <c r="FA51" s="547"/>
      <c r="FB51" s="360"/>
    </row>
    <row r="52" spans="1:158" s="4" customFormat="1" ht="24.75" customHeight="1" x14ac:dyDescent="0.25">
      <c r="A52" s="361" t="s">
        <v>308</v>
      </c>
      <c r="B52" s="361">
        <v>7</v>
      </c>
      <c r="C52" s="361" t="s">
        <v>314</v>
      </c>
      <c r="D52" s="361" t="s">
        <v>271</v>
      </c>
      <c r="E52" s="361">
        <v>268</v>
      </c>
      <c r="F52" s="281" t="s">
        <v>40</v>
      </c>
      <c r="G52" s="565">
        <v>1</v>
      </c>
      <c r="H52" s="565">
        <v>1</v>
      </c>
      <c r="I52" s="565">
        <v>1</v>
      </c>
      <c r="J52" s="565">
        <v>1</v>
      </c>
      <c r="K52" s="565">
        <v>1</v>
      </c>
      <c r="L52" s="565">
        <v>1</v>
      </c>
      <c r="M52" s="565">
        <v>1</v>
      </c>
      <c r="N52" s="565">
        <v>1</v>
      </c>
      <c r="O52" s="565">
        <v>1</v>
      </c>
      <c r="P52" s="565">
        <v>1</v>
      </c>
      <c r="Q52" s="565">
        <v>1</v>
      </c>
      <c r="R52" s="565">
        <v>1</v>
      </c>
      <c r="S52" s="565">
        <v>1</v>
      </c>
      <c r="T52" s="565">
        <v>1</v>
      </c>
      <c r="U52" s="565">
        <v>1</v>
      </c>
      <c r="V52" s="565">
        <v>1</v>
      </c>
      <c r="W52" s="565">
        <v>1</v>
      </c>
      <c r="X52" s="565">
        <v>1</v>
      </c>
      <c r="Y52" s="565">
        <v>1</v>
      </c>
      <c r="Z52" s="565">
        <v>1</v>
      </c>
      <c r="AA52" s="565">
        <v>1</v>
      </c>
      <c r="AB52" s="565">
        <v>1</v>
      </c>
      <c r="AC52" s="565">
        <v>1</v>
      </c>
      <c r="AD52" s="565">
        <v>1</v>
      </c>
      <c r="AE52" s="565">
        <v>1</v>
      </c>
      <c r="AF52" s="565">
        <v>1</v>
      </c>
      <c r="AG52" s="565">
        <v>1</v>
      </c>
      <c r="AH52" s="565">
        <v>1</v>
      </c>
      <c r="AI52" s="565">
        <v>1</v>
      </c>
      <c r="AJ52" s="565">
        <v>0.64</v>
      </c>
      <c r="AK52" s="565">
        <v>1</v>
      </c>
      <c r="AL52" s="565">
        <v>0.877</v>
      </c>
      <c r="AM52" s="565">
        <v>1</v>
      </c>
      <c r="AN52" s="656">
        <v>0.91600000000000004</v>
      </c>
      <c r="AO52" s="565">
        <v>1</v>
      </c>
      <c r="AP52" s="565">
        <v>1</v>
      </c>
      <c r="AQ52" s="565">
        <v>1</v>
      </c>
      <c r="AR52" s="656">
        <v>0.91300000000000003</v>
      </c>
      <c r="AS52" s="565">
        <v>1</v>
      </c>
      <c r="AT52" s="565">
        <v>1</v>
      </c>
      <c r="AU52" s="565">
        <v>1</v>
      </c>
      <c r="AV52" s="656">
        <v>1</v>
      </c>
      <c r="AW52" s="565">
        <v>1</v>
      </c>
      <c r="AX52" s="565">
        <v>1</v>
      </c>
      <c r="AY52" s="565">
        <v>1</v>
      </c>
      <c r="AZ52" s="656">
        <v>1</v>
      </c>
      <c r="BA52" s="565">
        <f>+AB52</f>
        <v>1</v>
      </c>
      <c r="BB52" s="565">
        <f>+AY52</f>
        <v>1</v>
      </c>
      <c r="BC52" s="565">
        <f>+AZ52</f>
        <v>1</v>
      </c>
      <c r="BD52" s="565">
        <f>+G52</f>
        <v>1</v>
      </c>
      <c r="BE52" s="565">
        <f>+AZ52</f>
        <v>1</v>
      </c>
      <c r="BF52" s="565">
        <v>1</v>
      </c>
      <c r="BG52" s="565">
        <v>1</v>
      </c>
      <c r="BH52" s="565">
        <v>1</v>
      </c>
      <c r="BI52" s="565">
        <v>1</v>
      </c>
      <c r="BJ52" s="565">
        <v>1</v>
      </c>
      <c r="BK52" s="565">
        <v>1</v>
      </c>
      <c r="BL52" s="565">
        <v>1</v>
      </c>
      <c r="BM52" s="565">
        <v>1</v>
      </c>
      <c r="BN52" s="566"/>
      <c r="BO52" s="565">
        <v>1</v>
      </c>
      <c r="BP52" s="566"/>
      <c r="BQ52" s="565">
        <v>1</v>
      </c>
      <c r="BR52" s="566"/>
      <c r="BS52" s="565">
        <v>1</v>
      </c>
      <c r="BT52" s="566"/>
      <c r="BU52" s="565">
        <v>1</v>
      </c>
      <c r="BV52" s="566"/>
      <c r="BW52" s="565">
        <v>1</v>
      </c>
      <c r="BX52" s="566"/>
      <c r="BY52" s="565">
        <v>1</v>
      </c>
      <c r="BZ52" s="566"/>
      <c r="CA52" s="565">
        <v>1</v>
      </c>
      <c r="CB52" s="566"/>
      <c r="CC52" s="565">
        <v>1</v>
      </c>
      <c r="CD52" s="566"/>
      <c r="CE52" s="565">
        <f>+BF52</f>
        <v>1</v>
      </c>
      <c r="CF52" s="565">
        <f>+BK52</f>
        <v>1</v>
      </c>
      <c r="CG52" s="565">
        <f>+BL52</f>
        <v>1</v>
      </c>
      <c r="CH52" s="565">
        <f>+BK52</f>
        <v>1</v>
      </c>
      <c r="CI52" s="565">
        <f>+BL52</f>
        <v>1</v>
      </c>
      <c r="CJ52" s="565">
        <v>1</v>
      </c>
      <c r="CK52" s="565"/>
      <c r="CL52" s="565"/>
      <c r="CM52" s="565"/>
      <c r="CN52" s="565"/>
      <c r="CO52" s="565"/>
      <c r="CP52" s="565"/>
      <c r="CQ52" s="565"/>
      <c r="CR52" s="565"/>
      <c r="CS52" s="565"/>
      <c r="CT52" s="565"/>
      <c r="CU52" s="565"/>
      <c r="CV52" s="565"/>
      <c r="CW52" s="565"/>
      <c r="CX52" s="565"/>
      <c r="CY52" s="565"/>
      <c r="CZ52" s="565"/>
      <c r="DA52" s="565"/>
      <c r="DB52" s="565"/>
      <c r="DC52" s="565"/>
      <c r="DD52" s="565"/>
      <c r="DE52" s="565"/>
      <c r="DF52" s="565"/>
      <c r="DG52" s="565"/>
      <c r="DH52" s="565"/>
      <c r="DI52" s="565">
        <f t="shared" ref="DI52" si="217">DG52+DE52+DC52+DA52+CY52+CW52+CU52+CS52+CQ52+CO52+CM52+CK52</f>
        <v>0</v>
      </c>
      <c r="DJ52" s="565">
        <f t="shared" ref="DJ52" si="218">CK52+CM52+CO52+CQ52</f>
        <v>0</v>
      </c>
      <c r="DK52" s="565">
        <f t="shared" ref="DK52" si="219">CL52+CN52+CP52+CR52</f>
        <v>0</v>
      </c>
      <c r="DL52" s="565">
        <f t="shared" ref="DL52" si="220">CM52+CO52+CQ52+CS52+CU52+CW52+CY52+DA52+DC52+DE52+DG52+CK52</f>
        <v>0</v>
      </c>
      <c r="DM52" s="565">
        <f t="shared" ref="DM52" si="221">CL52+CN52+CP52+CR52</f>
        <v>0</v>
      </c>
      <c r="DN52" s="565">
        <v>1</v>
      </c>
      <c r="DO52" s="657"/>
      <c r="DP52" s="657"/>
      <c r="DQ52" s="657"/>
      <c r="DR52" s="657"/>
      <c r="DS52" s="657"/>
      <c r="DT52" s="657"/>
      <c r="DU52" s="657"/>
      <c r="DV52" s="657"/>
      <c r="DW52" s="657"/>
      <c r="DX52" s="657"/>
      <c r="DY52" s="657"/>
      <c r="DZ52" s="657"/>
      <c r="EA52" s="657"/>
      <c r="EB52" s="657"/>
      <c r="EC52" s="657"/>
      <c r="ED52" s="657"/>
      <c r="EE52" s="657"/>
      <c r="EF52" s="657"/>
      <c r="EG52" s="658"/>
      <c r="EH52" s="658"/>
      <c r="EI52" s="658"/>
      <c r="EJ52" s="658"/>
      <c r="EK52" s="658"/>
      <c r="EL52" s="658"/>
      <c r="EM52" s="647">
        <f>EK52+EI52+EG52+EE52+EC52+EA52+DY52+DW52+DU52+DS52+DQ52+DO52</f>
        <v>0</v>
      </c>
      <c r="EN52" s="659">
        <f t="shared" ref="EN52:EN56" si="222">DO52+DQ52+DS52+DU52</f>
        <v>0</v>
      </c>
      <c r="EO52" s="646">
        <f t="shared" ref="EO52:EO57" si="223">DP52+DR52+DT52+DV52</f>
        <v>0</v>
      </c>
      <c r="EP52" s="646">
        <f>DQ52+DS52+DU52+DW52+DY52+EA52+EC52+EE52+EG52+EI52+EK52+DO52</f>
        <v>0</v>
      </c>
      <c r="EQ52" s="659">
        <f>DP52+DR52+DT52+DV52</f>
        <v>0</v>
      </c>
      <c r="ER52" s="609">
        <f t="shared" si="10"/>
        <v>1</v>
      </c>
      <c r="ES52" s="609">
        <f t="shared" si="11"/>
        <v>1</v>
      </c>
      <c r="ET52" s="610">
        <f t="shared" si="12"/>
        <v>1</v>
      </c>
      <c r="EU52" s="610">
        <f t="shared" si="13"/>
        <v>1</v>
      </c>
      <c r="EV52" s="610">
        <f>+(AA52+BE52+CI52)/500%</f>
        <v>0.6</v>
      </c>
      <c r="EW52" s="544" t="s">
        <v>640</v>
      </c>
      <c r="EX52" s="361" t="s">
        <v>576</v>
      </c>
      <c r="EY52" s="361" t="s">
        <v>576</v>
      </c>
      <c r="EZ52" s="361" t="s">
        <v>574</v>
      </c>
      <c r="FA52" s="361" t="s">
        <v>575</v>
      </c>
      <c r="FB52" s="360"/>
    </row>
    <row r="53" spans="1:158" s="58" customFormat="1" ht="24.75" customHeight="1" x14ac:dyDescent="0.25">
      <c r="A53" s="361"/>
      <c r="B53" s="361"/>
      <c r="C53" s="361"/>
      <c r="D53" s="361"/>
      <c r="E53" s="361"/>
      <c r="F53" s="282" t="s">
        <v>3</v>
      </c>
      <c r="G53" s="125">
        <f>+AA53+BE53+CH53+CJ53+DN53</f>
        <v>2942502365</v>
      </c>
      <c r="H53" s="124">
        <v>450000000</v>
      </c>
      <c r="I53" s="125"/>
      <c r="J53" s="125"/>
      <c r="K53" s="125"/>
      <c r="L53" s="125"/>
      <c r="M53" s="125"/>
      <c r="N53" s="125"/>
      <c r="O53" s="125"/>
      <c r="P53" s="125"/>
      <c r="Q53" s="125"/>
      <c r="R53" s="125"/>
      <c r="S53" s="125"/>
      <c r="T53" s="124"/>
      <c r="U53" s="139"/>
      <c r="V53" s="139"/>
      <c r="W53" s="124">
        <v>450000000</v>
      </c>
      <c r="X53" s="124">
        <v>450000000</v>
      </c>
      <c r="Y53" s="124">
        <v>447516000</v>
      </c>
      <c r="Z53" s="124">
        <v>450000000</v>
      </c>
      <c r="AA53" s="124">
        <v>447516000</v>
      </c>
      <c r="AB53" s="124">
        <v>691670000</v>
      </c>
      <c r="AC53" s="125">
        <v>0</v>
      </c>
      <c r="AD53" s="125">
        <v>0</v>
      </c>
      <c r="AE53" s="125">
        <v>326043000</v>
      </c>
      <c r="AF53" s="125">
        <f>326043000-AD53</f>
        <v>326043000</v>
      </c>
      <c r="AG53" s="125">
        <v>89595000</v>
      </c>
      <c r="AH53" s="125">
        <f>415638000-AF53-AD53</f>
        <v>89595000</v>
      </c>
      <c r="AI53" s="125">
        <v>100480000</v>
      </c>
      <c r="AJ53" s="125">
        <f>516118000-AH53-AF53-AD53</f>
        <v>100480000</v>
      </c>
      <c r="AK53" s="125">
        <v>0</v>
      </c>
      <c r="AL53" s="125">
        <f>516118000-AJ53-AH53-AF53-AD53</f>
        <v>0</v>
      </c>
      <c r="AM53" s="125">
        <v>0</v>
      </c>
      <c r="AN53" s="125">
        <v>0</v>
      </c>
      <c r="AO53" s="125">
        <v>0</v>
      </c>
      <c r="AP53" s="125">
        <v>0</v>
      </c>
      <c r="AQ53" s="125">
        <f>4186666.66666667+32598400</f>
        <v>36785066.666666672</v>
      </c>
      <c r="AR53" s="125">
        <v>0</v>
      </c>
      <c r="AS53" s="125">
        <f>4186666.66666667+32598400-133727930</f>
        <v>-96942863.333333328</v>
      </c>
      <c r="AT53" s="125">
        <v>0</v>
      </c>
      <c r="AU53" s="125">
        <f>4186666.66666667+32598400</f>
        <v>36785066.666666672</v>
      </c>
      <c r="AV53" s="125">
        <v>27531699</v>
      </c>
      <c r="AW53" s="125">
        <v>32598400</v>
      </c>
      <c r="AX53" s="125">
        <v>13283666</v>
      </c>
      <c r="AY53" s="125">
        <v>32598400</v>
      </c>
      <c r="AZ53" s="125">
        <v>0</v>
      </c>
      <c r="BA53" s="125">
        <f>AY53+AW53+AU53+AS53+AQ53+AO53+AM53+AK53+AI53+AG53+AE53+AC53</f>
        <v>557942070</v>
      </c>
      <c r="BB53" s="137">
        <f>AC53+AE53+AG53+AI53+AK53+AM53+AO53+AQ53+AS53+AU53+AW53+AY53</f>
        <v>557942070</v>
      </c>
      <c r="BC53" s="125">
        <f>AD53+AF53+AH53+AJ53+AL53+AN53+AP53+AR53+AT53+AV53+AX53+AZ53</f>
        <v>556933365</v>
      </c>
      <c r="BD53" s="137">
        <f>AE53+AG53+AI53+AK53+AM53+AO53+AQ53+AS53+AU53+AW53+AY53+AC53</f>
        <v>557942070</v>
      </c>
      <c r="BE53" s="125">
        <f>AD53+AF53+AH53+AJ53+AL53+AN53+AP53+AR53+AT53+AV53+AX53+AZ53</f>
        <v>556933365</v>
      </c>
      <c r="BF53" s="137">
        <v>725040000</v>
      </c>
      <c r="BG53" s="125">
        <v>722400000</v>
      </c>
      <c r="BH53" s="125">
        <v>585413000</v>
      </c>
      <c r="BI53" s="125">
        <v>0</v>
      </c>
      <c r="BJ53" s="125">
        <v>0</v>
      </c>
      <c r="BK53" s="589">
        <v>-136987000</v>
      </c>
      <c r="BL53" s="125">
        <v>0</v>
      </c>
      <c r="BM53" s="125">
        <v>0</v>
      </c>
      <c r="BN53" s="125"/>
      <c r="BO53" s="125">
        <v>0</v>
      </c>
      <c r="BP53" s="125"/>
      <c r="BQ53" s="125">
        <v>0</v>
      </c>
      <c r="BR53" s="125"/>
      <c r="BS53" s="125">
        <v>0</v>
      </c>
      <c r="BT53" s="125"/>
      <c r="BU53" s="125">
        <v>2640000</v>
      </c>
      <c r="BV53" s="125"/>
      <c r="BW53" s="125">
        <v>0</v>
      </c>
      <c r="BX53" s="125"/>
      <c r="BY53" s="125">
        <v>0</v>
      </c>
      <c r="BZ53" s="125"/>
      <c r="CA53" s="125">
        <v>0</v>
      </c>
      <c r="CB53" s="125"/>
      <c r="CC53" s="125">
        <v>0</v>
      </c>
      <c r="CD53" s="125"/>
      <c r="CE53" s="125">
        <f>CC53+CA53+BY53+BW53+BU53+BS53+BQ53+BO53+BM53+BK53+BI53+BG53</f>
        <v>588053000</v>
      </c>
      <c r="CF53" s="125">
        <f>+BG53+BI53+BK53</f>
        <v>585413000</v>
      </c>
      <c r="CG53" s="125">
        <f>+BH53+BJ53+BL53</f>
        <v>585413000</v>
      </c>
      <c r="CH53" s="124">
        <f>CC53+CA53+BY53+BW53+BU53+BS53+BQ53+BO53+BM53+BK53+BI53+BG53</f>
        <v>588053000</v>
      </c>
      <c r="CI53" s="124">
        <f>+BH53+BJ53+BL53</f>
        <v>585413000</v>
      </c>
      <c r="CJ53" s="125">
        <v>900000000</v>
      </c>
      <c r="CK53" s="125"/>
      <c r="CL53" s="125"/>
      <c r="CM53" s="125"/>
      <c r="CN53" s="125"/>
      <c r="CO53" s="125"/>
      <c r="CP53" s="125"/>
      <c r="CQ53" s="125"/>
      <c r="CR53" s="125"/>
      <c r="CS53" s="125"/>
      <c r="CT53" s="125"/>
      <c r="CU53" s="125"/>
      <c r="CV53" s="125"/>
      <c r="CW53" s="125"/>
      <c r="CX53" s="125"/>
      <c r="CY53" s="125"/>
      <c r="CZ53" s="125"/>
      <c r="DA53" s="125"/>
      <c r="DB53" s="125"/>
      <c r="DC53" s="125"/>
      <c r="DD53" s="125"/>
      <c r="DE53" s="125"/>
      <c r="DF53" s="125"/>
      <c r="DG53" s="125"/>
      <c r="DH53" s="125"/>
      <c r="DI53" s="124"/>
      <c r="DJ53" s="137"/>
      <c r="DK53" s="137"/>
      <c r="DL53" s="124"/>
      <c r="DM53" s="137"/>
      <c r="DN53" s="125">
        <v>450000000</v>
      </c>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108">
        <f>EK53+EI53+EG53+EE53+EC53+EA53+DY53+DW53+DU53+DS53+DQ53+DO53</f>
        <v>0</v>
      </c>
      <c r="EN53" s="98">
        <f t="shared" si="222"/>
        <v>0</v>
      </c>
      <c r="EO53" s="98">
        <f t="shared" si="223"/>
        <v>0</v>
      </c>
      <c r="EP53" s="99">
        <f>DQ53+DS53+DU53+DW53+DY53+EA53+EC53+EE53+EG53+EI53+EK53+DO53</f>
        <v>0</v>
      </c>
      <c r="EQ53" s="98">
        <f>DP53+DR53+DT53+DV53</f>
        <v>0</v>
      </c>
      <c r="ER53" s="144">
        <f t="shared" si="10"/>
        <v>0</v>
      </c>
      <c r="ES53" s="144">
        <f t="shared" si="11"/>
        <v>1</v>
      </c>
      <c r="ET53" s="145">
        <f t="shared" si="12"/>
        <v>0.99551060873764785</v>
      </c>
      <c r="EU53" s="145">
        <f t="shared" si="13"/>
        <v>0.99615744113796045</v>
      </c>
      <c r="EV53" s="145">
        <f t="shared" si="14"/>
        <v>0.54030963030338974</v>
      </c>
      <c r="EW53" s="544"/>
      <c r="EX53" s="361"/>
      <c r="EY53" s="361"/>
      <c r="EZ53" s="361"/>
      <c r="FA53" s="361"/>
      <c r="FB53" s="360"/>
    </row>
    <row r="54" spans="1:158" s="58" customFormat="1" ht="24.75" customHeight="1" x14ac:dyDescent="0.25">
      <c r="A54" s="361"/>
      <c r="B54" s="361"/>
      <c r="C54" s="361"/>
      <c r="D54" s="361"/>
      <c r="E54" s="361"/>
      <c r="F54" s="283" t="s">
        <v>216</v>
      </c>
      <c r="G54" s="125"/>
      <c r="H54" s="124"/>
      <c r="I54" s="125"/>
      <c r="J54" s="125"/>
      <c r="K54" s="125"/>
      <c r="L54" s="125"/>
      <c r="M54" s="125"/>
      <c r="N54" s="125"/>
      <c r="O54" s="125"/>
      <c r="P54" s="125"/>
      <c r="Q54" s="125"/>
      <c r="R54" s="125"/>
      <c r="S54" s="125"/>
      <c r="T54" s="124"/>
      <c r="U54" s="139"/>
      <c r="V54" s="139"/>
      <c r="W54" s="124"/>
      <c r="X54" s="124"/>
      <c r="Y54" s="124"/>
      <c r="Z54" s="124"/>
      <c r="AA54" s="125"/>
      <c r="AB54" s="124"/>
      <c r="AC54" s="125">
        <v>0</v>
      </c>
      <c r="AD54" s="125">
        <v>0</v>
      </c>
      <c r="AE54" s="125">
        <v>0</v>
      </c>
      <c r="AF54" s="125">
        <v>0</v>
      </c>
      <c r="AG54" s="125">
        <v>13025300</v>
      </c>
      <c r="AH54" s="125">
        <v>13025300</v>
      </c>
      <c r="AI54" s="125">
        <v>41275300</v>
      </c>
      <c r="AJ54" s="125">
        <f>54300600-AH54</f>
        <v>41275300</v>
      </c>
      <c r="AK54" s="125">
        <v>49826100</v>
      </c>
      <c r="AL54" s="125">
        <f>104126700-AJ54-AH54</f>
        <v>49826100</v>
      </c>
      <c r="AM54" s="125">
        <v>59253467</v>
      </c>
      <c r="AN54" s="125">
        <v>59253467</v>
      </c>
      <c r="AO54" s="125">
        <v>0</v>
      </c>
      <c r="AP54" s="125">
        <v>58742000</v>
      </c>
      <c r="AQ54" s="125">
        <v>0</v>
      </c>
      <c r="AR54" s="125">
        <v>58742000</v>
      </c>
      <c r="AS54" s="125">
        <v>0</v>
      </c>
      <c r="AT54" s="125">
        <v>58742000</v>
      </c>
      <c r="AU54" s="125">
        <v>0</v>
      </c>
      <c r="AV54" s="125">
        <v>58742000</v>
      </c>
      <c r="AW54" s="125">
        <v>0</v>
      </c>
      <c r="AX54" s="125">
        <v>58742000</v>
      </c>
      <c r="AY54" s="125">
        <v>0</v>
      </c>
      <c r="AZ54" s="125">
        <v>0</v>
      </c>
      <c r="BA54" s="125">
        <f>AY54+AW54+AU54+AS54+AQ54+AO54+AM54+AK54+AI54+AG54+AE54+AC54</f>
        <v>163380167</v>
      </c>
      <c r="BB54" s="137">
        <f>AC54+AE54+AG54+AI54+AK54+AM54+AO54+AQ54+AS54+AU54+AW54+AY54</f>
        <v>163380167</v>
      </c>
      <c r="BC54" s="125">
        <f>AD54+AF54+AH54+AJ54+AL54+AN54+AP54+AR54+AT54+AV54+AX54+AZ54</f>
        <v>457090167</v>
      </c>
      <c r="BD54" s="137">
        <f>AE54+AG54+AI54+AK54+AM54+AO54+AQ54+AS54+AU54+AW54+AY54+AC54</f>
        <v>163380167</v>
      </c>
      <c r="BE54" s="125">
        <f>AD54+AF54+AH54+AJ54+AL54+AN54+AP54+AR54+AT54+AV54+AX54+AZ54</f>
        <v>457090167</v>
      </c>
      <c r="BF54" s="125">
        <v>0</v>
      </c>
      <c r="BG54" s="125">
        <v>0</v>
      </c>
      <c r="BH54" s="125">
        <v>0</v>
      </c>
      <c r="BI54" s="125"/>
      <c r="BJ54" s="125">
        <v>1771000</v>
      </c>
      <c r="BK54" s="125"/>
      <c r="BL54" s="125">
        <v>55558600</v>
      </c>
      <c r="BM54" s="125"/>
      <c r="BN54" s="125"/>
      <c r="BO54" s="125"/>
      <c r="BP54" s="125"/>
      <c r="BQ54" s="125"/>
      <c r="BR54" s="125"/>
      <c r="BS54" s="125"/>
      <c r="BT54" s="125"/>
      <c r="BU54" s="125"/>
      <c r="BV54" s="125"/>
      <c r="BW54" s="125"/>
      <c r="BX54" s="125"/>
      <c r="BY54" s="125"/>
      <c r="BZ54" s="125"/>
      <c r="CA54" s="125"/>
      <c r="CB54" s="125"/>
      <c r="CC54" s="125"/>
      <c r="CD54" s="125"/>
      <c r="CE54" s="125">
        <f>CC54+CA54+BY54+BW54+BU54+BS54+BQ54+BO54+BM54+BK54+BI54+BG54</f>
        <v>0</v>
      </c>
      <c r="CF54" s="125">
        <f>+BG54+BI54+BK54</f>
        <v>0</v>
      </c>
      <c r="CG54" s="125">
        <f>+BH54+BJ54+BL54</f>
        <v>57329600</v>
      </c>
      <c r="CH54" s="124">
        <f>CC54+CA54+BY54+BW54+BU54+BS54+BQ54+BO54+BM54+BK54+BI54+BG54</f>
        <v>0</v>
      </c>
      <c r="CI54" s="124">
        <f>+BH54+BJ54+BL54</f>
        <v>57329600</v>
      </c>
      <c r="CJ54" s="125">
        <v>0</v>
      </c>
      <c r="CK54" s="125"/>
      <c r="CL54" s="125"/>
      <c r="CM54" s="125"/>
      <c r="CN54" s="125"/>
      <c r="CO54" s="125"/>
      <c r="CP54" s="125"/>
      <c r="CQ54" s="125"/>
      <c r="CR54" s="125"/>
      <c r="CS54" s="125"/>
      <c r="CT54" s="125"/>
      <c r="CU54" s="125"/>
      <c r="CV54" s="125"/>
      <c r="CW54" s="125"/>
      <c r="CX54" s="125"/>
      <c r="CY54" s="125"/>
      <c r="CZ54" s="125"/>
      <c r="DA54" s="125"/>
      <c r="DB54" s="125"/>
      <c r="DC54" s="125"/>
      <c r="DD54" s="125"/>
      <c r="DE54" s="125"/>
      <c r="DF54" s="125"/>
      <c r="DG54" s="125"/>
      <c r="DH54" s="125"/>
      <c r="DI54" s="124"/>
      <c r="DJ54" s="137"/>
      <c r="DK54" s="137"/>
      <c r="DL54" s="124"/>
      <c r="DM54" s="137"/>
      <c r="DN54" s="125">
        <v>0</v>
      </c>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108">
        <f>EI54+EG54+EE54+EC54+EA54+DY54+DW54+DU54+DS54+DQ54+DO54+EK54</f>
        <v>0</v>
      </c>
      <c r="EN54" s="98">
        <f t="shared" si="222"/>
        <v>0</v>
      </c>
      <c r="EO54" s="98">
        <f t="shared" si="223"/>
        <v>0</v>
      </c>
      <c r="EP54" s="94">
        <f>DQ54+DS54+DU54+DW54+DY54+EA54+EC54+EE54+EG54+EI54+EK54</f>
        <v>0</v>
      </c>
      <c r="EQ54" s="98">
        <f>DP54+DR54+DT54+DV54</f>
        <v>0</v>
      </c>
      <c r="ER54" s="144" t="e">
        <f t="shared" si="10"/>
        <v>#DIV/0!</v>
      </c>
      <c r="ES54" s="144" t="e">
        <f t="shared" si="11"/>
        <v>#DIV/0!</v>
      </c>
      <c r="ET54" s="145" t="e">
        <f t="shared" si="12"/>
        <v>#DIV/0!</v>
      </c>
      <c r="EU54" s="145">
        <f t="shared" si="13"/>
        <v>3.1486059565601985</v>
      </c>
      <c r="EV54" s="145" t="e">
        <f t="shared" si="14"/>
        <v>#DIV/0!</v>
      </c>
      <c r="EW54" s="544"/>
      <c r="EX54" s="361"/>
      <c r="EY54" s="361"/>
      <c r="EZ54" s="361"/>
      <c r="FA54" s="361"/>
      <c r="FB54" s="360"/>
    </row>
    <row r="55" spans="1:158" s="4" customFormat="1" ht="24.75" customHeight="1" x14ac:dyDescent="0.25">
      <c r="A55" s="361"/>
      <c r="B55" s="361"/>
      <c r="C55" s="361"/>
      <c r="D55" s="361"/>
      <c r="E55" s="361"/>
      <c r="F55" s="281" t="s">
        <v>41</v>
      </c>
      <c r="G55" s="114">
        <v>0</v>
      </c>
      <c r="H55" s="123">
        <v>0</v>
      </c>
      <c r="I55" s="67">
        <v>0</v>
      </c>
      <c r="J55" s="67">
        <v>0</v>
      </c>
      <c r="K55" s="67">
        <v>0</v>
      </c>
      <c r="L55" s="67">
        <v>0</v>
      </c>
      <c r="M55" s="67">
        <v>0</v>
      </c>
      <c r="N55" s="324">
        <v>0</v>
      </c>
      <c r="O55" s="67">
        <v>0</v>
      </c>
      <c r="P55" s="324">
        <v>0</v>
      </c>
      <c r="Q55" s="67">
        <v>0</v>
      </c>
      <c r="R55" s="140">
        <v>0</v>
      </c>
      <c r="S55" s="67">
        <v>0</v>
      </c>
      <c r="T55" s="324">
        <v>0</v>
      </c>
      <c r="U55" s="67">
        <v>0</v>
      </c>
      <c r="V55" s="67">
        <v>0</v>
      </c>
      <c r="W55" s="114">
        <v>0</v>
      </c>
      <c r="X55" s="114">
        <v>0</v>
      </c>
      <c r="Y55" s="114">
        <v>0</v>
      </c>
      <c r="Z55" s="114">
        <v>0</v>
      </c>
      <c r="AA55" s="114">
        <v>0</v>
      </c>
      <c r="AB55" s="114">
        <v>0</v>
      </c>
      <c r="AC55" s="114">
        <v>0</v>
      </c>
      <c r="AD55" s="114">
        <v>0</v>
      </c>
      <c r="AE55" s="114">
        <v>0</v>
      </c>
      <c r="AF55" s="114">
        <v>0</v>
      </c>
      <c r="AG55" s="114">
        <v>0</v>
      </c>
      <c r="AH55" s="114">
        <v>0</v>
      </c>
      <c r="AI55" s="114">
        <v>0</v>
      </c>
      <c r="AJ55" s="114">
        <v>0</v>
      </c>
      <c r="AK55" s="114">
        <v>0</v>
      </c>
      <c r="AL55" s="114">
        <v>0</v>
      </c>
      <c r="AM55" s="114">
        <v>0</v>
      </c>
      <c r="AN55" s="114">
        <v>0</v>
      </c>
      <c r="AO55" s="114">
        <v>0</v>
      </c>
      <c r="AP55" s="114">
        <v>0</v>
      </c>
      <c r="AQ55" s="114">
        <v>0</v>
      </c>
      <c r="AR55" s="114">
        <v>0</v>
      </c>
      <c r="AS55" s="114">
        <v>0</v>
      </c>
      <c r="AT55" s="114">
        <v>0</v>
      </c>
      <c r="AU55" s="114">
        <v>0</v>
      </c>
      <c r="AV55" s="114">
        <v>0</v>
      </c>
      <c r="AW55" s="114">
        <v>0</v>
      </c>
      <c r="AX55" s="114">
        <v>0</v>
      </c>
      <c r="AY55" s="114">
        <v>0</v>
      </c>
      <c r="AZ55" s="114">
        <v>0</v>
      </c>
      <c r="BA55" s="114">
        <f>+AB55</f>
        <v>0</v>
      </c>
      <c r="BB55" s="114">
        <f>+AY55</f>
        <v>0</v>
      </c>
      <c r="BC55" s="114">
        <f>+AZ55</f>
        <v>0</v>
      </c>
      <c r="BD55" s="114">
        <f>+G55</f>
        <v>0</v>
      </c>
      <c r="BE55" s="114">
        <f>+AZ55</f>
        <v>0</v>
      </c>
      <c r="BF55" s="300">
        <v>0</v>
      </c>
      <c r="BG55" s="114">
        <v>0</v>
      </c>
      <c r="BH55" s="114">
        <v>0</v>
      </c>
      <c r="BI55" s="114">
        <v>0</v>
      </c>
      <c r="BJ55" s="114">
        <v>0</v>
      </c>
      <c r="BK55" s="114">
        <v>0</v>
      </c>
      <c r="BL55" s="114">
        <v>0</v>
      </c>
      <c r="BM55" s="114">
        <v>0</v>
      </c>
      <c r="BN55" s="67"/>
      <c r="BO55" s="114">
        <v>0</v>
      </c>
      <c r="BP55" s="67"/>
      <c r="BQ55" s="114">
        <v>0</v>
      </c>
      <c r="BR55" s="67"/>
      <c r="BS55" s="114">
        <v>0</v>
      </c>
      <c r="BT55" s="67"/>
      <c r="BU55" s="114">
        <v>0</v>
      </c>
      <c r="BV55" s="67"/>
      <c r="BW55" s="114">
        <v>0</v>
      </c>
      <c r="BX55" s="67"/>
      <c r="BY55" s="114">
        <v>0</v>
      </c>
      <c r="BZ55" s="67"/>
      <c r="CA55" s="114">
        <v>0</v>
      </c>
      <c r="CB55" s="67"/>
      <c r="CC55" s="114">
        <v>0</v>
      </c>
      <c r="CD55" s="67"/>
      <c r="CE55" s="114">
        <f>+BF55</f>
        <v>0</v>
      </c>
      <c r="CF55" s="114">
        <f>+BK55</f>
        <v>0</v>
      </c>
      <c r="CG55" s="114">
        <f>+BL55</f>
        <v>0</v>
      </c>
      <c r="CH55" s="114">
        <f>+BK55</f>
        <v>0</v>
      </c>
      <c r="CI55" s="114">
        <f>+BL55</f>
        <v>0</v>
      </c>
      <c r="CJ55" s="114">
        <v>0</v>
      </c>
      <c r="CK55" s="114">
        <v>0</v>
      </c>
      <c r="CL55" s="114">
        <v>0</v>
      </c>
      <c r="CM55" s="114">
        <v>0</v>
      </c>
      <c r="CN55" s="114">
        <v>0</v>
      </c>
      <c r="CO55" s="114">
        <v>0</v>
      </c>
      <c r="CP55" s="114">
        <v>0</v>
      </c>
      <c r="CQ55" s="114">
        <v>0</v>
      </c>
      <c r="CR55" s="114">
        <v>0</v>
      </c>
      <c r="CS55" s="114">
        <v>0</v>
      </c>
      <c r="CT55" s="114">
        <v>0</v>
      </c>
      <c r="CU55" s="114">
        <v>0</v>
      </c>
      <c r="CV55" s="114">
        <v>0</v>
      </c>
      <c r="CW55" s="114">
        <v>0</v>
      </c>
      <c r="CX55" s="114">
        <v>0</v>
      </c>
      <c r="CY55" s="114">
        <v>0</v>
      </c>
      <c r="CZ55" s="114">
        <v>0</v>
      </c>
      <c r="DA55" s="114">
        <v>0</v>
      </c>
      <c r="DB55" s="114">
        <v>0</v>
      </c>
      <c r="DC55" s="114">
        <v>0</v>
      </c>
      <c r="DD55" s="114">
        <v>0</v>
      </c>
      <c r="DE55" s="114">
        <v>0</v>
      </c>
      <c r="DF55" s="114">
        <v>0</v>
      </c>
      <c r="DG55" s="114">
        <v>0</v>
      </c>
      <c r="DH55" s="114">
        <v>0</v>
      </c>
      <c r="DI55" s="114">
        <v>0</v>
      </c>
      <c r="DJ55" s="114">
        <v>0</v>
      </c>
      <c r="DK55" s="114">
        <v>0</v>
      </c>
      <c r="DL55" s="114">
        <v>0</v>
      </c>
      <c r="DM55" s="114">
        <v>0</v>
      </c>
      <c r="DN55" s="114">
        <v>0</v>
      </c>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9">
        <f>EI55+EG55+EE55+EC55+EA55+DY55+DW55+DU55+DS55+DQ55+DO55+EK55</f>
        <v>0</v>
      </c>
      <c r="EN55" s="170">
        <f t="shared" si="222"/>
        <v>0</v>
      </c>
      <c r="EO55" s="170">
        <f t="shared" si="223"/>
        <v>0</v>
      </c>
      <c r="EP55" s="169">
        <f>DQ55+DS55+DU55+DW55+DY55+EA55+EC55+EE55+EG55+EI55+EK55</f>
        <v>0</v>
      </c>
      <c r="EQ55" s="170">
        <v>0</v>
      </c>
      <c r="ER55" s="144" t="e">
        <f t="shared" si="10"/>
        <v>#DIV/0!</v>
      </c>
      <c r="ES55" s="144" t="e">
        <f t="shared" si="11"/>
        <v>#DIV/0!</v>
      </c>
      <c r="ET55" s="145" t="e">
        <f t="shared" si="12"/>
        <v>#DIV/0!</v>
      </c>
      <c r="EU55" s="145" t="e">
        <f t="shared" si="13"/>
        <v>#DIV/0!</v>
      </c>
      <c r="EV55" s="145" t="e">
        <f t="shared" si="14"/>
        <v>#DIV/0!</v>
      </c>
      <c r="EW55" s="544"/>
      <c r="EX55" s="361"/>
      <c r="EY55" s="361"/>
      <c r="EZ55" s="361"/>
      <c r="FA55" s="361"/>
      <c r="FB55" s="360"/>
    </row>
    <row r="56" spans="1:158" s="56" customFormat="1" ht="24.75" customHeight="1" x14ac:dyDescent="0.25">
      <c r="A56" s="361"/>
      <c r="B56" s="361"/>
      <c r="C56" s="361"/>
      <c r="D56" s="361"/>
      <c r="E56" s="361"/>
      <c r="F56" s="282" t="s">
        <v>4</v>
      </c>
      <c r="G56" s="125">
        <f>+AA56+BE56+CH56+CJ56+DN56</f>
        <v>156976534</v>
      </c>
      <c r="H56" s="124">
        <v>187668702</v>
      </c>
      <c r="I56" s="125">
        <v>0</v>
      </c>
      <c r="J56" s="125">
        <v>0</v>
      </c>
      <c r="K56" s="125">
        <v>0</v>
      </c>
      <c r="L56" s="125">
        <v>0</v>
      </c>
      <c r="M56" s="125">
        <v>0</v>
      </c>
      <c r="N56" s="125">
        <v>0</v>
      </c>
      <c r="O56" s="125">
        <v>0</v>
      </c>
      <c r="P56" s="125">
        <v>0</v>
      </c>
      <c r="Q56" s="125">
        <v>0</v>
      </c>
      <c r="R56" s="125">
        <v>0</v>
      </c>
      <c r="S56" s="125">
        <v>0</v>
      </c>
      <c r="T56" s="124">
        <v>0</v>
      </c>
      <c r="U56" s="139">
        <v>0</v>
      </c>
      <c r="V56" s="139">
        <v>0</v>
      </c>
      <c r="W56" s="124">
        <v>187668702</v>
      </c>
      <c r="X56" s="124">
        <v>187668702</v>
      </c>
      <c r="Y56" s="124">
        <v>0</v>
      </c>
      <c r="Z56" s="124">
        <v>187668702</v>
      </c>
      <c r="AA56" s="125">
        <v>0</v>
      </c>
      <c r="AB56" s="124">
        <v>131174135</v>
      </c>
      <c r="AC56" s="125">
        <v>56494567</v>
      </c>
      <c r="AD56" s="125">
        <v>56494567</v>
      </c>
      <c r="AE56" s="125">
        <v>56557034</v>
      </c>
      <c r="AF56" s="125">
        <f>113051601-AD56</f>
        <v>56557034</v>
      </c>
      <c r="AG56" s="125">
        <v>7384000</v>
      </c>
      <c r="AH56" s="125">
        <f>120435601-AF56-AD56</f>
        <v>7384000</v>
      </c>
      <c r="AI56" s="125">
        <v>3121667</v>
      </c>
      <c r="AJ56" s="125">
        <f>123557268-AH56-AF56-AD56</f>
        <v>3121667</v>
      </c>
      <c r="AK56" s="125">
        <v>3746000</v>
      </c>
      <c r="AL56" s="125">
        <f>127303268-AJ56-AH56-AF56-AD56</f>
        <v>3746000</v>
      </c>
      <c r="AM56" s="125">
        <v>3870867</v>
      </c>
      <c r="AN56" s="125">
        <v>3870867</v>
      </c>
      <c r="AO56" s="125">
        <v>0</v>
      </c>
      <c r="AP56" s="125">
        <v>0</v>
      </c>
      <c r="AQ56" s="125">
        <v>0</v>
      </c>
      <c r="AR56" s="125">
        <v>0</v>
      </c>
      <c r="AS56" s="125">
        <v>0</v>
      </c>
      <c r="AT56" s="125">
        <v>0</v>
      </c>
      <c r="AU56" s="125">
        <v>0</v>
      </c>
      <c r="AV56" s="125">
        <v>0</v>
      </c>
      <c r="AW56" s="125">
        <v>0</v>
      </c>
      <c r="AX56" s="125">
        <v>0</v>
      </c>
      <c r="AY56" s="125">
        <v>0</v>
      </c>
      <c r="AZ56" s="125">
        <v>0</v>
      </c>
      <c r="BA56" s="125">
        <f>AY56+AW56+AU56+AS56+AQ56+AO56+AM56+AK56+AI56+AG56+AE56+AC56</f>
        <v>131174135</v>
      </c>
      <c r="BB56" s="137">
        <f>AC56+AE56+AG56+AI56+AK56+AM56+AO56+AQ56+AS56+AU56+AW56+AY56</f>
        <v>131174135</v>
      </c>
      <c r="BC56" s="125">
        <f>AD56+AF56+AH56+AJ56+AL56+AN56+AP56+AR56+AT56+AV56+AX56+AZ56</f>
        <v>131174135</v>
      </c>
      <c r="BD56" s="137">
        <f>AE56+AG56+AI56+AK56+AM56+AO56+AQ56+AS56+AU56+AW56+AY56+AC56</f>
        <v>131174135</v>
      </c>
      <c r="BE56" s="125">
        <f>AD56+AF56+AH56+AJ56+AL56+AN56+AP56+AR56+AT56+AV56+AX56+AZ56</f>
        <v>131174135</v>
      </c>
      <c r="BF56" s="125">
        <v>25802399</v>
      </c>
      <c r="BG56" s="125">
        <v>25802399</v>
      </c>
      <c r="BH56" s="125"/>
      <c r="BI56" s="125"/>
      <c r="BJ56" s="125">
        <v>25802399</v>
      </c>
      <c r="BK56" s="125"/>
      <c r="BL56" s="125">
        <v>0</v>
      </c>
      <c r="BM56" s="125"/>
      <c r="BN56" s="125"/>
      <c r="BO56" s="125"/>
      <c r="BP56" s="125"/>
      <c r="BQ56" s="125"/>
      <c r="BR56" s="125"/>
      <c r="BS56" s="125"/>
      <c r="BT56" s="125"/>
      <c r="BU56" s="125"/>
      <c r="BV56" s="125"/>
      <c r="BW56" s="125"/>
      <c r="BX56" s="125"/>
      <c r="BY56" s="125"/>
      <c r="BZ56" s="125"/>
      <c r="CA56" s="125"/>
      <c r="CB56" s="125"/>
      <c r="CC56" s="125"/>
      <c r="CD56" s="125"/>
      <c r="CE56" s="125">
        <f>CC56+CA56+BY56+BW56+BU56+BS56+BQ56+BO56+BM56+BK56+BI56+BG56</f>
        <v>25802399</v>
      </c>
      <c r="CF56" s="125">
        <f>+BG56+BI56+BK56</f>
        <v>25802399</v>
      </c>
      <c r="CG56" s="125">
        <f>+BH56+BJ56+BL56</f>
        <v>25802399</v>
      </c>
      <c r="CH56" s="124">
        <f>CC56+CA56+BY56+BW56+BU56+BS56+BQ56+BO56+BM56+BK56+BI56+BG56</f>
        <v>25802399</v>
      </c>
      <c r="CI56" s="124">
        <f>+BH56+BJ56+BL56</f>
        <v>25802399</v>
      </c>
      <c r="CJ56" s="125">
        <v>0</v>
      </c>
      <c r="CK56" s="125">
        <v>0</v>
      </c>
      <c r="CL56" s="125">
        <v>0</v>
      </c>
      <c r="CM56" s="125">
        <v>0</v>
      </c>
      <c r="CN56" s="125">
        <v>0</v>
      </c>
      <c r="CO56" s="125">
        <v>0</v>
      </c>
      <c r="CP56" s="125">
        <v>0</v>
      </c>
      <c r="CQ56" s="125">
        <v>0</v>
      </c>
      <c r="CR56" s="125">
        <v>0</v>
      </c>
      <c r="CS56" s="125">
        <v>0</v>
      </c>
      <c r="CT56" s="125">
        <v>0</v>
      </c>
      <c r="CU56" s="125">
        <v>0</v>
      </c>
      <c r="CV56" s="125">
        <v>0</v>
      </c>
      <c r="CW56" s="125">
        <v>0</v>
      </c>
      <c r="CX56" s="125">
        <v>0</v>
      </c>
      <c r="CY56" s="125">
        <v>0</v>
      </c>
      <c r="CZ56" s="125">
        <v>0</v>
      </c>
      <c r="DA56" s="125">
        <v>0</v>
      </c>
      <c r="DB56" s="125">
        <v>0</v>
      </c>
      <c r="DC56" s="125">
        <v>0</v>
      </c>
      <c r="DD56" s="125">
        <v>0</v>
      </c>
      <c r="DE56" s="125">
        <v>0</v>
      </c>
      <c r="DF56" s="125">
        <v>0</v>
      </c>
      <c r="DG56" s="125">
        <v>0</v>
      </c>
      <c r="DH56" s="125">
        <v>0</v>
      </c>
      <c r="DI56" s="124">
        <v>0</v>
      </c>
      <c r="DJ56" s="137">
        <v>0</v>
      </c>
      <c r="DK56" s="137">
        <v>0</v>
      </c>
      <c r="DL56" s="124">
        <v>0</v>
      </c>
      <c r="DM56" s="137">
        <v>0</v>
      </c>
      <c r="DN56" s="125">
        <v>0</v>
      </c>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109">
        <f>EI56+EG56+EE56+EC56+EA56+DY56+DW56+DU56+DS56+DQ56+DO56+EK56</f>
        <v>0</v>
      </c>
      <c r="EN56" s="98">
        <f t="shared" si="222"/>
        <v>0</v>
      </c>
      <c r="EO56" s="98">
        <f t="shared" si="223"/>
        <v>0</v>
      </c>
      <c r="EP56" s="94">
        <f>DQ56+DS56+DU56+DW56+DY56+EA56+EC56+EE56+EG56+EI56+EK56+DO56</f>
        <v>0</v>
      </c>
      <c r="EQ56" s="98">
        <f>DP56+DR56+DT56+DV56</f>
        <v>0</v>
      </c>
      <c r="ER56" s="144" t="e">
        <f t="shared" si="10"/>
        <v>#DIV/0!</v>
      </c>
      <c r="ES56" s="144">
        <f t="shared" si="11"/>
        <v>1</v>
      </c>
      <c r="ET56" s="145">
        <f t="shared" si="12"/>
        <v>1</v>
      </c>
      <c r="EU56" s="145">
        <f t="shared" si="13"/>
        <v>0.45547280972715953</v>
      </c>
      <c r="EV56" s="145">
        <f t="shared" si="14"/>
        <v>1</v>
      </c>
      <c r="EW56" s="544"/>
      <c r="EX56" s="361"/>
      <c r="EY56" s="361"/>
      <c r="EZ56" s="361"/>
      <c r="FA56" s="361"/>
      <c r="FB56" s="360"/>
    </row>
    <row r="57" spans="1:158" s="4" customFormat="1" ht="24.75" customHeight="1" thickBot="1" x14ac:dyDescent="0.3">
      <c r="A57" s="361"/>
      <c r="B57" s="361"/>
      <c r="C57" s="361"/>
      <c r="D57" s="361"/>
      <c r="E57" s="361"/>
      <c r="F57" s="281" t="s">
        <v>42</v>
      </c>
      <c r="G57" s="592">
        <f>+G52+G55</f>
        <v>1</v>
      </c>
      <c r="H57" s="592">
        <f>+H52+H55</f>
        <v>1</v>
      </c>
      <c r="I57" s="592"/>
      <c r="J57" s="592"/>
      <c r="K57" s="592"/>
      <c r="L57" s="592"/>
      <c r="M57" s="592"/>
      <c r="N57" s="592"/>
      <c r="O57" s="592"/>
      <c r="P57" s="592"/>
      <c r="Q57" s="592"/>
      <c r="R57" s="592"/>
      <c r="S57" s="592"/>
      <c r="T57" s="592"/>
      <c r="U57" s="592"/>
      <c r="V57" s="592"/>
      <c r="W57" s="592">
        <f t="shared" ref="W57:AM57" si="224">+W52+W55</f>
        <v>1</v>
      </c>
      <c r="X57" s="592">
        <f t="shared" si="224"/>
        <v>1</v>
      </c>
      <c r="Y57" s="592">
        <f t="shared" si="224"/>
        <v>1</v>
      </c>
      <c r="Z57" s="592">
        <f t="shared" si="224"/>
        <v>1</v>
      </c>
      <c r="AA57" s="592">
        <f t="shared" si="224"/>
        <v>1</v>
      </c>
      <c r="AB57" s="592">
        <f>+AB52+AB55</f>
        <v>1</v>
      </c>
      <c r="AC57" s="592">
        <f t="shared" si="224"/>
        <v>1</v>
      </c>
      <c r="AD57" s="592">
        <f t="shared" si="224"/>
        <v>1</v>
      </c>
      <c r="AE57" s="592">
        <f t="shared" si="224"/>
        <v>1</v>
      </c>
      <c r="AF57" s="592">
        <f t="shared" si="224"/>
        <v>1</v>
      </c>
      <c r="AG57" s="592">
        <f t="shared" si="224"/>
        <v>1</v>
      </c>
      <c r="AH57" s="592">
        <f t="shared" si="224"/>
        <v>1</v>
      </c>
      <c r="AI57" s="592">
        <f t="shared" si="224"/>
        <v>1</v>
      </c>
      <c r="AJ57" s="592">
        <f t="shared" si="224"/>
        <v>0.64</v>
      </c>
      <c r="AK57" s="592">
        <f t="shared" si="224"/>
        <v>1</v>
      </c>
      <c r="AL57" s="592">
        <f t="shared" si="224"/>
        <v>0.877</v>
      </c>
      <c r="AM57" s="592">
        <f t="shared" si="224"/>
        <v>1</v>
      </c>
      <c r="AN57" s="592">
        <f t="shared" ref="AN57" si="225">+AN52+AN55</f>
        <v>0.91600000000000004</v>
      </c>
      <c r="AO57" s="592">
        <f t="shared" ref="AO57:AP58" si="226">+AO52+AO55</f>
        <v>1</v>
      </c>
      <c r="AP57" s="592">
        <f t="shared" si="226"/>
        <v>1</v>
      </c>
      <c r="AQ57" s="592">
        <f t="shared" ref="AQ57:AR58" si="227">+AQ52+AQ55</f>
        <v>1</v>
      </c>
      <c r="AR57" s="592">
        <f t="shared" si="227"/>
        <v>0.91300000000000003</v>
      </c>
      <c r="AS57" s="592">
        <f t="shared" ref="AS57:AT58" si="228">+AS52+AS55</f>
        <v>1</v>
      </c>
      <c r="AT57" s="592">
        <f t="shared" si="228"/>
        <v>1</v>
      </c>
      <c r="AU57" s="592">
        <f t="shared" ref="AU57:AV58" si="229">+AU52+AU55</f>
        <v>1</v>
      </c>
      <c r="AV57" s="592">
        <f t="shared" si="229"/>
        <v>1</v>
      </c>
      <c r="AW57" s="592">
        <f t="shared" ref="AW57:AX58" si="230">+AW52+AW55</f>
        <v>1</v>
      </c>
      <c r="AX57" s="592">
        <f t="shared" si="230"/>
        <v>1</v>
      </c>
      <c r="AY57" s="592">
        <f>+AY52+AY55</f>
        <v>1</v>
      </c>
      <c r="AZ57" s="592">
        <f t="shared" ref="AZ57" si="231">+AZ52+AZ55</f>
        <v>1</v>
      </c>
      <c r="BA57" s="592">
        <f t="shared" ref="BA57:DL57" si="232">+BA52+BA55</f>
        <v>1</v>
      </c>
      <c r="BB57" s="592">
        <f t="shared" si="232"/>
        <v>1</v>
      </c>
      <c r="BC57" s="592">
        <f t="shared" si="232"/>
        <v>1</v>
      </c>
      <c r="BD57" s="592">
        <f t="shared" si="232"/>
        <v>1</v>
      </c>
      <c r="BE57" s="592">
        <f t="shared" si="232"/>
        <v>1</v>
      </c>
      <c r="BF57" s="592">
        <f t="shared" si="232"/>
        <v>1</v>
      </c>
      <c r="BG57" s="592">
        <f t="shared" si="232"/>
        <v>1</v>
      </c>
      <c r="BH57" s="592">
        <f t="shared" si="232"/>
        <v>1</v>
      </c>
      <c r="BI57" s="592">
        <f t="shared" si="232"/>
        <v>1</v>
      </c>
      <c r="BJ57" s="592">
        <f t="shared" ref="BJ57" si="233">+BJ52+BJ55</f>
        <v>1</v>
      </c>
      <c r="BK57" s="592">
        <f t="shared" si="232"/>
        <v>1</v>
      </c>
      <c r="BL57" s="592">
        <f t="shared" si="232"/>
        <v>1</v>
      </c>
      <c r="BM57" s="592">
        <f t="shared" si="232"/>
        <v>1</v>
      </c>
      <c r="BN57" s="592">
        <f t="shared" si="232"/>
        <v>0</v>
      </c>
      <c r="BO57" s="592">
        <f t="shared" si="232"/>
        <v>1</v>
      </c>
      <c r="BP57" s="592">
        <f t="shared" si="232"/>
        <v>0</v>
      </c>
      <c r="BQ57" s="592">
        <f t="shared" si="232"/>
        <v>1</v>
      </c>
      <c r="BR57" s="592">
        <f t="shared" si="232"/>
        <v>0</v>
      </c>
      <c r="BS57" s="592">
        <f t="shared" si="232"/>
        <v>1</v>
      </c>
      <c r="BT57" s="592">
        <f t="shared" si="232"/>
        <v>0</v>
      </c>
      <c r="BU57" s="592">
        <f t="shared" si="232"/>
        <v>1</v>
      </c>
      <c r="BV57" s="592">
        <f t="shared" si="232"/>
        <v>0</v>
      </c>
      <c r="BW57" s="592">
        <f t="shared" si="232"/>
        <v>1</v>
      </c>
      <c r="BX57" s="592">
        <f t="shared" si="232"/>
        <v>0</v>
      </c>
      <c r="BY57" s="592">
        <f t="shared" si="232"/>
        <v>1</v>
      </c>
      <c r="BZ57" s="592">
        <f t="shared" si="232"/>
        <v>0</v>
      </c>
      <c r="CA57" s="592">
        <f t="shared" si="232"/>
        <v>1</v>
      </c>
      <c r="CB57" s="592">
        <f t="shared" si="232"/>
        <v>0</v>
      </c>
      <c r="CC57" s="592">
        <f t="shared" si="232"/>
        <v>1</v>
      </c>
      <c r="CD57" s="592">
        <f t="shared" si="232"/>
        <v>0</v>
      </c>
      <c r="CE57" s="592">
        <f>+CE52+CE55</f>
        <v>1</v>
      </c>
      <c r="CF57" s="592">
        <f t="shared" ref="CF57:CI57" si="234">+CF52+CF55</f>
        <v>1</v>
      </c>
      <c r="CG57" s="592">
        <f t="shared" si="234"/>
        <v>1</v>
      </c>
      <c r="CH57" s="592">
        <f t="shared" si="234"/>
        <v>1</v>
      </c>
      <c r="CI57" s="592">
        <f t="shared" si="234"/>
        <v>1</v>
      </c>
      <c r="CJ57" s="592">
        <f t="shared" si="232"/>
        <v>1</v>
      </c>
      <c r="CK57" s="592">
        <f t="shared" si="232"/>
        <v>0</v>
      </c>
      <c r="CL57" s="592">
        <f t="shared" si="232"/>
        <v>0</v>
      </c>
      <c r="CM57" s="592">
        <f t="shared" si="232"/>
        <v>0</v>
      </c>
      <c r="CN57" s="592">
        <f t="shared" si="232"/>
        <v>0</v>
      </c>
      <c r="CO57" s="592">
        <f t="shared" si="232"/>
        <v>0</v>
      </c>
      <c r="CP57" s="592">
        <f t="shared" si="232"/>
        <v>0</v>
      </c>
      <c r="CQ57" s="592">
        <f t="shared" si="232"/>
        <v>0</v>
      </c>
      <c r="CR57" s="592">
        <f t="shared" si="232"/>
        <v>0</v>
      </c>
      <c r="CS57" s="592">
        <f t="shared" si="232"/>
        <v>0</v>
      </c>
      <c r="CT57" s="592">
        <f t="shared" si="232"/>
        <v>0</v>
      </c>
      <c r="CU57" s="592">
        <f t="shared" si="232"/>
        <v>0</v>
      </c>
      <c r="CV57" s="592">
        <f t="shared" si="232"/>
        <v>0</v>
      </c>
      <c r="CW57" s="592">
        <f t="shared" si="232"/>
        <v>0</v>
      </c>
      <c r="CX57" s="592">
        <f t="shared" si="232"/>
        <v>0</v>
      </c>
      <c r="CY57" s="592">
        <f t="shared" si="232"/>
        <v>0</v>
      </c>
      <c r="CZ57" s="592">
        <f t="shared" si="232"/>
        <v>0</v>
      </c>
      <c r="DA57" s="592">
        <f t="shared" si="232"/>
        <v>0</v>
      </c>
      <c r="DB57" s="592">
        <f t="shared" si="232"/>
        <v>0</v>
      </c>
      <c r="DC57" s="592">
        <f t="shared" si="232"/>
        <v>0</v>
      </c>
      <c r="DD57" s="592">
        <f t="shared" si="232"/>
        <v>0</v>
      </c>
      <c r="DE57" s="592">
        <f t="shared" si="232"/>
        <v>0</v>
      </c>
      <c r="DF57" s="592">
        <f t="shared" si="232"/>
        <v>0</v>
      </c>
      <c r="DG57" s="592">
        <f t="shared" si="232"/>
        <v>0</v>
      </c>
      <c r="DH57" s="592">
        <f t="shared" si="232"/>
        <v>0</v>
      </c>
      <c r="DI57" s="592">
        <f t="shared" si="232"/>
        <v>0</v>
      </c>
      <c r="DJ57" s="592">
        <f t="shared" si="232"/>
        <v>0</v>
      </c>
      <c r="DK57" s="592">
        <f t="shared" si="232"/>
        <v>0</v>
      </c>
      <c r="DL57" s="592">
        <f t="shared" si="232"/>
        <v>0</v>
      </c>
      <c r="DM57" s="592">
        <f t="shared" ref="DM57:DN57" si="235">+DM52+DM55</f>
        <v>0</v>
      </c>
      <c r="DN57" s="592">
        <f t="shared" si="235"/>
        <v>1</v>
      </c>
      <c r="DO57" s="660"/>
      <c r="DP57" s="660"/>
      <c r="DQ57" s="660"/>
      <c r="DR57" s="660"/>
      <c r="DS57" s="660"/>
      <c r="DT57" s="660"/>
      <c r="DU57" s="660"/>
      <c r="DV57" s="660"/>
      <c r="DW57" s="660"/>
      <c r="DX57" s="660"/>
      <c r="DY57" s="660"/>
      <c r="DZ57" s="660"/>
      <c r="EA57" s="660"/>
      <c r="EB57" s="660"/>
      <c r="EC57" s="660"/>
      <c r="ED57" s="660"/>
      <c r="EE57" s="660"/>
      <c r="EF57" s="660"/>
      <c r="EG57" s="660"/>
      <c r="EH57" s="660"/>
      <c r="EI57" s="660"/>
      <c r="EJ57" s="660"/>
      <c r="EK57" s="660"/>
      <c r="EL57" s="660"/>
      <c r="EM57" s="661">
        <f>EI57+EG57+EE57+EC57+EA57+DY57+DW57+DU57+DS57+DQ57+DO57+EK57</f>
        <v>0</v>
      </c>
      <c r="EN57" s="662"/>
      <c r="EO57" s="662">
        <f t="shared" si="223"/>
        <v>0</v>
      </c>
      <c r="EP57" s="661">
        <f>DQ57+DS57+DU57+DW57+DY57+EA57+EC57+EE57+EG57+EI57+EK57+DO57</f>
        <v>0</v>
      </c>
      <c r="EQ57" s="662">
        <f>DR57+DT57+DV57+DP57</f>
        <v>0</v>
      </c>
      <c r="ER57" s="602">
        <f t="shared" si="10"/>
        <v>1</v>
      </c>
      <c r="ES57" s="602">
        <f t="shared" si="11"/>
        <v>1</v>
      </c>
      <c r="ET57" s="603">
        <f t="shared" si="12"/>
        <v>1</v>
      </c>
      <c r="EU57" s="603">
        <f t="shared" si="13"/>
        <v>1</v>
      </c>
      <c r="EV57" s="603">
        <f>+(AA57+BE57+CI57)/500%</f>
        <v>0.6</v>
      </c>
      <c r="EW57" s="544"/>
      <c r="EX57" s="361"/>
      <c r="EY57" s="361"/>
      <c r="EZ57" s="361"/>
      <c r="FA57" s="361"/>
      <c r="FB57" s="360"/>
    </row>
    <row r="58" spans="1:158" s="57" customFormat="1" ht="24.75" customHeight="1" thickBot="1" x14ac:dyDescent="0.3">
      <c r="A58" s="361"/>
      <c r="B58" s="361"/>
      <c r="C58" s="361"/>
      <c r="D58" s="361"/>
      <c r="E58" s="361"/>
      <c r="F58" s="590" t="s">
        <v>44</v>
      </c>
      <c r="G58" s="611">
        <f>+G53+G56</f>
        <v>3099478899</v>
      </c>
      <c r="H58" s="612">
        <f>+H53+H56</f>
        <v>637668702</v>
      </c>
      <c r="I58" s="612"/>
      <c r="J58" s="612"/>
      <c r="K58" s="612"/>
      <c r="L58" s="612"/>
      <c r="M58" s="612"/>
      <c r="N58" s="612"/>
      <c r="O58" s="612"/>
      <c r="P58" s="612"/>
      <c r="Q58" s="612"/>
      <c r="R58" s="612"/>
      <c r="S58" s="612"/>
      <c r="T58" s="613"/>
      <c r="U58" s="612"/>
      <c r="V58" s="612"/>
      <c r="W58" s="612">
        <f t="shared" ref="W58:AM58" si="236">+W53+W56</f>
        <v>637668702</v>
      </c>
      <c r="X58" s="612">
        <f t="shared" si="236"/>
        <v>637668702</v>
      </c>
      <c r="Y58" s="612">
        <f t="shared" si="236"/>
        <v>447516000</v>
      </c>
      <c r="Z58" s="612">
        <f t="shared" si="236"/>
        <v>637668702</v>
      </c>
      <c r="AA58" s="612">
        <f t="shared" si="236"/>
        <v>447516000</v>
      </c>
      <c r="AB58" s="612">
        <f>+AB53+AB56</f>
        <v>822844135</v>
      </c>
      <c r="AC58" s="612">
        <f t="shared" si="236"/>
        <v>56494567</v>
      </c>
      <c r="AD58" s="612">
        <f t="shared" si="236"/>
        <v>56494567</v>
      </c>
      <c r="AE58" s="612">
        <f t="shared" si="236"/>
        <v>382600034</v>
      </c>
      <c r="AF58" s="612">
        <f t="shared" si="236"/>
        <v>382600034</v>
      </c>
      <c r="AG58" s="612">
        <f t="shared" si="236"/>
        <v>96979000</v>
      </c>
      <c r="AH58" s="612">
        <f t="shared" si="236"/>
        <v>96979000</v>
      </c>
      <c r="AI58" s="612">
        <f t="shared" si="236"/>
        <v>103601667</v>
      </c>
      <c r="AJ58" s="612">
        <f t="shared" si="236"/>
        <v>103601667</v>
      </c>
      <c r="AK58" s="612">
        <f t="shared" si="236"/>
        <v>3746000</v>
      </c>
      <c r="AL58" s="612">
        <f t="shared" si="236"/>
        <v>3746000</v>
      </c>
      <c r="AM58" s="612">
        <f t="shared" si="236"/>
        <v>3870867</v>
      </c>
      <c r="AN58" s="612">
        <f t="shared" ref="AN58" si="237">+AN53+AN56</f>
        <v>3870867</v>
      </c>
      <c r="AO58" s="612">
        <f t="shared" si="226"/>
        <v>0</v>
      </c>
      <c r="AP58" s="612">
        <f t="shared" si="226"/>
        <v>0</v>
      </c>
      <c r="AQ58" s="612">
        <f t="shared" si="227"/>
        <v>36785066.666666672</v>
      </c>
      <c r="AR58" s="612">
        <f t="shared" si="227"/>
        <v>0</v>
      </c>
      <c r="AS58" s="612">
        <f t="shared" si="228"/>
        <v>-96942863.333333328</v>
      </c>
      <c r="AT58" s="612">
        <f t="shared" si="228"/>
        <v>0</v>
      </c>
      <c r="AU58" s="612">
        <f t="shared" si="229"/>
        <v>36785066.666666672</v>
      </c>
      <c r="AV58" s="612">
        <f t="shared" si="229"/>
        <v>27531699</v>
      </c>
      <c r="AW58" s="612">
        <f t="shared" si="230"/>
        <v>32598400</v>
      </c>
      <c r="AX58" s="612">
        <f t="shared" si="230"/>
        <v>13283666</v>
      </c>
      <c r="AY58" s="612">
        <f>+AY53+AY56</f>
        <v>32598400</v>
      </c>
      <c r="AZ58" s="612">
        <f t="shared" ref="AZ58" si="238">+AZ53+AZ56</f>
        <v>0</v>
      </c>
      <c r="BA58" s="612">
        <f t="shared" ref="BA58:DL58" si="239">+BA53+BA56</f>
        <v>689116205</v>
      </c>
      <c r="BB58" s="612">
        <f>+BB53+BB56</f>
        <v>689116205</v>
      </c>
      <c r="BC58" s="612">
        <f t="shared" si="239"/>
        <v>688107500</v>
      </c>
      <c r="BD58" s="612">
        <f t="shared" si="239"/>
        <v>689116205</v>
      </c>
      <c r="BE58" s="612">
        <f t="shared" si="239"/>
        <v>688107500</v>
      </c>
      <c r="BF58" s="612">
        <f t="shared" si="239"/>
        <v>750842399</v>
      </c>
      <c r="BG58" s="612">
        <f t="shared" si="239"/>
        <v>748202399</v>
      </c>
      <c r="BH58" s="612">
        <f t="shared" si="239"/>
        <v>585413000</v>
      </c>
      <c r="BI58" s="612">
        <f t="shared" si="239"/>
        <v>0</v>
      </c>
      <c r="BJ58" s="612">
        <f t="shared" ref="BJ58" si="240">+BJ53+BJ56</f>
        <v>25802399</v>
      </c>
      <c r="BK58" s="612">
        <f>+BK53+BK56</f>
        <v>-136987000</v>
      </c>
      <c r="BL58" s="612">
        <f>+BL53+BL56</f>
        <v>0</v>
      </c>
      <c r="BM58" s="612">
        <f t="shared" si="239"/>
        <v>0</v>
      </c>
      <c r="BN58" s="612">
        <f t="shared" si="239"/>
        <v>0</v>
      </c>
      <c r="BO58" s="612">
        <f t="shared" si="239"/>
        <v>0</v>
      </c>
      <c r="BP58" s="612">
        <f t="shared" si="239"/>
        <v>0</v>
      </c>
      <c r="BQ58" s="612">
        <f t="shared" si="239"/>
        <v>0</v>
      </c>
      <c r="BR58" s="612">
        <f t="shared" si="239"/>
        <v>0</v>
      </c>
      <c r="BS58" s="612">
        <f t="shared" si="239"/>
        <v>0</v>
      </c>
      <c r="BT58" s="612">
        <f t="shared" si="239"/>
        <v>0</v>
      </c>
      <c r="BU58" s="612">
        <f t="shared" si="239"/>
        <v>2640000</v>
      </c>
      <c r="BV58" s="612">
        <f t="shared" si="239"/>
        <v>0</v>
      </c>
      <c r="BW58" s="612">
        <f t="shared" si="239"/>
        <v>0</v>
      </c>
      <c r="BX58" s="612">
        <f t="shared" si="239"/>
        <v>0</v>
      </c>
      <c r="BY58" s="612">
        <f t="shared" si="239"/>
        <v>0</v>
      </c>
      <c r="BZ58" s="612">
        <f t="shared" si="239"/>
        <v>0</v>
      </c>
      <c r="CA58" s="612">
        <f t="shared" si="239"/>
        <v>0</v>
      </c>
      <c r="CB58" s="612">
        <f t="shared" si="239"/>
        <v>0</v>
      </c>
      <c r="CC58" s="612">
        <f t="shared" si="239"/>
        <v>0</v>
      </c>
      <c r="CD58" s="612">
        <f t="shared" si="239"/>
        <v>0</v>
      </c>
      <c r="CE58" s="612">
        <f t="shared" si="239"/>
        <v>613855399</v>
      </c>
      <c r="CF58" s="612">
        <f t="shared" si="239"/>
        <v>611215399</v>
      </c>
      <c r="CG58" s="612">
        <f t="shared" si="239"/>
        <v>611215399</v>
      </c>
      <c r="CH58" s="612">
        <f t="shared" si="239"/>
        <v>613855399</v>
      </c>
      <c r="CI58" s="612">
        <f t="shared" si="239"/>
        <v>611215399</v>
      </c>
      <c r="CJ58" s="612">
        <f t="shared" si="239"/>
        <v>900000000</v>
      </c>
      <c r="CK58" s="612">
        <f t="shared" si="239"/>
        <v>0</v>
      </c>
      <c r="CL58" s="612">
        <f t="shared" si="239"/>
        <v>0</v>
      </c>
      <c r="CM58" s="612">
        <f t="shared" si="239"/>
        <v>0</v>
      </c>
      <c r="CN58" s="612">
        <f t="shared" si="239"/>
        <v>0</v>
      </c>
      <c r="CO58" s="612">
        <f t="shared" si="239"/>
        <v>0</v>
      </c>
      <c r="CP58" s="612">
        <f t="shared" si="239"/>
        <v>0</v>
      </c>
      <c r="CQ58" s="612">
        <f t="shared" si="239"/>
        <v>0</v>
      </c>
      <c r="CR58" s="612">
        <f t="shared" si="239"/>
        <v>0</v>
      </c>
      <c r="CS58" s="612">
        <f t="shared" si="239"/>
        <v>0</v>
      </c>
      <c r="CT58" s="612">
        <f t="shared" si="239"/>
        <v>0</v>
      </c>
      <c r="CU58" s="612">
        <f t="shared" si="239"/>
        <v>0</v>
      </c>
      <c r="CV58" s="612">
        <f t="shared" si="239"/>
        <v>0</v>
      </c>
      <c r="CW58" s="612">
        <f t="shared" si="239"/>
        <v>0</v>
      </c>
      <c r="CX58" s="612">
        <f t="shared" si="239"/>
        <v>0</v>
      </c>
      <c r="CY58" s="612">
        <f t="shared" si="239"/>
        <v>0</v>
      </c>
      <c r="CZ58" s="612">
        <f t="shared" si="239"/>
        <v>0</v>
      </c>
      <c r="DA58" s="612">
        <f t="shared" si="239"/>
        <v>0</v>
      </c>
      <c r="DB58" s="612">
        <f t="shared" si="239"/>
        <v>0</v>
      </c>
      <c r="DC58" s="612">
        <f t="shared" si="239"/>
        <v>0</v>
      </c>
      <c r="DD58" s="612">
        <f t="shared" si="239"/>
        <v>0</v>
      </c>
      <c r="DE58" s="612">
        <f t="shared" si="239"/>
        <v>0</v>
      </c>
      <c r="DF58" s="612">
        <f t="shared" si="239"/>
        <v>0</v>
      </c>
      <c r="DG58" s="612">
        <f t="shared" si="239"/>
        <v>0</v>
      </c>
      <c r="DH58" s="612">
        <f t="shared" si="239"/>
        <v>0</v>
      </c>
      <c r="DI58" s="612">
        <f t="shared" si="239"/>
        <v>0</v>
      </c>
      <c r="DJ58" s="612">
        <f t="shared" si="239"/>
        <v>0</v>
      </c>
      <c r="DK58" s="612">
        <f t="shared" si="239"/>
        <v>0</v>
      </c>
      <c r="DL58" s="612">
        <f t="shared" si="239"/>
        <v>0</v>
      </c>
      <c r="DM58" s="612">
        <f t="shared" ref="DM58:DN58" si="241">+DM53+DM56</f>
        <v>0</v>
      </c>
      <c r="DN58" s="612">
        <f t="shared" si="241"/>
        <v>450000000</v>
      </c>
      <c r="DO58" s="641"/>
      <c r="DP58" s="641"/>
      <c r="DQ58" s="641"/>
      <c r="DR58" s="641"/>
      <c r="DS58" s="641"/>
      <c r="DT58" s="641"/>
      <c r="DU58" s="641"/>
      <c r="DV58" s="641"/>
      <c r="DW58" s="641"/>
      <c r="DX58" s="641"/>
      <c r="DY58" s="641"/>
      <c r="DZ58" s="641"/>
      <c r="EA58" s="641"/>
      <c r="EB58" s="641"/>
      <c r="EC58" s="641"/>
      <c r="ED58" s="641"/>
      <c r="EE58" s="641"/>
      <c r="EF58" s="641"/>
      <c r="EG58" s="641"/>
      <c r="EH58" s="641"/>
      <c r="EI58" s="641"/>
      <c r="EJ58" s="641"/>
      <c r="EK58" s="641"/>
      <c r="EL58" s="641"/>
      <c r="EM58" s="642">
        <f>EK58+EI58+EG58+EE58+EC58+EA58+DY58+DW58+DU58+DS58+DQ58+DO58</f>
        <v>0</v>
      </c>
      <c r="EN58" s="643">
        <f t="shared" ref="EN58" si="242">+EN53+EN56</f>
        <v>0</v>
      </c>
      <c r="EO58" s="644">
        <f t="shared" ref="EO58" si="243">EO53+EO56</f>
        <v>0</v>
      </c>
      <c r="EP58" s="643">
        <f t="shared" ref="EP58:EQ58" si="244">+EP53+EP56</f>
        <v>0</v>
      </c>
      <c r="EQ58" s="643">
        <f t="shared" si="244"/>
        <v>0</v>
      </c>
      <c r="ER58" s="619">
        <f t="shared" si="10"/>
        <v>0</v>
      </c>
      <c r="ES58" s="619">
        <f t="shared" si="11"/>
        <v>1</v>
      </c>
      <c r="ET58" s="620">
        <f t="shared" si="12"/>
        <v>0.99569931289306779</v>
      </c>
      <c r="EU58" s="620">
        <f t="shared" si="13"/>
        <v>0.9001353283239496</v>
      </c>
      <c r="EV58" s="621">
        <f t="shared" si="14"/>
        <v>0.56359115706952911</v>
      </c>
      <c r="EW58" s="635"/>
      <c r="EX58" s="361"/>
      <c r="EY58" s="361"/>
      <c r="EZ58" s="361"/>
      <c r="FA58" s="361"/>
      <c r="FB58" s="360"/>
    </row>
    <row r="59" spans="1:158" s="165" customFormat="1" ht="24.75" customHeight="1" x14ac:dyDescent="0.25">
      <c r="A59" s="363" t="s">
        <v>5</v>
      </c>
      <c r="B59" s="363"/>
      <c r="C59" s="363"/>
      <c r="D59" s="363"/>
      <c r="E59" s="363"/>
      <c r="F59" s="665" t="s">
        <v>43</v>
      </c>
      <c r="G59" s="670">
        <f>+G11+G18+G25+G32+G39+G46+G53</f>
        <v>50718863034</v>
      </c>
      <c r="H59" s="671">
        <f t="shared" ref="H59:BS59" si="245">+H11+H18+H25+H32+H39+H46+H53</f>
        <v>4935454528</v>
      </c>
      <c r="I59" s="671">
        <f t="shared" si="245"/>
        <v>0</v>
      </c>
      <c r="J59" s="671">
        <f t="shared" si="245"/>
        <v>0</v>
      </c>
      <c r="K59" s="671">
        <f t="shared" si="245"/>
        <v>0</v>
      </c>
      <c r="L59" s="671">
        <f t="shared" si="245"/>
        <v>0</v>
      </c>
      <c r="M59" s="671">
        <f t="shared" si="245"/>
        <v>0</v>
      </c>
      <c r="N59" s="671">
        <f t="shared" si="245"/>
        <v>0</v>
      </c>
      <c r="O59" s="671">
        <f t="shared" si="245"/>
        <v>0</v>
      </c>
      <c r="P59" s="671">
        <f t="shared" si="245"/>
        <v>0</v>
      </c>
      <c r="Q59" s="671">
        <f t="shared" si="245"/>
        <v>0</v>
      </c>
      <c r="R59" s="671">
        <f t="shared" si="245"/>
        <v>0</v>
      </c>
      <c r="S59" s="671">
        <f t="shared" si="245"/>
        <v>0</v>
      </c>
      <c r="T59" s="671">
        <f t="shared" si="245"/>
        <v>0</v>
      </c>
      <c r="U59" s="671">
        <f t="shared" si="245"/>
        <v>0</v>
      </c>
      <c r="V59" s="671">
        <f t="shared" si="245"/>
        <v>0</v>
      </c>
      <c r="W59" s="671">
        <f t="shared" si="245"/>
        <v>4935454528</v>
      </c>
      <c r="X59" s="671">
        <f t="shared" si="245"/>
        <v>4935454528</v>
      </c>
      <c r="Y59" s="671">
        <f t="shared" si="245"/>
        <v>4588924316</v>
      </c>
      <c r="Z59" s="671">
        <f t="shared" si="245"/>
        <v>4935454528</v>
      </c>
      <c r="AA59" s="671">
        <f t="shared" si="245"/>
        <v>4588924316</v>
      </c>
      <c r="AB59" s="671">
        <f>+AB11+AB18+AB25+AB32+AB39+AB46+AB53</f>
        <v>10067880000</v>
      </c>
      <c r="AC59" s="671">
        <f t="shared" si="245"/>
        <v>0</v>
      </c>
      <c r="AD59" s="671">
        <f t="shared" si="245"/>
        <v>0</v>
      </c>
      <c r="AE59" s="671">
        <f t="shared" si="245"/>
        <v>2665269000</v>
      </c>
      <c r="AF59" s="671">
        <f t="shared" si="245"/>
        <v>2665269000</v>
      </c>
      <c r="AG59" s="671">
        <f t="shared" si="245"/>
        <v>3685714150</v>
      </c>
      <c r="AH59" s="671">
        <f t="shared" si="245"/>
        <v>3685714150</v>
      </c>
      <c r="AI59" s="671">
        <f t="shared" si="245"/>
        <v>881440491</v>
      </c>
      <c r="AJ59" s="671">
        <f t="shared" si="245"/>
        <v>472650491</v>
      </c>
      <c r="AK59" s="671">
        <f t="shared" si="245"/>
        <v>38307944</v>
      </c>
      <c r="AL59" s="671">
        <f t="shared" si="245"/>
        <v>38307944</v>
      </c>
      <c r="AM59" s="671">
        <f t="shared" ref="AM59:AN59" si="246">+AM11+AM18+AM25+AM32+AM39+AM46+AM53</f>
        <v>602029987.66666663</v>
      </c>
      <c r="AN59" s="671">
        <f t="shared" si="246"/>
        <v>702989174</v>
      </c>
      <c r="AO59" s="671">
        <f t="shared" si="245"/>
        <v>0</v>
      </c>
      <c r="AP59" s="671">
        <f t="shared" si="245"/>
        <v>24890000</v>
      </c>
      <c r="AQ59" s="671">
        <f t="shared" si="245"/>
        <v>570434551.00000024</v>
      </c>
      <c r="AR59" s="671">
        <f t="shared" si="245"/>
        <v>36764000</v>
      </c>
      <c r="AS59" s="671">
        <f t="shared" si="245"/>
        <v>546934551.00000024</v>
      </c>
      <c r="AT59" s="671">
        <f t="shared" si="245"/>
        <v>81226335</v>
      </c>
      <c r="AU59" s="671">
        <f t="shared" si="245"/>
        <v>425505170.33333331</v>
      </c>
      <c r="AV59" s="672">
        <f t="shared" ref="AV59:AX59" si="247">+AV11+AV18+AV25+AV32+AV39+AV46+AV53</f>
        <v>334066472</v>
      </c>
      <c r="AW59" s="672">
        <f t="shared" si="245"/>
        <v>314372077</v>
      </c>
      <c r="AX59" s="672">
        <f t="shared" si="247"/>
        <v>783609288</v>
      </c>
      <c r="AY59" s="672">
        <f t="shared" si="245"/>
        <v>314372078</v>
      </c>
      <c r="AZ59" s="672">
        <f t="shared" si="245"/>
        <v>811678864</v>
      </c>
      <c r="BA59" s="672">
        <f>+BA11+BA18+BA25+BA32+BA39+BA46+BA53</f>
        <v>10044380000</v>
      </c>
      <c r="BB59" s="672">
        <f>+BB11+BB18+BB25+BB32+BB39+BB46+BB53</f>
        <v>10044380000</v>
      </c>
      <c r="BC59" s="672">
        <f>+BC11+BC18+BC25+BC32+BC39+BC46+BC53</f>
        <v>9637165718</v>
      </c>
      <c r="BD59" s="672">
        <f t="shared" si="245"/>
        <v>10044380000</v>
      </c>
      <c r="BE59" s="672">
        <f t="shared" si="245"/>
        <v>9637165718</v>
      </c>
      <c r="BF59" s="671">
        <f t="shared" si="245"/>
        <v>16468441000</v>
      </c>
      <c r="BG59" s="671">
        <f t="shared" si="245"/>
        <v>9170512000</v>
      </c>
      <c r="BH59" s="671">
        <f t="shared" si="245"/>
        <v>8662799908</v>
      </c>
      <c r="BI59" s="671">
        <f>+BI11+BI18+BI25+BI32+BI39+BI46+BI53</f>
        <v>28000000</v>
      </c>
      <c r="BJ59" s="671">
        <f>+BJ11+BJ18+BJ25+BJ32+BJ39+BJ46+BJ53</f>
        <v>0</v>
      </c>
      <c r="BK59" s="671">
        <f t="shared" si="245"/>
        <v>1968874000</v>
      </c>
      <c r="BL59" s="671">
        <f>+BL11+BL18+BL25+BL32+BL39+BL46+BL53</f>
        <v>50000000</v>
      </c>
      <c r="BM59" s="671">
        <f t="shared" si="245"/>
        <v>871146000</v>
      </c>
      <c r="BN59" s="671">
        <f t="shared" si="245"/>
        <v>0</v>
      </c>
      <c r="BO59" s="671">
        <f t="shared" si="245"/>
        <v>20000000</v>
      </c>
      <c r="BP59" s="671">
        <f t="shared" si="245"/>
        <v>0</v>
      </c>
      <c r="BQ59" s="671">
        <f t="shared" si="245"/>
        <v>4197269000</v>
      </c>
      <c r="BR59" s="671">
        <f t="shared" si="245"/>
        <v>0</v>
      </c>
      <c r="BS59" s="671">
        <f t="shared" si="245"/>
        <v>0</v>
      </c>
      <c r="BT59" s="671">
        <f t="shared" ref="BT59:DN59" si="248">+BT11+BT18+BT25+BT32+BT39+BT46+BT53</f>
        <v>0</v>
      </c>
      <c r="BU59" s="671">
        <f t="shared" si="248"/>
        <v>172640000</v>
      </c>
      <c r="BV59" s="671">
        <f t="shared" si="248"/>
        <v>0</v>
      </c>
      <c r="BW59" s="671">
        <f t="shared" si="248"/>
        <v>35000000</v>
      </c>
      <c r="BX59" s="671">
        <f t="shared" si="248"/>
        <v>0</v>
      </c>
      <c r="BY59" s="671">
        <f t="shared" si="248"/>
        <v>5000000</v>
      </c>
      <c r="BZ59" s="671">
        <f t="shared" si="248"/>
        <v>0</v>
      </c>
      <c r="CA59" s="671">
        <f t="shared" si="248"/>
        <v>0</v>
      </c>
      <c r="CB59" s="671">
        <f t="shared" si="248"/>
        <v>0</v>
      </c>
      <c r="CC59" s="671">
        <f t="shared" si="248"/>
        <v>0</v>
      </c>
      <c r="CD59" s="671">
        <f t="shared" si="248"/>
        <v>0</v>
      </c>
      <c r="CE59" s="671">
        <f t="shared" si="248"/>
        <v>16468441000</v>
      </c>
      <c r="CF59" s="671">
        <f t="shared" si="248"/>
        <v>11167386000</v>
      </c>
      <c r="CG59" s="671">
        <f t="shared" si="248"/>
        <v>8712799908</v>
      </c>
      <c r="CH59" s="671">
        <f t="shared" si="248"/>
        <v>16468441000</v>
      </c>
      <c r="CI59" s="671">
        <f t="shared" si="248"/>
        <v>8712799908</v>
      </c>
      <c r="CJ59" s="671">
        <f t="shared" si="248"/>
        <v>12995889000</v>
      </c>
      <c r="CK59" s="671">
        <f t="shared" si="248"/>
        <v>0</v>
      </c>
      <c r="CL59" s="671">
        <f t="shared" si="248"/>
        <v>0</v>
      </c>
      <c r="CM59" s="671">
        <f t="shared" si="248"/>
        <v>0</v>
      </c>
      <c r="CN59" s="671">
        <f t="shared" si="248"/>
        <v>0</v>
      </c>
      <c r="CO59" s="671">
        <f t="shared" si="248"/>
        <v>0</v>
      </c>
      <c r="CP59" s="671">
        <f t="shared" si="248"/>
        <v>0</v>
      </c>
      <c r="CQ59" s="671">
        <f t="shared" si="248"/>
        <v>0</v>
      </c>
      <c r="CR59" s="671">
        <f t="shared" si="248"/>
        <v>0</v>
      </c>
      <c r="CS59" s="671">
        <f t="shared" si="248"/>
        <v>0</v>
      </c>
      <c r="CT59" s="671">
        <f t="shared" si="248"/>
        <v>0</v>
      </c>
      <c r="CU59" s="671">
        <f t="shared" si="248"/>
        <v>0</v>
      </c>
      <c r="CV59" s="671">
        <f t="shared" si="248"/>
        <v>0</v>
      </c>
      <c r="CW59" s="671">
        <f t="shared" si="248"/>
        <v>0</v>
      </c>
      <c r="CX59" s="671">
        <f t="shared" si="248"/>
        <v>0</v>
      </c>
      <c r="CY59" s="671">
        <f t="shared" si="248"/>
        <v>0</v>
      </c>
      <c r="CZ59" s="671">
        <f t="shared" si="248"/>
        <v>0</v>
      </c>
      <c r="DA59" s="671">
        <f t="shared" si="248"/>
        <v>0</v>
      </c>
      <c r="DB59" s="671">
        <f t="shared" si="248"/>
        <v>0</v>
      </c>
      <c r="DC59" s="671">
        <f t="shared" si="248"/>
        <v>0</v>
      </c>
      <c r="DD59" s="671">
        <f t="shared" si="248"/>
        <v>0</v>
      </c>
      <c r="DE59" s="671">
        <f t="shared" si="248"/>
        <v>0</v>
      </c>
      <c r="DF59" s="671">
        <f t="shared" si="248"/>
        <v>0</v>
      </c>
      <c r="DG59" s="671">
        <f t="shared" si="248"/>
        <v>0</v>
      </c>
      <c r="DH59" s="671">
        <f t="shared" si="248"/>
        <v>0</v>
      </c>
      <c r="DI59" s="671">
        <f t="shared" si="248"/>
        <v>0</v>
      </c>
      <c r="DJ59" s="671">
        <f t="shared" si="248"/>
        <v>0</v>
      </c>
      <c r="DK59" s="671">
        <f t="shared" si="248"/>
        <v>0</v>
      </c>
      <c r="DL59" s="671">
        <f t="shared" si="248"/>
        <v>0</v>
      </c>
      <c r="DM59" s="671">
        <f t="shared" si="248"/>
        <v>0</v>
      </c>
      <c r="DN59" s="673">
        <f t="shared" si="248"/>
        <v>7028443000</v>
      </c>
      <c r="DO59" s="667"/>
      <c r="DP59" s="663"/>
      <c r="DQ59" s="663"/>
      <c r="DR59" s="663"/>
      <c r="DS59" s="663"/>
      <c r="DT59" s="663"/>
      <c r="DU59" s="663"/>
      <c r="DV59" s="663"/>
      <c r="DW59" s="663"/>
      <c r="DX59" s="663"/>
      <c r="DY59" s="663"/>
      <c r="DZ59" s="663"/>
      <c r="EA59" s="663"/>
      <c r="EB59" s="663"/>
      <c r="EC59" s="663"/>
      <c r="ED59" s="663"/>
      <c r="EE59" s="663"/>
      <c r="EF59" s="663"/>
      <c r="EG59" s="663"/>
      <c r="EH59" s="663"/>
      <c r="EI59" s="663"/>
      <c r="EJ59" s="663"/>
      <c r="EK59" s="663"/>
      <c r="EL59" s="663"/>
      <c r="EM59" s="663"/>
      <c r="EN59" s="663"/>
      <c r="EO59" s="663"/>
      <c r="EP59" s="663"/>
      <c r="EQ59" s="663"/>
      <c r="ER59" s="664"/>
      <c r="ES59" s="664"/>
      <c r="ET59" s="664"/>
      <c r="EU59" s="664"/>
      <c r="EV59" s="664"/>
      <c r="EW59" s="386"/>
      <c r="EX59" s="386"/>
      <c r="EY59" s="386"/>
      <c r="EZ59" s="386"/>
      <c r="FA59" s="386"/>
    </row>
    <row r="60" spans="1:158" s="165" customFormat="1" ht="24.75" customHeight="1" x14ac:dyDescent="0.25">
      <c r="A60" s="363"/>
      <c r="B60" s="363"/>
      <c r="C60" s="363"/>
      <c r="D60" s="363"/>
      <c r="E60" s="363"/>
      <c r="F60" s="666" t="s">
        <v>45</v>
      </c>
      <c r="G60" s="674">
        <f>+G14+G21+G28+G35+G42+G49+G56</f>
        <v>3743367780.8304195</v>
      </c>
      <c r="H60" s="284">
        <f t="shared" ref="H60:BB60" si="249">+H14+H21+H28+H35+H42+H49+H56</f>
        <v>492875980</v>
      </c>
      <c r="I60" s="284">
        <f t="shared" si="249"/>
        <v>0</v>
      </c>
      <c r="J60" s="284">
        <f t="shared" si="249"/>
        <v>0</v>
      </c>
      <c r="K60" s="284">
        <f t="shared" si="249"/>
        <v>0</v>
      </c>
      <c r="L60" s="284">
        <f t="shared" si="249"/>
        <v>0</v>
      </c>
      <c r="M60" s="284">
        <f t="shared" si="249"/>
        <v>0</v>
      </c>
      <c r="N60" s="284">
        <f t="shared" si="249"/>
        <v>0</v>
      </c>
      <c r="O60" s="284">
        <f t="shared" si="249"/>
        <v>0</v>
      </c>
      <c r="P60" s="284">
        <f t="shared" si="249"/>
        <v>0</v>
      </c>
      <c r="Q60" s="284">
        <f t="shared" si="249"/>
        <v>0</v>
      </c>
      <c r="R60" s="284">
        <f t="shared" si="249"/>
        <v>0</v>
      </c>
      <c r="S60" s="284">
        <f t="shared" si="249"/>
        <v>0</v>
      </c>
      <c r="T60" s="284">
        <f t="shared" si="249"/>
        <v>0</v>
      </c>
      <c r="U60" s="284">
        <f t="shared" si="249"/>
        <v>0</v>
      </c>
      <c r="V60" s="284">
        <f t="shared" si="249"/>
        <v>0</v>
      </c>
      <c r="W60" s="284">
        <f t="shared" si="249"/>
        <v>492875980</v>
      </c>
      <c r="X60" s="284">
        <f t="shared" si="249"/>
        <v>492875980</v>
      </c>
      <c r="Y60" s="284">
        <f t="shared" si="249"/>
        <v>0</v>
      </c>
      <c r="Z60" s="284">
        <f t="shared" si="249"/>
        <v>492875980</v>
      </c>
      <c r="AA60" s="284">
        <f t="shared" si="249"/>
        <v>0</v>
      </c>
      <c r="AB60" s="284">
        <f>+AB14+AB21+AB28+AB35+AB42+AB49+AB56</f>
        <v>1796461446</v>
      </c>
      <c r="AC60" s="284">
        <f>+AC14+AC21+AC28+AC35+AC42+AC49+AC56</f>
        <v>420302557</v>
      </c>
      <c r="AD60" s="284">
        <f t="shared" si="249"/>
        <v>420302557</v>
      </c>
      <c r="AE60" s="284">
        <f t="shared" si="249"/>
        <v>475612458</v>
      </c>
      <c r="AF60" s="284">
        <f t="shared" si="249"/>
        <v>475612458</v>
      </c>
      <c r="AG60" s="284">
        <f t="shared" si="249"/>
        <v>237108188</v>
      </c>
      <c r="AH60" s="284">
        <f t="shared" si="249"/>
        <v>237108188</v>
      </c>
      <c r="AI60" s="284">
        <f t="shared" si="249"/>
        <v>109178008</v>
      </c>
      <c r="AJ60" s="284">
        <f t="shared" si="249"/>
        <v>109178008</v>
      </c>
      <c r="AK60" s="284">
        <f>+AK14+AK21+AK28+AK35+AK42+AK49+AK56</f>
        <v>142791967</v>
      </c>
      <c r="AL60" s="284">
        <f>+AL14+AL21+AL28+AL35+AL42+AL49+AL56</f>
        <v>142791967</v>
      </c>
      <c r="AM60" s="284">
        <f>+AM14+AM21+AM28+AM35+AM42+AM49+AM56</f>
        <v>135933686</v>
      </c>
      <c r="AN60" s="284">
        <f t="shared" ref="AN60" si="250">+AN14+AN21+AN28+AN35+AN42+AN49+AN56</f>
        <v>140092408</v>
      </c>
      <c r="AO60" s="284">
        <f t="shared" si="249"/>
        <v>63971107</v>
      </c>
      <c r="AP60" s="284">
        <f t="shared" si="249"/>
        <v>0</v>
      </c>
      <c r="AQ60" s="284">
        <f>+AQ14+AQ21+AQ28+AQ35+AQ42+AQ49+AQ56</f>
        <v>81086539</v>
      </c>
      <c r="AR60" s="284">
        <f t="shared" si="249"/>
        <v>112211559</v>
      </c>
      <c r="AS60" s="284">
        <f t="shared" si="249"/>
        <v>105781038</v>
      </c>
      <c r="AT60" s="284">
        <f>+AT14+AT21+AT28+AT35+AT42+AT49+AT56</f>
        <v>1564253</v>
      </c>
      <c r="AU60" s="284">
        <f t="shared" si="249"/>
        <v>-8431</v>
      </c>
      <c r="AV60" s="675">
        <f>+AV14+AV21+AV28+AV35+AV42+AV49+AV56</f>
        <v>12817727</v>
      </c>
      <c r="AW60" s="675">
        <f t="shared" si="249"/>
        <v>-1342800</v>
      </c>
      <c r="AX60" s="675">
        <f>+AX14+AX21+AX28+AX35+AX42+AX49+AX56</f>
        <v>34756414</v>
      </c>
      <c r="AY60" s="675">
        <f t="shared" si="249"/>
        <v>0</v>
      </c>
      <c r="AZ60" s="675">
        <f>+AZ14+AZ21+AZ28+AZ35+AZ42+AZ49+AZ56</f>
        <v>14850182.830419362</v>
      </c>
      <c r="BA60" s="675">
        <f t="shared" si="249"/>
        <v>1770414317</v>
      </c>
      <c r="BB60" s="675">
        <f t="shared" si="249"/>
        <v>1770414317</v>
      </c>
      <c r="BC60" s="675">
        <f t="shared" ref="BC60:BI60" si="251">+BC14+BC21+BC28+BC35+BC42+BC49+BC56</f>
        <v>1701285721.8304193</v>
      </c>
      <c r="BD60" s="675">
        <f t="shared" si="251"/>
        <v>1770414317</v>
      </c>
      <c r="BE60" s="675">
        <f t="shared" si="251"/>
        <v>1701285721.8304193</v>
      </c>
      <c r="BF60" s="284">
        <f t="shared" si="251"/>
        <v>2042082059</v>
      </c>
      <c r="BG60" s="284">
        <f t="shared" si="251"/>
        <v>103664081</v>
      </c>
      <c r="BH60" s="284">
        <f t="shared" si="251"/>
        <v>0</v>
      </c>
      <c r="BI60" s="284">
        <f t="shared" si="251"/>
        <v>384363706</v>
      </c>
      <c r="BJ60" s="284">
        <f>+BJ14+BJ21+BJ28+BJ35+BJ42+BJ49+BJ56</f>
        <v>275548817</v>
      </c>
      <c r="BK60" s="284">
        <f>+BN14+BK21+BN28+BN35+BK42+BK49+BK56</f>
        <v>154736685</v>
      </c>
      <c r="BL60" s="284">
        <f>+BL14+BL21+BL28+BL35+BL42+BL49+BL56</f>
        <v>147612533</v>
      </c>
      <c r="BM60" s="284">
        <f>+BS14+BM21+BS28+BS35+BM42+BM49+BM56</f>
        <v>288510348</v>
      </c>
      <c r="BN60" s="284">
        <f>+BU14+BN21+BU28+BU35+BN42+BN49+BN56</f>
        <v>42033582</v>
      </c>
      <c r="BO60" s="284">
        <f t="shared" ref="BO60:CC60" si="252">+BR14+BO21+BR28+BR35+BO42+BO49+BO56</f>
        <v>0</v>
      </c>
      <c r="BP60" s="284">
        <f t="shared" si="252"/>
        <v>288510348</v>
      </c>
      <c r="BQ60" s="284">
        <f t="shared" si="252"/>
        <v>0</v>
      </c>
      <c r="BR60" s="284">
        <f t="shared" si="252"/>
        <v>42033582</v>
      </c>
      <c r="BS60" s="284">
        <f t="shared" si="252"/>
        <v>0</v>
      </c>
      <c r="BT60" s="284">
        <f t="shared" si="252"/>
        <v>38400000</v>
      </c>
      <c r="BU60" s="284">
        <f t="shared" si="252"/>
        <v>0</v>
      </c>
      <c r="BV60" s="284">
        <f t="shared" si="252"/>
        <v>38000000</v>
      </c>
      <c r="BW60" s="284">
        <f t="shared" si="252"/>
        <v>0</v>
      </c>
      <c r="BX60" s="284">
        <f t="shared" si="252"/>
        <v>31117123</v>
      </c>
      <c r="BY60" s="284">
        <f t="shared" si="252"/>
        <v>0</v>
      </c>
      <c r="BZ60" s="284">
        <f t="shared" si="252"/>
        <v>0</v>
      </c>
      <c r="CA60" s="284">
        <f t="shared" si="252"/>
        <v>0</v>
      </c>
      <c r="CB60" s="284">
        <f t="shared" si="252"/>
        <v>1678765833</v>
      </c>
      <c r="CC60" s="284">
        <f t="shared" si="252"/>
        <v>443964978</v>
      </c>
      <c r="CD60" s="284">
        <f t="shared" ref="CD60:DN60" si="253">+CD14+CD21+CD28+CD35+CD42+CD49+CD56</f>
        <v>0</v>
      </c>
      <c r="CE60" s="284">
        <f t="shared" si="253"/>
        <v>2042082059</v>
      </c>
      <c r="CF60" s="284">
        <f t="shared" si="253"/>
        <v>807281204</v>
      </c>
      <c r="CG60" s="284">
        <f t="shared" si="253"/>
        <v>423161350</v>
      </c>
      <c r="CH60" s="284">
        <f>+CH14+CH21+CH28+CH35+CH42+CH49+CH56</f>
        <v>2042082059</v>
      </c>
      <c r="CI60" s="284">
        <f t="shared" si="253"/>
        <v>423161350</v>
      </c>
      <c r="CJ60" s="284">
        <f t="shared" si="253"/>
        <v>0</v>
      </c>
      <c r="CK60" s="284">
        <f t="shared" si="253"/>
        <v>0</v>
      </c>
      <c r="CL60" s="284">
        <f t="shared" si="253"/>
        <v>0</v>
      </c>
      <c r="CM60" s="284">
        <f t="shared" si="253"/>
        <v>0</v>
      </c>
      <c r="CN60" s="284">
        <f t="shared" si="253"/>
        <v>0</v>
      </c>
      <c r="CO60" s="284">
        <f t="shared" si="253"/>
        <v>0</v>
      </c>
      <c r="CP60" s="284">
        <f t="shared" si="253"/>
        <v>0</v>
      </c>
      <c r="CQ60" s="284">
        <f t="shared" si="253"/>
        <v>0</v>
      </c>
      <c r="CR60" s="284">
        <f t="shared" si="253"/>
        <v>0</v>
      </c>
      <c r="CS60" s="284">
        <f t="shared" si="253"/>
        <v>0</v>
      </c>
      <c r="CT60" s="284">
        <f t="shared" si="253"/>
        <v>0</v>
      </c>
      <c r="CU60" s="284">
        <f t="shared" si="253"/>
        <v>0</v>
      </c>
      <c r="CV60" s="284">
        <f t="shared" si="253"/>
        <v>0</v>
      </c>
      <c r="CW60" s="284">
        <f t="shared" si="253"/>
        <v>0</v>
      </c>
      <c r="CX60" s="284">
        <f t="shared" si="253"/>
        <v>0</v>
      </c>
      <c r="CY60" s="284">
        <f t="shared" si="253"/>
        <v>0</v>
      </c>
      <c r="CZ60" s="284">
        <f t="shared" si="253"/>
        <v>0</v>
      </c>
      <c r="DA60" s="284">
        <f t="shared" si="253"/>
        <v>0</v>
      </c>
      <c r="DB60" s="284">
        <f t="shared" si="253"/>
        <v>0</v>
      </c>
      <c r="DC60" s="284">
        <f t="shared" si="253"/>
        <v>0</v>
      </c>
      <c r="DD60" s="284">
        <f t="shared" si="253"/>
        <v>0</v>
      </c>
      <c r="DE60" s="284">
        <f t="shared" si="253"/>
        <v>0</v>
      </c>
      <c r="DF60" s="284">
        <f t="shared" si="253"/>
        <v>0</v>
      </c>
      <c r="DG60" s="284">
        <f t="shared" si="253"/>
        <v>0</v>
      </c>
      <c r="DH60" s="284">
        <f t="shared" si="253"/>
        <v>0</v>
      </c>
      <c r="DI60" s="284">
        <f t="shared" si="253"/>
        <v>0</v>
      </c>
      <c r="DJ60" s="284">
        <f t="shared" si="253"/>
        <v>0</v>
      </c>
      <c r="DK60" s="284">
        <f t="shared" si="253"/>
        <v>0</v>
      </c>
      <c r="DL60" s="284">
        <f t="shared" si="253"/>
        <v>0</v>
      </c>
      <c r="DM60" s="284">
        <f t="shared" si="253"/>
        <v>0</v>
      </c>
      <c r="DN60" s="676">
        <f t="shared" si="253"/>
        <v>0</v>
      </c>
      <c r="DO60" s="668"/>
      <c r="DP60" s="134"/>
      <c r="DQ60" s="134"/>
      <c r="DR60" s="134"/>
      <c r="DS60" s="134"/>
      <c r="DT60" s="134"/>
      <c r="DU60" s="134"/>
      <c r="DV60" s="134"/>
      <c r="DW60" s="134"/>
      <c r="DX60" s="134"/>
      <c r="DY60" s="134"/>
      <c r="DZ60" s="134"/>
      <c r="EA60" s="134"/>
      <c r="EB60" s="134"/>
      <c r="EC60" s="134"/>
      <c r="ED60" s="134"/>
      <c r="EE60" s="134"/>
      <c r="EF60" s="134"/>
      <c r="EG60" s="166"/>
      <c r="EH60" s="166"/>
      <c r="EI60" s="166"/>
      <c r="EJ60" s="166"/>
      <c r="EK60" s="166"/>
      <c r="EL60" s="166"/>
      <c r="EM60" s="134"/>
      <c r="EN60" s="135"/>
      <c r="EO60" s="135"/>
      <c r="EP60" s="135"/>
      <c r="EQ60" s="135"/>
      <c r="ER60" s="386"/>
      <c r="ES60" s="386"/>
      <c r="ET60" s="386"/>
      <c r="EU60" s="386"/>
      <c r="EV60" s="386"/>
      <c r="EW60" s="386"/>
      <c r="EX60" s="386"/>
      <c r="EY60" s="386"/>
      <c r="EZ60" s="386"/>
      <c r="FA60" s="386"/>
    </row>
    <row r="61" spans="1:158" s="165" customFormat="1" ht="24.75" customHeight="1" thickBot="1" x14ac:dyDescent="0.3">
      <c r="A61" s="363"/>
      <c r="B61" s="363"/>
      <c r="C61" s="363"/>
      <c r="D61" s="363"/>
      <c r="E61" s="363"/>
      <c r="F61" s="665" t="s">
        <v>46</v>
      </c>
      <c r="G61" s="677">
        <f>SUM(G59:G60)</f>
        <v>54462230814.830421</v>
      </c>
      <c r="H61" s="678">
        <f t="shared" ref="H61:BS61" si="254">SUM(H59:H60)</f>
        <v>5428330508</v>
      </c>
      <c r="I61" s="678">
        <f t="shared" si="254"/>
        <v>0</v>
      </c>
      <c r="J61" s="678">
        <f t="shared" si="254"/>
        <v>0</v>
      </c>
      <c r="K61" s="678">
        <f t="shared" si="254"/>
        <v>0</v>
      </c>
      <c r="L61" s="678">
        <f t="shared" si="254"/>
        <v>0</v>
      </c>
      <c r="M61" s="678">
        <f t="shared" si="254"/>
        <v>0</v>
      </c>
      <c r="N61" s="678">
        <f t="shared" si="254"/>
        <v>0</v>
      </c>
      <c r="O61" s="678">
        <f t="shared" si="254"/>
        <v>0</v>
      </c>
      <c r="P61" s="678">
        <f t="shared" si="254"/>
        <v>0</v>
      </c>
      <c r="Q61" s="678">
        <f t="shared" si="254"/>
        <v>0</v>
      </c>
      <c r="R61" s="678">
        <f t="shared" si="254"/>
        <v>0</v>
      </c>
      <c r="S61" s="678">
        <f t="shared" si="254"/>
        <v>0</v>
      </c>
      <c r="T61" s="678">
        <f t="shared" si="254"/>
        <v>0</v>
      </c>
      <c r="U61" s="678">
        <f t="shared" si="254"/>
        <v>0</v>
      </c>
      <c r="V61" s="678">
        <f t="shared" si="254"/>
        <v>0</v>
      </c>
      <c r="W61" s="678">
        <f t="shared" si="254"/>
        <v>5428330508</v>
      </c>
      <c r="X61" s="678">
        <f t="shared" si="254"/>
        <v>5428330508</v>
      </c>
      <c r="Y61" s="678">
        <f t="shared" si="254"/>
        <v>4588924316</v>
      </c>
      <c r="Z61" s="678">
        <f t="shared" si="254"/>
        <v>5428330508</v>
      </c>
      <c r="AA61" s="678">
        <f t="shared" si="254"/>
        <v>4588924316</v>
      </c>
      <c r="AB61" s="678">
        <f t="shared" si="254"/>
        <v>11864341446</v>
      </c>
      <c r="AC61" s="678">
        <f t="shared" si="254"/>
        <v>420302557</v>
      </c>
      <c r="AD61" s="678">
        <f t="shared" si="254"/>
        <v>420302557</v>
      </c>
      <c r="AE61" s="678">
        <f t="shared" si="254"/>
        <v>3140881458</v>
      </c>
      <c r="AF61" s="678">
        <f t="shared" si="254"/>
        <v>3140881458</v>
      </c>
      <c r="AG61" s="678">
        <f t="shared" si="254"/>
        <v>3922822338</v>
      </c>
      <c r="AH61" s="678">
        <f t="shared" si="254"/>
        <v>3922822338</v>
      </c>
      <c r="AI61" s="678">
        <f t="shared" si="254"/>
        <v>990618499</v>
      </c>
      <c r="AJ61" s="678">
        <f t="shared" si="254"/>
        <v>581828499</v>
      </c>
      <c r="AK61" s="678">
        <f t="shared" si="254"/>
        <v>181099911</v>
      </c>
      <c r="AL61" s="678">
        <f t="shared" si="254"/>
        <v>181099911</v>
      </c>
      <c r="AM61" s="678">
        <f t="shared" si="254"/>
        <v>737963673.66666663</v>
      </c>
      <c r="AN61" s="678">
        <f t="shared" ref="AN61" si="255">SUM(AN59:AN60)</f>
        <v>843081582</v>
      </c>
      <c r="AO61" s="678">
        <f t="shared" si="254"/>
        <v>63971107</v>
      </c>
      <c r="AP61" s="678">
        <f t="shared" si="254"/>
        <v>24890000</v>
      </c>
      <c r="AQ61" s="678">
        <f t="shared" si="254"/>
        <v>651521090.00000024</v>
      </c>
      <c r="AR61" s="678">
        <f t="shared" si="254"/>
        <v>148975559</v>
      </c>
      <c r="AS61" s="678">
        <f t="shared" si="254"/>
        <v>652715589.00000024</v>
      </c>
      <c r="AT61" s="678">
        <f t="shared" si="254"/>
        <v>82790588</v>
      </c>
      <c r="AU61" s="678">
        <f t="shared" si="254"/>
        <v>425496739.33333331</v>
      </c>
      <c r="AV61" s="678">
        <f t="shared" ref="AV61:AX61" si="256">SUM(AV59:AV60)</f>
        <v>346884199</v>
      </c>
      <c r="AW61" s="678">
        <f t="shared" si="254"/>
        <v>313029277</v>
      </c>
      <c r="AX61" s="678">
        <f t="shared" si="256"/>
        <v>818365702</v>
      </c>
      <c r="AY61" s="678">
        <f t="shared" si="254"/>
        <v>314372078</v>
      </c>
      <c r="AZ61" s="678">
        <f t="shared" si="254"/>
        <v>826529046.8304193</v>
      </c>
      <c r="BA61" s="678">
        <f t="shared" si="254"/>
        <v>11814794317</v>
      </c>
      <c r="BB61" s="678">
        <f t="shared" si="254"/>
        <v>11814794317</v>
      </c>
      <c r="BC61" s="678">
        <f t="shared" si="254"/>
        <v>11338451439.83042</v>
      </c>
      <c r="BD61" s="678">
        <f t="shared" si="254"/>
        <v>11814794317</v>
      </c>
      <c r="BE61" s="678">
        <f t="shared" si="254"/>
        <v>11338451439.83042</v>
      </c>
      <c r="BF61" s="678">
        <f t="shared" si="254"/>
        <v>18510523059</v>
      </c>
      <c r="BG61" s="678">
        <f t="shared" si="254"/>
        <v>9274176081</v>
      </c>
      <c r="BH61" s="678">
        <f t="shared" si="254"/>
        <v>8662799908</v>
      </c>
      <c r="BI61" s="678">
        <f t="shared" si="254"/>
        <v>412363706</v>
      </c>
      <c r="BJ61" s="678">
        <f t="shared" ref="BJ61" si="257">SUM(BJ59:BJ60)</f>
        <v>275548817</v>
      </c>
      <c r="BK61" s="678">
        <f t="shared" si="254"/>
        <v>2123610685</v>
      </c>
      <c r="BL61" s="678">
        <f t="shared" si="254"/>
        <v>197612533</v>
      </c>
      <c r="BM61" s="678">
        <f t="shared" si="254"/>
        <v>1159656348</v>
      </c>
      <c r="BN61" s="678">
        <f t="shared" si="254"/>
        <v>42033582</v>
      </c>
      <c r="BO61" s="678">
        <f t="shared" si="254"/>
        <v>20000000</v>
      </c>
      <c r="BP61" s="678">
        <f t="shared" si="254"/>
        <v>288510348</v>
      </c>
      <c r="BQ61" s="678">
        <f t="shared" si="254"/>
        <v>4197269000</v>
      </c>
      <c r="BR61" s="678">
        <f t="shared" si="254"/>
        <v>42033582</v>
      </c>
      <c r="BS61" s="678">
        <f t="shared" si="254"/>
        <v>0</v>
      </c>
      <c r="BT61" s="678">
        <f t="shared" ref="BT61:DN61" si="258">SUM(BT59:BT60)</f>
        <v>38400000</v>
      </c>
      <c r="BU61" s="678">
        <f t="shared" si="258"/>
        <v>172640000</v>
      </c>
      <c r="BV61" s="678">
        <f t="shared" si="258"/>
        <v>38000000</v>
      </c>
      <c r="BW61" s="678">
        <f t="shared" si="258"/>
        <v>35000000</v>
      </c>
      <c r="BX61" s="678">
        <f t="shared" si="258"/>
        <v>31117123</v>
      </c>
      <c r="BY61" s="678">
        <f t="shared" si="258"/>
        <v>5000000</v>
      </c>
      <c r="BZ61" s="678">
        <f t="shared" si="258"/>
        <v>0</v>
      </c>
      <c r="CA61" s="678">
        <f t="shared" si="258"/>
        <v>0</v>
      </c>
      <c r="CB61" s="678">
        <f t="shared" si="258"/>
        <v>1678765833</v>
      </c>
      <c r="CC61" s="678">
        <f t="shared" si="258"/>
        <v>443964978</v>
      </c>
      <c r="CD61" s="678">
        <f t="shared" si="258"/>
        <v>0</v>
      </c>
      <c r="CE61" s="678">
        <f t="shared" si="258"/>
        <v>18510523059</v>
      </c>
      <c r="CF61" s="678">
        <f t="shared" si="258"/>
        <v>11974667204</v>
      </c>
      <c r="CG61" s="678">
        <f t="shared" si="258"/>
        <v>9135961258</v>
      </c>
      <c r="CH61" s="678">
        <f t="shared" si="258"/>
        <v>18510523059</v>
      </c>
      <c r="CI61" s="678">
        <f t="shared" si="258"/>
        <v>9135961258</v>
      </c>
      <c r="CJ61" s="678">
        <f t="shared" si="258"/>
        <v>12995889000</v>
      </c>
      <c r="CK61" s="678">
        <f t="shared" si="258"/>
        <v>0</v>
      </c>
      <c r="CL61" s="678">
        <f t="shared" si="258"/>
        <v>0</v>
      </c>
      <c r="CM61" s="678">
        <f t="shared" si="258"/>
        <v>0</v>
      </c>
      <c r="CN61" s="678">
        <f t="shared" si="258"/>
        <v>0</v>
      </c>
      <c r="CO61" s="678">
        <f t="shared" si="258"/>
        <v>0</v>
      </c>
      <c r="CP61" s="678">
        <f t="shared" si="258"/>
        <v>0</v>
      </c>
      <c r="CQ61" s="678">
        <f t="shared" si="258"/>
        <v>0</v>
      </c>
      <c r="CR61" s="678">
        <f t="shared" si="258"/>
        <v>0</v>
      </c>
      <c r="CS61" s="678">
        <f t="shared" si="258"/>
        <v>0</v>
      </c>
      <c r="CT61" s="678">
        <f t="shared" si="258"/>
        <v>0</v>
      </c>
      <c r="CU61" s="678">
        <f t="shared" si="258"/>
        <v>0</v>
      </c>
      <c r="CV61" s="678">
        <f t="shared" si="258"/>
        <v>0</v>
      </c>
      <c r="CW61" s="678">
        <f t="shared" si="258"/>
        <v>0</v>
      </c>
      <c r="CX61" s="678">
        <f t="shared" si="258"/>
        <v>0</v>
      </c>
      <c r="CY61" s="678">
        <f t="shared" si="258"/>
        <v>0</v>
      </c>
      <c r="CZ61" s="678">
        <f t="shared" si="258"/>
        <v>0</v>
      </c>
      <c r="DA61" s="678">
        <f t="shared" si="258"/>
        <v>0</v>
      </c>
      <c r="DB61" s="678">
        <f t="shared" si="258"/>
        <v>0</v>
      </c>
      <c r="DC61" s="678">
        <f t="shared" si="258"/>
        <v>0</v>
      </c>
      <c r="DD61" s="678">
        <f t="shared" si="258"/>
        <v>0</v>
      </c>
      <c r="DE61" s="678">
        <f t="shared" si="258"/>
        <v>0</v>
      </c>
      <c r="DF61" s="678">
        <f t="shared" si="258"/>
        <v>0</v>
      </c>
      <c r="DG61" s="678">
        <f t="shared" si="258"/>
        <v>0</v>
      </c>
      <c r="DH61" s="678">
        <f t="shared" si="258"/>
        <v>0</v>
      </c>
      <c r="DI61" s="678">
        <f t="shared" si="258"/>
        <v>0</v>
      </c>
      <c r="DJ61" s="678">
        <f t="shared" si="258"/>
        <v>0</v>
      </c>
      <c r="DK61" s="678">
        <f t="shared" si="258"/>
        <v>0</v>
      </c>
      <c r="DL61" s="678">
        <f t="shared" si="258"/>
        <v>0</v>
      </c>
      <c r="DM61" s="678">
        <f t="shared" si="258"/>
        <v>0</v>
      </c>
      <c r="DN61" s="679">
        <f t="shared" si="258"/>
        <v>7028443000</v>
      </c>
      <c r="DO61" s="669"/>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6"/>
      <c r="EN61" s="226"/>
      <c r="EO61" s="226"/>
      <c r="EP61" s="226"/>
      <c r="EQ61" s="226"/>
      <c r="ER61" s="386"/>
      <c r="ES61" s="386"/>
      <c r="ET61" s="386"/>
      <c r="EU61" s="386"/>
      <c r="EV61" s="386"/>
      <c r="EW61" s="386"/>
      <c r="EX61" s="386"/>
      <c r="EY61" s="386"/>
      <c r="EZ61" s="386"/>
      <c r="FA61" s="386"/>
    </row>
    <row r="62" spans="1:158" ht="24.75" customHeight="1" x14ac:dyDescent="0.25">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261"/>
      <c r="BD62" s="246"/>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row>
    <row r="63" spans="1:158" ht="24.75" customHeight="1" x14ac:dyDescent="0.25">
      <c r="F63" s="26" t="s">
        <v>34</v>
      </c>
      <c r="G63" s="24"/>
      <c r="H63" s="24"/>
      <c r="I63" s="25"/>
      <c r="J63" s="62"/>
      <c r="K63" s="25"/>
      <c r="L63" s="25"/>
      <c r="M63" s="25"/>
      <c r="N63" s="25"/>
      <c r="O63" s="25"/>
      <c r="P63" s="25"/>
      <c r="Q63" s="25"/>
      <c r="R63" s="25"/>
      <c r="S63" s="25"/>
      <c r="T63" s="25"/>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71"/>
      <c r="BE63" s="1"/>
      <c r="BF63" s="50"/>
      <c r="BW63" s="1"/>
      <c r="BX63" s="1"/>
      <c r="BY63" s="1"/>
      <c r="BZ63" s="1"/>
      <c r="CA63" s="1"/>
      <c r="CB63" s="1"/>
      <c r="CC63" s="1"/>
      <c r="CD63" s="1"/>
      <c r="CE63" s="1"/>
      <c r="CF63" s="1"/>
      <c r="CG63" s="1"/>
      <c r="CH63" s="1"/>
      <c r="CI63" s="1"/>
    </row>
    <row r="64" spans="1:158" ht="24.75" customHeight="1" x14ac:dyDescent="0.25">
      <c r="F64" s="323" t="s">
        <v>35</v>
      </c>
      <c r="G64" s="352" t="s">
        <v>36</v>
      </c>
      <c r="H64" s="353"/>
      <c r="I64" s="353"/>
      <c r="J64" s="353"/>
      <c r="K64" s="353"/>
      <c r="L64" s="353"/>
      <c r="M64" s="354"/>
      <c r="N64" s="680" t="s">
        <v>37</v>
      </c>
      <c r="O64" s="681"/>
      <c r="P64" s="681"/>
      <c r="Q64" s="681"/>
      <c r="R64" s="681"/>
      <c r="S64" s="681"/>
      <c r="T64" s="682"/>
      <c r="AW64" s="47"/>
      <c r="BF64" s="71"/>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row>
    <row r="65" spans="6:136" ht="24.75" customHeight="1" x14ac:dyDescent="0.25">
      <c r="F65" s="326">
        <v>13</v>
      </c>
      <c r="G65" s="358" t="s">
        <v>89</v>
      </c>
      <c r="H65" s="358"/>
      <c r="I65" s="358"/>
      <c r="J65" s="358"/>
      <c r="K65" s="358"/>
      <c r="L65" s="358"/>
      <c r="M65" s="358"/>
      <c r="N65" s="683" t="s">
        <v>80</v>
      </c>
      <c r="O65" s="683"/>
      <c r="P65" s="683"/>
      <c r="Q65" s="683"/>
      <c r="R65" s="683"/>
      <c r="S65" s="683"/>
      <c r="T65" s="683"/>
      <c r="AW65" s="47"/>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69"/>
      <c r="DJ65" s="69"/>
      <c r="DK65" s="69"/>
      <c r="DL65" s="69"/>
      <c r="DM65" s="69"/>
      <c r="DN65" s="70"/>
      <c r="DO65" s="70"/>
      <c r="DP65" s="70"/>
      <c r="DQ65" s="70"/>
      <c r="DR65" s="70"/>
      <c r="DS65" s="70"/>
      <c r="DT65" s="70"/>
      <c r="DU65" s="70"/>
      <c r="DV65" s="70"/>
      <c r="DW65" s="70"/>
      <c r="DX65" s="70"/>
      <c r="DY65" s="70"/>
      <c r="DZ65" s="70"/>
      <c r="EA65" s="70"/>
      <c r="EB65" s="70"/>
      <c r="EC65" s="70"/>
      <c r="ED65" s="70"/>
      <c r="EE65" s="70"/>
      <c r="EF65" s="70"/>
    </row>
    <row r="66" spans="6:136" ht="24.75" customHeight="1" x14ac:dyDescent="0.25">
      <c r="F66" s="326">
        <v>14</v>
      </c>
      <c r="G66" s="358" t="s">
        <v>258</v>
      </c>
      <c r="H66" s="358"/>
      <c r="I66" s="358"/>
      <c r="J66" s="358"/>
      <c r="K66" s="358"/>
      <c r="L66" s="358"/>
      <c r="M66" s="358"/>
      <c r="N66" s="684" t="s">
        <v>572</v>
      </c>
      <c r="O66" s="684"/>
      <c r="P66" s="684"/>
      <c r="Q66" s="684"/>
      <c r="R66" s="684"/>
      <c r="S66" s="684"/>
      <c r="T66" s="684"/>
      <c r="AW66" s="47"/>
      <c r="BF66" s="72"/>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row>
    <row r="67" spans="6:136" ht="24.75" customHeight="1" x14ac:dyDescent="0.25">
      <c r="G67" s="50"/>
      <c r="Q67" s="50"/>
      <c r="AW67" s="47"/>
    </row>
    <row r="68" spans="6:136" ht="24.75" customHeight="1" x14ac:dyDescent="0.25">
      <c r="AW68" s="47"/>
      <c r="BF68" s="66"/>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row>
    <row r="69" spans="6:136" ht="24.75" customHeight="1" x14ac:dyDescent="0.25">
      <c r="AW69" s="47"/>
    </row>
    <row r="70" spans="6:136" ht="24.75" customHeight="1" x14ac:dyDescent="0.25">
      <c r="AW70" s="47"/>
      <c r="BF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row>
    <row r="71" spans="6:136" ht="24.75" customHeight="1" x14ac:dyDescent="0.25">
      <c r="AW71" s="47"/>
    </row>
    <row r="72" spans="6:136" ht="24.75" customHeight="1" x14ac:dyDescent="0.25">
      <c r="AW72" s="47"/>
    </row>
    <row r="73" spans="6:136" ht="24.75" customHeight="1" x14ac:dyDescent="0.25">
      <c r="AW73" s="47"/>
    </row>
    <row r="74" spans="6:136" ht="24.75" customHeight="1" x14ac:dyDescent="0.25">
      <c r="AW74" s="47"/>
    </row>
    <row r="75" spans="6:136" ht="24.75" customHeight="1" x14ac:dyDescent="0.25">
      <c r="AW75" s="47"/>
    </row>
    <row r="76" spans="6:136" ht="24.75" customHeight="1" x14ac:dyDescent="0.25">
      <c r="AW76" s="47"/>
    </row>
  </sheetData>
  <mergeCells count="111">
    <mergeCell ref="G64:M64"/>
    <mergeCell ref="N64:T64"/>
    <mergeCell ref="G65:M65"/>
    <mergeCell ref="N65:T65"/>
    <mergeCell ref="G66:M66"/>
    <mergeCell ref="N66:T66"/>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A59:E61"/>
    <mergeCell ref="EY17:EY23"/>
    <mergeCell ref="EZ17:EZ23"/>
    <mergeCell ref="FA17:FA23"/>
    <mergeCell ref="FB17:FB23"/>
    <mergeCell ref="B17:B23"/>
    <mergeCell ref="C17:C23"/>
    <mergeCell ref="D17:D23"/>
    <mergeCell ref="E17:E23"/>
    <mergeCell ref="EW17:EW2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4"/>
  <sheetViews>
    <sheetView showGridLines="0" zoomScale="66" zoomScaleNormal="66" zoomScalePageLayoutView="75" workbookViewId="0">
      <selection activeCell="D2" sqref="D2:V2"/>
    </sheetView>
  </sheetViews>
  <sheetFormatPr baseColWidth="10" defaultColWidth="9.7109375" defaultRowHeight="70.5" customHeight="1" x14ac:dyDescent="0.25"/>
  <cols>
    <col min="1" max="1" width="10.5703125" style="7" customWidth="1"/>
    <col min="2" max="2" width="11.42578125" style="7" customWidth="1"/>
    <col min="3" max="3" width="41.140625" style="15" customWidth="1"/>
    <col min="4" max="6" width="8.5703125" style="7" customWidth="1"/>
    <col min="7" max="13" width="8.42578125" style="7" customWidth="1"/>
    <col min="14" max="18" width="8.42578125" style="8" customWidth="1"/>
    <col min="19" max="19" width="9.7109375" style="8"/>
    <col min="20" max="20" width="11.85546875" style="8" customWidth="1"/>
    <col min="21" max="21" width="13.7109375" style="8" customWidth="1"/>
    <col min="22" max="22" width="51.140625" style="52" customWidth="1"/>
    <col min="23" max="24" width="9.7109375" style="11"/>
    <col min="25" max="16384" width="9.7109375" style="7"/>
  </cols>
  <sheetData>
    <row r="1" spans="1:31" s="146" customFormat="1" ht="35.25" customHeight="1" x14ac:dyDescent="0.25">
      <c r="A1" s="390"/>
      <c r="B1" s="391"/>
      <c r="C1" s="391"/>
      <c r="D1" s="396" t="s">
        <v>38</v>
      </c>
      <c r="E1" s="373"/>
      <c r="F1" s="373"/>
      <c r="G1" s="373"/>
      <c r="H1" s="373"/>
      <c r="I1" s="373"/>
      <c r="J1" s="373"/>
      <c r="K1" s="373"/>
      <c r="L1" s="373"/>
      <c r="M1" s="373"/>
      <c r="N1" s="373"/>
      <c r="O1" s="373"/>
      <c r="P1" s="373"/>
      <c r="Q1" s="373"/>
      <c r="R1" s="373"/>
      <c r="S1" s="373"/>
      <c r="T1" s="373"/>
      <c r="U1" s="373"/>
      <c r="V1" s="374"/>
    </row>
    <row r="2" spans="1:31" s="146" customFormat="1" ht="39" customHeight="1" x14ac:dyDescent="0.25">
      <c r="A2" s="392"/>
      <c r="B2" s="393"/>
      <c r="C2" s="393"/>
      <c r="D2" s="397" t="s">
        <v>256</v>
      </c>
      <c r="E2" s="398"/>
      <c r="F2" s="398"/>
      <c r="G2" s="398"/>
      <c r="H2" s="398"/>
      <c r="I2" s="398"/>
      <c r="J2" s="398"/>
      <c r="K2" s="398"/>
      <c r="L2" s="398"/>
      <c r="M2" s="398"/>
      <c r="N2" s="398"/>
      <c r="O2" s="398"/>
      <c r="P2" s="398"/>
      <c r="Q2" s="398"/>
      <c r="R2" s="398"/>
      <c r="S2" s="398"/>
      <c r="T2" s="398"/>
      <c r="U2" s="398"/>
      <c r="V2" s="399"/>
    </row>
    <row r="3" spans="1:31" s="146" customFormat="1" ht="35.25" customHeight="1" thickBot="1" x14ac:dyDescent="0.3">
      <c r="A3" s="394"/>
      <c r="B3" s="395"/>
      <c r="C3" s="395"/>
      <c r="D3" s="418" t="s">
        <v>39</v>
      </c>
      <c r="E3" s="419"/>
      <c r="F3" s="419"/>
      <c r="G3" s="419"/>
      <c r="H3" s="419"/>
      <c r="I3" s="419"/>
      <c r="J3" s="419"/>
      <c r="K3" s="419"/>
      <c r="L3" s="419"/>
      <c r="M3" s="419"/>
      <c r="N3" s="419"/>
      <c r="O3" s="419"/>
      <c r="P3" s="419"/>
      <c r="Q3" s="419"/>
      <c r="R3" s="419"/>
      <c r="S3" s="419"/>
      <c r="T3" s="419"/>
      <c r="U3" s="420"/>
      <c r="V3" s="51" t="s">
        <v>238</v>
      </c>
    </row>
    <row r="4" spans="1:31" s="9" customFormat="1" ht="23.25" customHeight="1" thickBot="1" x14ac:dyDescent="0.3">
      <c r="A4" s="413" t="s">
        <v>0</v>
      </c>
      <c r="B4" s="414"/>
      <c r="C4" s="415"/>
      <c r="D4" s="407" t="s">
        <v>317</v>
      </c>
      <c r="E4" s="408"/>
      <c r="F4" s="408"/>
      <c r="G4" s="408"/>
      <c r="H4" s="408"/>
      <c r="I4" s="408"/>
      <c r="J4" s="408"/>
      <c r="K4" s="408"/>
      <c r="L4" s="408"/>
      <c r="M4" s="408"/>
      <c r="N4" s="408"/>
      <c r="O4" s="408"/>
      <c r="P4" s="408"/>
      <c r="Q4" s="408"/>
      <c r="R4" s="408"/>
      <c r="S4" s="408"/>
      <c r="T4" s="408"/>
      <c r="U4" s="408"/>
      <c r="V4" s="409"/>
    </row>
    <row r="5" spans="1:31" s="9" customFormat="1" ht="25.5" customHeight="1" thickBot="1" x14ac:dyDescent="0.3">
      <c r="A5" s="404" t="s">
        <v>2</v>
      </c>
      <c r="B5" s="405"/>
      <c r="C5" s="406"/>
      <c r="D5" s="410" t="s">
        <v>318</v>
      </c>
      <c r="E5" s="411"/>
      <c r="F5" s="411"/>
      <c r="G5" s="411"/>
      <c r="H5" s="411"/>
      <c r="I5" s="411"/>
      <c r="J5" s="411"/>
      <c r="K5" s="411"/>
      <c r="L5" s="411"/>
      <c r="M5" s="411"/>
      <c r="N5" s="411"/>
      <c r="O5" s="411"/>
      <c r="P5" s="411"/>
      <c r="Q5" s="411"/>
      <c r="R5" s="411"/>
      <c r="S5" s="411"/>
      <c r="T5" s="411"/>
      <c r="U5" s="411"/>
      <c r="V5" s="412"/>
    </row>
    <row r="6" spans="1:31" s="9" customFormat="1" ht="33" customHeight="1" thickBot="1" x14ac:dyDescent="0.3">
      <c r="A6" s="421"/>
      <c r="B6" s="422"/>
      <c r="C6" s="422"/>
      <c r="D6" s="422"/>
      <c r="E6" s="422"/>
      <c r="F6" s="422"/>
      <c r="G6" s="422"/>
      <c r="H6" s="422"/>
      <c r="I6" s="422"/>
      <c r="J6" s="422"/>
      <c r="K6" s="422"/>
      <c r="L6" s="422"/>
      <c r="M6" s="422"/>
      <c r="N6" s="422"/>
      <c r="O6" s="422"/>
      <c r="P6" s="422"/>
      <c r="Q6" s="422"/>
      <c r="R6" s="422"/>
      <c r="S6" s="422"/>
      <c r="T6" s="422"/>
      <c r="U6" s="422"/>
      <c r="V6" s="423"/>
    </row>
    <row r="7" spans="1:31" s="10" customFormat="1" ht="32.25" customHeight="1" x14ac:dyDescent="0.25">
      <c r="A7" s="416" t="s">
        <v>22</v>
      </c>
      <c r="B7" s="400" t="s">
        <v>23</v>
      </c>
      <c r="C7" s="400" t="s">
        <v>68</v>
      </c>
      <c r="D7" s="402" t="s">
        <v>24</v>
      </c>
      <c r="E7" s="402"/>
      <c r="F7" s="403" t="s">
        <v>600</v>
      </c>
      <c r="G7" s="403"/>
      <c r="H7" s="403"/>
      <c r="I7" s="403"/>
      <c r="J7" s="403"/>
      <c r="K7" s="403"/>
      <c r="L7" s="403"/>
      <c r="M7" s="403"/>
      <c r="N7" s="403"/>
      <c r="O7" s="403"/>
      <c r="P7" s="403"/>
      <c r="Q7" s="403"/>
      <c r="R7" s="403"/>
      <c r="S7" s="403"/>
      <c r="T7" s="400" t="s">
        <v>28</v>
      </c>
      <c r="U7" s="400"/>
      <c r="V7" s="424" t="s">
        <v>645</v>
      </c>
    </row>
    <row r="8" spans="1:31" s="10" customFormat="1" ht="63.75" customHeight="1" thickBot="1" x14ac:dyDescent="0.3">
      <c r="A8" s="417"/>
      <c r="B8" s="401"/>
      <c r="C8" s="401"/>
      <c r="D8" s="38" t="s">
        <v>25</v>
      </c>
      <c r="E8" s="38" t="s">
        <v>26</v>
      </c>
      <c r="F8" s="38" t="s">
        <v>27</v>
      </c>
      <c r="G8" s="39" t="s">
        <v>6</v>
      </c>
      <c r="H8" s="39" t="s">
        <v>7</v>
      </c>
      <c r="I8" s="39" t="s">
        <v>8</v>
      </c>
      <c r="J8" s="39" t="s">
        <v>9</v>
      </c>
      <c r="K8" s="39" t="s">
        <v>10</v>
      </c>
      <c r="L8" s="39" t="s">
        <v>11</v>
      </c>
      <c r="M8" s="39" t="s">
        <v>12</v>
      </c>
      <c r="N8" s="39" t="s">
        <v>13</v>
      </c>
      <c r="O8" s="39" t="s">
        <v>14</v>
      </c>
      <c r="P8" s="39" t="s">
        <v>15</v>
      </c>
      <c r="Q8" s="39" t="s">
        <v>16</v>
      </c>
      <c r="R8" s="39" t="s">
        <v>17</v>
      </c>
      <c r="S8" s="311" t="s">
        <v>18</v>
      </c>
      <c r="T8" s="311" t="s">
        <v>29</v>
      </c>
      <c r="U8" s="311" t="s">
        <v>30</v>
      </c>
      <c r="V8" s="425"/>
    </row>
    <row r="9" spans="1:31" ht="49.9" customHeight="1" x14ac:dyDescent="0.25">
      <c r="A9" s="426" t="s">
        <v>305</v>
      </c>
      <c r="B9" s="427" t="s">
        <v>319</v>
      </c>
      <c r="C9" s="524" t="s">
        <v>655</v>
      </c>
      <c r="D9" s="525" t="s">
        <v>320</v>
      </c>
      <c r="E9" s="388" t="s">
        <v>320</v>
      </c>
      <c r="F9" s="147" t="s">
        <v>19</v>
      </c>
      <c r="G9" s="527">
        <v>8.3299999999999999E-2</v>
      </c>
      <c r="H9" s="527">
        <v>8.3299999999999999E-2</v>
      </c>
      <c r="I9" s="527">
        <v>8.3299999999999999E-2</v>
      </c>
      <c r="J9" s="527">
        <v>8.3299999999999999E-2</v>
      </c>
      <c r="K9" s="527">
        <v>8.3299999999999999E-2</v>
      </c>
      <c r="L9" s="527">
        <v>8.3299999999999999E-2</v>
      </c>
      <c r="M9" s="527">
        <v>8.3299999999999999E-2</v>
      </c>
      <c r="N9" s="527">
        <v>8.3299999999999999E-2</v>
      </c>
      <c r="O9" s="527">
        <v>8.3299999999999999E-2</v>
      </c>
      <c r="P9" s="527">
        <v>8.3299999999999999E-2</v>
      </c>
      <c r="Q9" s="527">
        <v>8.3299999999999999E-2</v>
      </c>
      <c r="R9" s="527">
        <v>8.3699999999999997E-2</v>
      </c>
      <c r="S9" s="148">
        <f>SUM(G9:R9)</f>
        <v>1</v>
      </c>
      <c r="T9" s="387">
        <v>0.15</v>
      </c>
      <c r="U9" s="529">
        <v>0.05</v>
      </c>
      <c r="V9" s="530" t="s">
        <v>614</v>
      </c>
    </row>
    <row r="10" spans="1:31" ht="49.9" customHeight="1" x14ac:dyDescent="0.25">
      <c r="A10" s="426"/>
      <c r="B10" s="427"/>
      <c r="C10" s="524"/>
      <c r="D10" s="525"/>
      <c r="E10" s="388"/>
      <c r="F10" s="149" t="s">
        <v>20</v>
      </c>
      <c r="G10" s="269">
        <v>0</v>
      </c>
      <c r="H10" s="269">
        <v>8.3299999999999999E-2</v>
      </c>
      <c r="I10" s="527">
        <v>8.3299999999999999E-2</v>
      </c>
      <c r="J10" s="269"/>
      <c r="K10" s="269"/>
      <c r="L10" s="269"/>
      <c r="M10" s="269"/>
      <c r="N10" s="269"/>
      <c r="O10" s="269"/>
      <c r="P10" s="269"/>
      <c r="Q10" s="269"/>
      <c r="R10" s="269"/>
      <c r="S10" s="262">
        <f>SUM(G10:R10)</f>
        <v>0.1666</v>
      </c>
      <c r="T10" s="387"/>
      <c r="U10" s="529"/>
      <c r="V10" s="530"/>
    </row>
    <row r="11" spans="1:31" ht="49.9" customHeight="1" x14ac:dyDescent="0.25">
      <c r="A11" s="426"/>
      <c r="B11" s="427"/>
      <c r="C11" s="524" t="s">
        <v>656</v>
      </c>
      <c r="D11" s="525" t="s">
        <v>320</v>
      </c>
      <c r="E11" s="388" t="s">
        <v>320</v>
      </c>
      <c r="F11" s="150" t="s">
        <v>19</v>
      </c>
      <c r="G11" s="527">
        <v>8.3299999999999999E-2</v>
      </c>
      <c r="H11" s="527">
        <v>8.3299999999999999E-2</v>
      </c>
      <c r="I11" s="527">
        <v>8.3299999999999999E-2</v>
      </c>
      <c r="J11" s="527">
        <v>8.3299999999999999E-2</v>
      </c>
      <c r="K11" s="527">
        <v>8.3299999999999999E-2</v>
      </c>
      <c r="L11" s="527">
        <v>8.3299999999999999E-2</v>
      </c>
      <c r="M11" s="527">
        <v>8.3299999999999999E-2</v>
      </c>
      <c r="N11" s="527">
        <v>8.3299999999999999E-2</v>
      </c>
      <c r="O11" s="527">
        <v>8.3299999999999999E-2</v>
      </c>
      <c r="P11" s="527">
        <v>8.3299999999999999E-2</v>
      </c>
      <c r="Q11" s="527">
        <v>8.3299999999999999E-2</v>
      </c>
      <c r="R11" s="527">
        <v>8.3699999999999997E-2</v>
      </c>
      <c r="S11" s="148">
        <f t="shared" ref="S11:S64" si="0">SUM(G11:R11)</f>
        <v>1</v>
      </c>
      <c r="T11" s="387"/>
      <c r="U11" s="529">
        <v>0.03</v>
      </c>
      <c r="V11" s="530" t="s">
        <v>615</v>
      </c>
    </row>
    <row r="12" spans="1:31" ht="49.9" customHeight="1" x14ac:dyDescent="0.25">
      <c r="A12" s="426"/>
      <c r="B12" s="427"/>
      <c r="C12" s="524"/>
      <c r="D12" s="525"/>
      <c r="E12" s="388"/>
      <c r="F12" s="151" t="s">
        <v>20</v>
      </c>
      <c r="G12" s="269">
        <v>8.3299999999999999E-2</v>
      </c>
      <c r="H12" s="269">
        <v>8.3299999999999999E-2</v>
      </c>
      <c r="I12" s="269">
        <v>8.3299999999999999E-2</v>
      </c>
      <c r="J12" s="269"/>
      <c r="K12" s="269"/>
      <c r="L12" s="269"/>
      <c r="M12" s="269"/>
      <c r="N12" s="269"/>
      <c r="O12" s="269"/>
      <c r="P12" s="269"/>
      <c r="Q12" s="269"/>
      <c r="R12" s="269"/>
      <c r="S12" s="270">
        <f t="shared" si="0"/>
        <v>0.24990000000000001</v>
      </c>
      <c r="T12" s="387"/>
      <c r="U12" s="529"/>
      <c r="V12" s="530"/>
      <c r="Y12" s="11"/>
      <c r="Z12" s="11"/>
      <c r="AA12" s="11"/>
      <c r="AB12" s="11"/>
      <c r="AC12" s="11"/>
      <c r="AD12" s="11"/>
      <c r="AE12" s="11"/>
    </row>
    <row r="13" spans="1:31" ht="49.9" customHeight="1" x14ac:dyDescent="0.25">
      <c r="A13" s="426"/>
      <c r="B13" s="427"/>
      <c r="C13" s="524" t="s">
        <v>657</v>
      </c>
      <c r="D13" s="525" t="s">
        <v>320</v>
      </c>
      <c r="E13" s="388" t="s">
        <v>320</v>
      </c>
      <c r="F13" s="150" t="s">
        <v>19</v>
      </c>
      <c r="G13" s="527">
        <v>5.8799999999999998E-2</v>
      </c>
      <c r="H13" s="527">
        <v>5.8799999999999998E-2</v>
      </c>
      <c r="I13" s="527">
        <v>0.1176</v>
      </c>
      <c r="J13" s="527">
        <v>5.8799999999999998E-2</v>
      </c>
      <c r="K13" s="527">
        <v>5.8799999999999998E-2</v>
      </c>
      <c r="L13" s="527">
        <v>0.1764</v>
      </c>
      <c r="M13" s="527">
        <v>5.8799999999999998E-2</v>
      </c>
      <c r="N13" s="527">
        <v>5.8799999999999998E-2</v>
      </c>
      <c r="O13" s="527">
        <v>0.1176</v>
      </c>
      <c r="P13" s="527">
        <v>5.8799999999999998E-2</v>
      </c>
      <c r="Q13" s="527">
        <v>5.8799999999999998E-2</v>
      </c>
      <c r="R13" s="527">
        <v>0.11799999999999999</v>
      </c>
      <c r="S13" s="148">
        <f t="shared" si="0"/>
        <v>0.99999999999999989</v>
      </c>
      <c r="T13" s="387"/>
      <c r="U13" s="529">
        <v>0.03</v>
      </c>
      <c r="V13" s="524" t="s">
        <v>616</v>
      </c>
      <c r="Y13" s="11"/>
      <c r="Z13" s="11"/>
      <c r="AA13" s="11"/>
      <c r="AB13" s="11"/>
      <c r="AC13" s="11"/>
      <c r="AD13" s="11"/>
      <c r="AE13" s="11"/>
    </row>
    <row r="14" spans="1:31" ht="49.9" customHeight="1" x14ac:dyDescent="0.25">
      <c r="A14" s="426"/>
      <c r="B14" s="427"/>
      <c r="C14" s="524"/>
      <c r="D14" s="525"/>
      <c r="E14" s="388"/>
      <c r="F14" s="151" t="s">
        <v>20</v>
      </c>
      <c r="G14" s="269">
        <v>0</v>
      </c>
      <c r="H14" s="269">
        <v>0.1176</v>
      </c>
      <c r="I14" s="269">
        <v>0.1176</v>
      </c>
      <c r="J14" s="269"/>
      <c r="K14" s="269"/>
      <c r="L14" s="269"/>
      <c r="M14" s="269"/>
      <c r="N14" s="269"/>
      <c r="O14" s="269"/>
      <c r="P14" s="269"/>
      <c r="Q14" s="269"/>
      <c r="R14" s="269"/>
      <c r="S14" s="270">
        <f t="shared" si="0"/>
        <v>0.23519999999999999</v>
      </c>
      <c r="T14" s="387"/>
      <c r="U14" s="529"/>
      <c r="V14" s="524"/>
      <c r="Y14" s="11"/>
      <c r="Z14" s="11"/>
      <c r="AA14" s="11"/>
      <c r="AB14" s="11"/>
      <c r="AC14" s="11"/>
      <c r="AD14" s="11"/>
      <c r="AE14" s="11"/>
    </row>
    <row r="15" spans="1:31" ht="49.9" customHeight="1" x14ac:dyDescent="0.25">
      <c r="A15" s="426"/>
      <c r="B15" s="427"/>
      <c r="C15" s="524" t="s">
        <v>658</v>
      </c>
      <c r="D15" s="525" t="s">
        <v>320</v>
      </c>
      <c r="E15" s="388" t="s">
        <v>320</v>
      </c>
      <c r="F15" s="150" t="s">
        <v>19</v>
      </c>
      <c r="G15" s="527">
        <v>0</v>
      </c>
      <c r="H15" s="527">
        <v>0</v>
      </c>
      <c r="I15" s="527">
        <v>0.25</v>
      </c>
      <c r="J15" s="527">
        <v>0</v>
      </c>
      <c r="K15" s="527">
        <v>0</v>
      </c>
      <c r="L15" s="527">
        <v>0.25</v>
      </c>
      <c r="M15" s="527">
        <v>0</v>
      </c>
      <c r="N15" s="527">
        <v>0</v>
      </c>
      <c r="O15" s="527">
        <v>0.25</v>
      </c>
      <c r="P15" s="527">
        <v>0</v>
      </c>
      <c r="Q15" s="527">
        <v>0</v>
      </c>
      <c r="R15" s="527">
        <v>0.25</v>
      </c>
      <c r="S15" s="148">
        <f t="shared" si="0"/>
        <v>1</v>
      </c>
      <c r="T15" s="387"/>
      <c r="U15" s="529">
        <v>0.02</v>
      </c>
      <c r="V15" s="524" t="s">
        <v>617</v>
      </c>
    </row>
    <row r="16" spans="1:31" ht="49.9" customHeight="1" x14ac:dyDescent="0.25">
      <c r="A16" s="426"/>
      <c r="B16" s="427"/>
      <c r="C16" s="524"/>
      <c r="D16" s="525"/>
      <c r="E16" s="388"/>
      <c r="F16" s="151" t="s">
        <v>20</v>
      </c>
      <c r="G16" s="269">
        <v>0</v>
      </c>
      <c r="H16" s="269">
        <v>0</v>
      </c>
      <c r="I16" s="269">
        <v>0.25</v>
      </c>
      <c r="J16" s="269"/>
      <c r="K16" s="269"/>
      <c r="L16" s="269"/>
      <c r="M16" s="269"/>
      <c r="N16" s="269"/>
      <c r="O16" s="269"/>
      <c r="P16" s="269"/>
      <c r="Q16" s="269"/>
      <c r="R16" s="269"/>
      <c r="S16" s="271">
        <f t="shared" si="0"/>
        <v>0.25</v>
      </c>
      <c r="T16" s="387"/>
      <c r="U16" s="529"/>
      <c r="V16" s="524"/>
    </row>
    <row r="17" spans="1:22" ht="49.9" customHeight="1" x14ac:dyDescent="0.25">
      <c r="A17" s="426"/>
      <c r="B17" s="427"/>
      <c r="C17" s="526" t="s">
        <v>659</v>
      </c>
      <c r="D17" s="525" t="s">
        <v>320</v>
      </c>
      <c r="E17" s="388" t="s">
        <v>320</v>
      </c>
      <c r="F17" s="150" t="s">
        <v>19</v>
      </c>
      <c r="G17" s="527">
        <v>8.3299999999999999E-2</v>
      </c>
      <c r="H17" s="527">
        <v>8.3299999999999999E-2</v>
      </c>
      <c r="I17" s="527">
        <v>8.3299999999999999E-2</v>
      </c>
      <c r="J17" s="527">
        <v>8.3299999999999999E-2</v>
      </c>
      <c r="K17" s="527">
        <v>8.3299999999999999E-2</v>
      </c>
      <c r="L17" s="527">
        <v>8.3299999999999999E-2</v>
      </c>
      <c r="M17" s="527">
        <v>8.3299999999999999E-2</v>
      </c>
      <c r="N17" s="527">
        <v>8.3299999999999999E-2</v>
      </c>
      <c r="O17" s="527">
        <v>8.3299999999999999E-2</v>
      </c>
      <c r="P17" s="527">
        <v>8.3299999999999999E-2</v>
      </c>
      <c r="Q17" s="527">
        <v>8.3299999999999999E-2</v>
      </c>
      <c r="R17" s="527">
        <v>8.3699999999999997E-2</v>
      </c>
      <c r="S17" s="148">
        <f t="shared" si="0"/>
        <v>1</v>
      </c>
      <c r="T17" s="387"/>
      <c r="U17" s="529">
        <v>0.02</v>
      </c>
      <c r="V17" s="524" t="s">
        <v>618</v>
      </c>
    </row>
    <row r="18" spans="1:22" ht="49.9" customHeight="1" x14ac:dyDescent="0.25">
      <c r="A18" s="426"/>
      <c r="B18" s="427"/>
      <c r="C18" s="526"/>
      <c r="D18" s="525"/>
      <c r="E18" s="388"/>
      <c r="F18" s="151" t="s">
        <v>20</v>
      </c>
      <c r="G18" s="269">
        <v>0</v>
      </c>
      <c r="H18" s="269">
        <v>8.3299999999999999E-2</v>
      </c>
      <c r="I18" s="269">
        <v>0.1666</v>
      </c>
      <c r="J18" s="269"/>
      <c r="K18" s="269"/>
      <c r="L18" s="269"/>
      <c r="M18" s="269"/>
      <c r="N18" s="269"/>
      <c r="O18" s="269"/>
      <c r="P18" s="269"/>
      <c r="Q18" s="269"/>
      <c r="R18" s="269"/>
      <c r="S18" s="271">
        <f t="shared" si="0"/>
        <v>0.24990000000000001</v>
      </c>
      <c r="T18" s="387"/>
      <c r="U18" s="529"/>
      <c r="V18" s="524"/>
    </row>
    <row r="19" spans="1:22" ht="49.9" customHeight="1" x14ac:dyDescent="0.25">
      <c r="A19" s="426" t="s">
        <v>305</v>
      </c>
      <c r="B19" s="426" t="s">
        <v>347</v>
      </c>
      <c r="C19" s="526" t="s">
        <v>660</v>
      </c>
      <c r="D19" s="388" t="s">
        <v>320</v>
      </c>
      <c r="E19" s="388" t="s">
        <v>320</v>
      </c>
      <c r="F19" s="150" t="s">
        <v>19</v>
      </c>
      <c r="G19" s="527">
        <v>2.5000000000000001E-2</v>
      </c>
      <c r="H19" s="527">
        <v>2.5000000000000001E-2</v>
      </c>
      <c r="I19" s="527">
        <v>0.1</v>
      </c>
      <c r="J19" s="527">
        <v>0.1</v>
      </c>
      <c r="K19" s="527">
        <v>0.125</v>
      </c>
      <c r="L19" s="527">
        <v>0.125</v>
      </c>
      <c r="M19" s="527">
        <v>2.5000000000000001E-2</v>
      </c>
      <c r="N19" s="527">
        <v>2.5000000000000001E-2</v>
      </c>
      <c r="O19" s="527">
        <v>0.1</v>
      </c>
      <c r="P19" s="527">
        <v>0.1</v>
      </c>
      <c r="Q19" s="527">
        <v>0.125</v>
      </c>
      <c r="R19" s="527">
        <v>0.125</v>
      </c>
      <c r="S19" s="148">
        <f t="shared" si="0"/>
        <v>1</v>
      </c>
      <c r="T19" s="387">
        <v>0.15</v>
      </c>
      <c r="U19" s="529">
        <v>0.05</v>
      </c>
      <c r="V19" s="531" t="s">
        <v>620</v>
      </c>
    </row>
    <row r="20" spans="1:22" ht="49.9" customHeight="1" x14ac:dyDescent="0.25">
      <c r="A20" s="426"/>
      <c r="B20" s="426"/>
      <c r="C20" s="526"/>
      <c r="D20" s="388"/>
      <c r="E20" s="388"/>
      <c r="F20" s="151" t="s">
        <v>20</v>
      </c>
      <c r="G20" s="269">
        <v>0</v>
      </c>
      <c r="H20" s="269">
        <v>0.05</v>
      </c>
      <c r="I20" s="269">
        <v>0.1</v>
      </c>
      <c r="J20" s="269"/>
      <c r="K20" s="269"/>
      <c r="L20" s="269"/>
      <c r="M20" s="269"/>
      <c r="N20" s="269"/>
      <c r="O20" s="269"/>
      <c r="P20" s="269"/>
      <c r="Q20" s="269"/>
      <c r="R20" s="269"/>
      <c r="S20" s="271">
        <f t="shared" si="0"/>
        <v>0.15000000000000002</v>
      </c>
      <c r="T20" s="387"/>
      <c r="U20" s="529"/>
      <c r="V20" s="531"/>
    </row>
    <row r="21" spans="1:22" ht="49.9" customHeight="1" x14ac:dyDescent="0.25">
      <c r="A21" s="426"/>
      <c r="B21" s="426"/>
      <c r="C21" s="526" t="s">
        <v>661</v>
      </c>
      <c r="D21" s="389" t="s">
        <v>320</v>
      </c>
      <c r="E21" s="388" t="s">
        <v>320</v>
      </c>
      <c r="F21" s="150" t="s">
        <v>19</v>
      </c>
      <c r="G21" s="527">
        <v>2.5000000000000001E-2</v>
      </c>
      <c r="H21" s="527">
        <v>2.5000000000000001E-2</v>
      </c>
      <c r="I21" s="527">
        <v>0.1</v>
      </c>
      <c r="J21" s="527">
        <v>0.1</v>
      </c>
      <c r="K21" s="527">
        <v>0.125</v>
      </c>
      <c r="L21" s="527">
        <v>0.125</v>
      </c>
      <c r="M21" s="527">
        <v>2.5000000000000001E-2</v>
      </c>
      <c r="N21" s="527">
        <v>2.5000000000000001E-2</v>
      </c>
      <c r="O21" s="527">
        <v>0.1</v>
      </c>
      <c r="P21" s="527">
        <v>0.1</v>
      </c>
      <c r="Q21" s="527">
        <v>0.125</v>
      </c>
      <c r="R21" s="527">
        <v>0.125</v>
      </c>
      <c r="S21" s="148">
        <f t="shared" si="0"/>
        <v>1</v>
      </c>
      <c r="T21" s="387"/>
      <c r="U21" s="529">
        <v>0.05</v>
      </c>
      <c r="V21" s="532" t="s">
        <v>621</v>
      </c>
    </row>
    <row r="22" spans="1:22" ht="49.9" customHeight="1" x14ac:dyDescent="0.25">
      <c r="A22" s="426"/>
      <c r="B22" s="426"/>
      <c r="C22" s="526"/>
      <c r="D22" s="389"/>
      <c r="E22" s="388"/>
      <c r="F22" s="151" t="s">
        <v>20</v>
      </c>
      <c r="G22" s="269">
        <v>0</v>
      </c>
      <c r="H22" s="269">
        <v>0.05</v>
      </c>
      <c r="I22" s="269">
        <v>0.1</v>
      </c>
      <c r="J22" s="269"/>
      <c r="K22" s="269"/>
      <c r="L22" s="269"/>
      <c r="M22" s="269"/>
      <c r="N22" s="269"/>
      <c r="O22" s="269"/>
      <c r="P22" s="269"/>
      <c r="Q22" s="269"/>
      <c r="R22" s="269"/>
      <c r="S22" s="271">
        <f t="shared" si="0"/>
        <v>0.15000000000000002</v>
      </c>
      <c r="T22" s="387"/>
      <c r="U22" s="529"/>
      <c r="V22" s="533"/>
    </row>
    <row r="23" spans="1:22" ht="49.9" customHeight="1" x14ac:dyDescent="0.25">
      <c r="A23" s="426"/>
      <c r="B23" s="426"/>
      <c r="C23" s="526" t="s">
        <v>662</v>
      </c>
      <c r="D23" s="388" t="s">
        <v>320</v>
      </c>
      <c r="E23" s="388" t="s">
        <v>320</v>
      </c>
      <c r="F23" s="150" t="s">
        <v>19</v>
      </c>
      <c r="G23" s="527">
        <v>2.5000000000000001E-2</v>
      </c>
      <c r="H23" s="527">
        <v>2.5000000000000001E-2</v>
      </c>
      <c r="I23" s="527">
        <v>0.1</v>
      </c>
      <c r="J23" s="527">
        <v>0.1</v>
      </c>
      <c r="K23" s="527">
        <v>0.125</v>
      </c>
      <c r="L23" s="527">
        <v>0.125</v>
      </c>
      <c r="M23" s="527">
        <v>2.5000000000000001E-2</v>
      </c>
      <c r="N23" s="527">
        <v>2.5000000000000001E-2</v>
      </c>
      <c r="O23" s="527">
        <v>0.1</v>
      </c>
      <c r="P23" s="527">
        <v>0.1</v>
      </c>
      <c r="Q23" s="527">
        <v>0.125</v>
      </c>
      <c r="R23" s="527">
        <v>0.125</v>
      </c>
      <c r="S23" s="148">
        <f t="shared" si="0"/>
        <v>1</v>
      </c>
      <c r="T23" s="387"/>
      <c r="U23" s="529">
        <v>0.05</v>
      </c>
      <c r="V23" s="531" t="s">
        <v>622</v>
      </c>
    </row>
    <row r="24" spans="1:22" ht="49.9" customHeight="1" x14ac:dyDescent="0.25">
      <c r="A24" s="426"/>
      <c r="B24" s="426"/>
      <c r="C24" s="526"/>
      <c r="D24" s="388"/>
      <c r="E24" s="388"/>
      <c r="F24" s="151" t="s">
        <v>20</v>
      </c>
      <c r="G24" s="269">
        <v>0</v>
      </c>
      <c r="H24" s="269">
        <v>0.05</v>
      </c>
      <c r="I24" s="269">
        <v>0.1</v>
      </c>
      <c r="J24" s="269"/>
      <c r="K24" s="269"/>
      <c r="L24" s="269"/>
      <c r="M24" s="269"/>
      <c r="N24" s="269"/>
      <c r="O24" s="269"/>
      <c r="P24" s="269"/>
      <c r="Q24" s="269"/>
      <c r="R24" s="269"/>
      <c r="S24" s="271">
        <f t="shared" si="0"/>
        <v>0.15000000000000002</v>
      </c>
      <c r="T24" s="387"/>
      <c r="U24" s="529"/>
      <c r="V24" s="534"/>
    </row>
    <row r="25" spans="1:22" ht="49.9" customHeight="1" x14ac:dyDescent="0.25">
      <c r="A25" s="426" t="s">
        <v>305</v>
      </c>
      <c r="B25" s="426" t="s">
        <v>346</v>
      </c>
      <c r="C25" s="526" t="s">
        <v>663</v>
      </c>
      <c r="D25" s="388" t="s">
        <v>320</v>
      </c>
      <c r="E25" s="388" t="s">
        <v>320</v>
      </c>
      <c r="F25" s="150" t="s">
        <v>19</v>
      </c>
      <c r="G25" s="527">
        <v>0.05</v>
      </c>
      <c r="H25" s="527">
        <v>0.1</v>
      </c>
      <c r="I25" s="527">
        <v>0.05</v>
      </c>
      <c r="J25" s="527">
        <v>0.1</v>
      </c>
      <c r="K25" s="527">
        <v>0.1</v>
      </c>
      <c r="L25" s="527">
        <v>0.05</v>
      </c>
      <c r="M25" s="527">
        <v>0.1</v>
      </c>
      <c r="N25" s="527">
        <v>0.1</v>
      </c>
      <c r="O25" s="527">
        <v>0.1</v>
      </c>
      <c r="P25" s="527">
        <v>0.1</v>
      </c>
      <c r="Q25" s="527">
        <v>0.1</v>
      </c>
      <c r="R25" s="527">
        <v>0.05</v>
      </c>
      <c r="S25" s="148">
        <f t="shared" si="0"/>
        <v>1</v>
      </c>
      <c r="T25" s="387">
        <v>0.15</v>
      </c>
      <c r="U25" s="529">
        <v>4.4999999999999998E-2</v>
      </c>
      <c r="V25" s="524" t="s">
        <v>624</v>
      </c>
    </row>
    <row r="26" spans="1:22" ht="49.9" customHeight="1" x14ac:dyDescent="0.25">
      <c r="A26" s="426"/>
      <c r="B26" s="426"/>
      <c r="C26" s="526"/>
      <c r="D26" s="388"/>
      <c r="E26" s="388"/>
      <c r="F26" s="151" t="s">
        <v>20</v>
      </c>
      <c r="G26" s="269">
        <v>0</v>
      </c>
      <c r="H26" s="269">
        <v>0.1389</v>
      </c>
      <c r="I26" s="527">
        <v>0.1028</v>
      </c>
      <c r="J26" s="269"/>
      <c r="K26" s="269"/>
      <c r="L26" s="269"/>
      <c r="M26" s="269"/>
      <c r="N26" s="269"/>
      <c r="O26" s="269"/>
      <c r="P26" s="269"/>
      <c r="Q26" s="269"/>
      <c r="R26" s="269"/>
      <c r="S26" s="271">
        <f t="shared" si="0"/>
        <v>0.2417</v>
      </c>
      <c r="T26" s="387"/>
      <c r="U26" s="529"/>
      <c r="V26" s="524"/>
    </row>
    <row r="27" spans="1:22" ht="49.9" customHeight="1" x14ac:dyDescent="0.25">
      <c r="A27" s="426"/>
      <c r="B27" s="426"/>
      <c r="C27" s="526" t="s">
        <v>664</v>
      </c>
      <c r="D27" s="388" t="s">
        <v>320</v>
      </c>
      <c r="E27" s="388" t="s">
        <v>320</v>
      </c>
      <c r="F27" s="150" t="s">
        <v>19</v>
      </c>
      <c r="G27" s="527">
        <v>8.3299999999999999E-2</v>
      </c>
      <c r="H27" s="527">
        <v>8.3299999999999999E-2</v>
      </c>
      <c r="I27" s="527">
        <v>8.3299999999999999E-2</v>
      </c>
      <c r="J27" s="527">
        <v>8.3299999999999999E-2</v>
      </c>
      <c r="K27" s="527">
        <v>8.3299999999999999E-2</v>
      </c>
      <c r="L27" s="527">
        <v>8.3299999999999999E-2</v>
      </c>
      <c r="M27" s="527">
        <v>8.3299999999999999E-2</v>
      </c>
      <c r="N27" s="527">
        <v>8.3299999999999999E-2</v>
      </c>
      <c r="O27" s="527">
        <v>8.3299999999999999E-2</v>
      </c>
      <c r="P27" s="527">
        <v>8.3299999999999999E-2</v>
      </c>
      <c r="Q27" s="527">
        <v>8.3299999999999999E-2</v>
      </c>
      <c r="R27" s="527">
        <v>8.3699999999999997E-2</v>
      </c>
      <c r="S27" s="148">
        <f t="shared" si="0"/>
        <v>1</v>
      </c>
      <c r="T27" s="387"/>
      <c r="U27" s="529">
        <v>0.03</v>
      </c>
      <c r="V27" s="524" t="s">
        <v>625</v>
      </c>
    </row>
    <row r="28" spans="1:22" ht="49.9" customHeight="1" x14ac:dyDescent="0.25">
      <c r="A28" s="426"/>
      <c r="B28" s="426"/>
      <c r="C28" s="526"/>
      <c r="D28" s="388"/>
      <c r="E28" s="388"/>
      <c r="F28" s="151" t="s">
        <v>20</v>
      </c>
      <c r="G28" s="269">
        <v>0</v>
      </c>
      <c r="H28" s="269">
        <v>8.3299999999999999E-2</v>
      </c>
      <c r="I28" s="269">
        <v>8.3299999999999999E-2</v>
      </c>
      <c r="J28" s="269"/>
      <c r="K28" s="269"/>
      <c r="L28" s="269"/>
      <c r="M28" s="269"/>
      <c r="N28" s="269"/>
      <c r="O28" s="269"/>
      <c r="P28" s="269"/>
      <c r="Q28" s="269"/>
      <c r="R28" s="269"/>
      <c r="S28" s="270">
        <f t="shared" si="0"/>
        <v>0.1666</v>
      </c>
      <c r="T28" s="387"/>
      <c r="U28" s="529"/>
      <c r="V28" s="524"/>
    </row>
    <row r="29" spans="1:22" ht="49.9" customHeight="1" x14ac:dyDescent="0.25">
      <c r="A29" s="426"/>
      <c r="B29" s="426"/>
      <c r="C29" s="526" t="s">
        <v>665</v>
      </c>
      <c r="D29" s="388" t="s">
        <v>320</v>
      </c>
      <c r="E29" s="388" t="s">
        <v>320</v>
      </c>
      <c r="F29" s="150" t="s">
        <v>19</v>
      </c>
      <c r="G29" s="527">
        <v>8.3333333333333329E-2</v>
      </c>
      <c r="H29" s="527">
        <v>8.3333333333333329E-2</v>
      </c>
      <c r="I29" s="527">
        <v>8.3333333333333329E-2</v>
      </c>
      <c r="J29" s="527">
        <v>8.3333333333333329E-2</v>
      </c>
      <c r="K29" s="527">
        <v>8.3333333333333329E-2</v>
      </c>
      <c r="L29" s="527">
        <v>8.3333333333333329E-2</v>
      </c>
      <c r="M29" s="527">
        <v>8.3333333333333329E-2</v>
      </c>
      <c r="N29" s="527">
        <v>8.3333333333333329E-2</v>
      </c>
      <c r="O29" s="527">
        <v>8.3333333333333329E-2</v>
      </c>
      <c r="P29" s="527">
        <v>8.3333333333333329E-2</v>
      </c>
      <c r="Q29" s="527">
        <v>8.3333333333333329E-2</v>
      </c>
      <c r="R29" s="527">
        <v>8.3699999999999997E-2</v>
      </c>
      <c r="S29" s="148">
        <f t="shared" si="0"/>
        <v>1.0003666666666668</v>
      </c>
      <c r="T29" s="387"/>
      <c r="U29" s="529">
        <v>4.4999999999999998E-2</v>
      </c>
      <c r="V29" s="524" t="s">
        <v>626</v>
      </c>
    </row>
    <row r="30" spans="1:22" ht="49.9" customHeight="1" x14ac:dyDescent="0.25">
      <c r="A30" s="426"/>
      <c r="B30" s="426"/>
      <c r="C30" s="526"/>
      <c r="D30" s="388"/>
      <c r="E30" s="388"/>
      <c r="F30" s="151" t="s">
        <v>20</v>
      </c>
      <c r="G30" s="269">
        <v>0</v>
      </c>
      <c r="H30" s="269">
        <v>3.4799999999999998E-2</v>
      </c>
      <c r="I30" s="527">
        <v>8.4099999999999994E-2</v>
      </c>
      <c r="J30" s="269"/>
      <c r="K30" s="269"/>
      <c r="L30" s="269"/>
      <c r="M30" s="269"/>
      <c r="N30" s="269"/>
      <c r="O30" s="269"/>
      <c r="P30" s="269"/>
      <c r="Q30" s="269"/>
      <c r="R30" s="269"/>
      <c r="S30" s="262">
        <f t="shared" si="0"/>
        <v>0.11889999999999999</v>
      </c>
      <c r="T30" s="387"/>
      <c r="U30" s="529"/>
      <c r="V30" s="524"/>
    </row>
    <row r="31" spans="1:22" ht="49.9" customHeight="1" x14ac:dyDescent="0.25">
      <c r="A31" s="426"/>
      <c r="B31" s="426"/>
      <c r="C31" s="526" t="s">
        <v>666</v>
      </c>
      <c r="D31" s="388" t="s">
        <v>320</v>
      </c>
      <c r="E31" s="388" t="s">
        <v>320</v>
      </c>
      <c r="F31" s="150" t="s">
        <v>19</v>
      </c>
      <c r="G31" s="527">
        <v>4.2857142857142858E-2</v>
      </c>
      <c r="H31" s="527">
        <v>4.2857142857142858E-2</v>
      </c>
      <c r="I31" s="527">
        <v>5.7142857142857141E-2</v>
      </c>
      <c r="J31" s="527">
        <v>7.1428571428571425E-2</v>
      </c>
      <c r="K31" s="527">
        <v>0.1</v>
      </c>
      <c r="L31" s="527">
        <v>0.1</v>
      </c>
      <c r="M31" s="527">
        <v>0.1</v>
      </c>
      <c r="N31" s="527">
        <v>0.1</v>
      </c>
      <c r="O31" s="527">
        <v>0.1</v>
      </c>
      <c r="P31" s="527">
        <v>0.1</v>
      </c>
      <c r="Q31" s="527">
        <v>0.1</v>
      </c>
      <c r="R31" s="527">
        <v>8.5714285714285715E-2</v>
      </c>
      <c r="S31" s="148">
        <f t="shared" si="0"/>
        <v>0.99999999999999989</v>
      </c>
      <c r="T31" s="387"/>
      <c r="U31" s="529">
        <v>1.4999999999999999E-2</v>
      </c>
      <c r="V31" s="524" t="s">
        <v>627</v>
      </c>
    </row>
    <row r="32" spans="1:22" ht="49.9" customHeight="1" x14ac:dyDescent="0.25">
      <c r="A32" s="426"/>
      <c r="B32" s="426"/>
      <c r="C32" s="526"/>
      <c r="D32" s="388"/>
      <c r="E32" s="388"/>
      <c r="F32" s="151" t="s">
        <v>20</v>
      </c>
      <c r="G32" s="269">
        <v>0</v>
      </c>
      <c r="H32" s="269">
        <v>4.6199999999999998E-2</v>
      </c>
      <c r="I32" s="269">
        <v>9.2299999999999993E-2</v>
      </c>
      <c r="J32" s="269"/>
      <c r="K32" s="269"/>
      <c r="L32" s="269"/>
      <c r="M32" s="269"/>
      <c r="N32" s="269"/>
      <c r="O32" s="269"/>
      <c r="P32" s="269"/>
      <c r="Q32" s="269"/>
      <c r="R32" s="269"/>
      <c r="S32" s="270">
        <f t="shared" si="0"/>
        <v>0.13849999999999998</v>
      </c>
      <c r="T32" s="387"/>
      <c r="U32" s="529"/>
      <c r="V32" s="524"/>
    </row>
    <row r="33" spans="1:22" ht="49.9" customHeight="1" x14ac:dyDescent="0.25">
      <c r="A33" s="426"/>
      <c r="B33" s="426"/>
      <c r="C33" s="526" t="s">
        <v>667</v>
      </c>
      <c r="D33" s="388" t="s">
        <v>320</v>
      </c>
      <c r="E33" s="388" t="s">
        <v>320</v>
      </c>
      <c r="F33" s="150" t="s">
        <v>19</v>
      </c>
      <c r="G33" s="527">
        <v>8.3299999999999999E-2</v>
      </c>
      <c r="H33" s="527">
        <v>8.3299999999999999E-2</v>
      </c>
      <c r="I33" s="527">
        <v>8.3299999999999999E-2</v>
      </c>
      <c r="J33" s="527">
        <v>8.3299999999999999E-2</v>
      </c>
      <c r="K33" s="527">
        <v>8.3299999999999999E-2</v>
      </c>
      <c r="L33" s="527">
        <v>8.3299999999999999E-2</v>
      </c>
      <c r="M33" s="527">
        <v>8.3299999999999999E-2</v>
      </c>
      <c r="N33" s="527">
        <v>8.3299999999999999E-2</v>
      </c>
      <c r="O33" s="527">
        <v>8.3299999999999999E-2</v>
      </c>
      <c r="P33" s="527">
        <v>8.3299999999999999E-2</v>
      </c>
      <c r="Q33" s="527">
        <v>8.3299999999999999E-2</v>
      </c>
      <c r="R33" s="527">
        <v>8.3699999999999997E-2</v>
      </c>
      <c r="S33" s="148">
        <f t="shared" si="0"/>
        <v>1</v>
      </c>
      <c r="T33" s="387"/>
      <c r="U33" s="529">
        <v>1.4999999999999999E-2</v>
      </c>
      <c r="V33" s="524" t="s">
        <v>628</v>
      </c>
    </row>
    <row r="34" spans="1:22" ht="49.9" customHeight="1" x14ac:dyDescent="0.25">
      <c r="A34" s="426"/>
      <c r="B34" s="426"/>
      <c r="C34" s="526"/>
      <c r="D34" s="388"/>
      <c r="E34" s="388"/>
      <c r="F34" s="151" t="s">
        <v>20</v>
      </c>
      <c r="G34" s="269">
        <v>0</v>
      </c>
      <c r="H34" s="269">
        <v>0</v>
      </c>
      <c r="I34" s="269">
        <v>8.3299999999999999E-2</v>
      </c>
      <c r="J34" s="269"/>
      <c r="K34" s="269"/>
      <c r="L34" s="269"/>
      <c r="M34" s="269"/>
      <c r="N34" s="269"/>
      <c r="O34" s="269"/>
      <c r="P34" s="269"/>
      <c r="Q34" s="269"/>
      <c r="R34" s="269"/>
      <c r="S34" s="270">
        <f t="shared" si="0"/>
        <v>8.3299999999999999E-2</v>
      </c>
      <c r="T34" s="387"/>
      <c r="U34" s="529"/>
      <c r="V34" s="524"/>
    </row>
    <row r="35" spans="1:22" ht="49.9" customHeight="1" x14ac:dyDescent="0.25">
      <c r="A35" s="426" t="s">
        <v>321</v>
      </c>
      <c r="B35" s="426" t="s">
        <v>334</v>
      </c>
      <c r="C35" s="526" t="s">
        <v>668</v>
      </c>
      <c r="D35" s="388" t="s">
        <v>320</v>
      </c>
      <c r="E35" s="388" t="s">
        <v>320</v>
      </c>
      <c r="F35" s="150" t="s">
        <v>19</v>
      </c>
      <c r="G35" s="527">
        <v>0</v>
      </c>
      <c r="H35" s="527">
        <v>7.2999999999999995E-2</v>
      </c>
      <c r="I35" s="527">
        <v>0.10298507462686568</v>
      </c>
      <c r="J35" s="527">
        <v>0.10298507462686568</v>
      </c>
      <c r="K35" s="527">
        <v>0.10298507462686568</v>
      </c>
      <c r="L35" s="527">
        <v>0.10298507462686568</v>
      </c>
      <c r="M35" s="527">
        <v>0.10298507462686568</v>
      </c>
      <c r="N35" s="527">
        <v>0.10298507462686568</v>
      </c>
      <c r="O35" s="527">
        <v>0.10298507462686568</v>
      </c>
      <c r="P35" s="527">
        <v>0.10298507462686568</v>
      </c>
      <c r="Q35" s="527">
        <v>0.10298507462686568</v>
      </c>
      <c r="R35" s="527">
        <v>0</v>
      </c>
      <c r="S35" s="152">
        <f t="shared" si="0"/>
        <v>0.99986567164179108</v>
      </c>
      <c r="T35" s="387">
        <v>0.15</v>
      </c>
      <c r="U35" s="529">
        <v>0.1275</v>
      </c>
      <c r="V35" s="535" t="s">
        <v>634</v>
      </c>
    </row>
    <row r="36" spans="1:22" ht="49.9" customHeight="1" x14ac:dyDescent="0.25">
      <c r="A36" s="426"/>
      <c r="B36" s="426"/>
      <c r="C36" s="526"/>
      <c r="D36" s="388"/>
      <c r="E36" s="388"/>
      <c r="F36" s="151" t="s">
        <v>20</v>
      </c>
      <c r="G36" s="269">
        <v>3.7313432835820895E-3</v>
      </c>
      <c r="H36" s="269">
        <v>9.8900000000000002E-2</v>
      </c>
      <c r="I36" s="269">
        <v>8.0199999999999994E-2</v>
      </c>
      <c r="J36" s="269"/>
      <c r="K36" s="269"/>
      <c r="L36" s="269"/>
      <c r="M36" s="269"/>
      <c r="N36" s="269"/>
      <c r="O36" s="269"/>
      <c r="P36" s="269"/>
      <c r="Q36" s="269"/>
      <c r="R36" s="269"/>
      <c r="S36" s="270">
        <f t="shared" si="0"/>
        <v>0.18283134328358208</v>
      </c>
      <c r="T36" s="387"/>
      <c r="U36" s="529"/>
      <c r="V36" s="536"/>
    </row>
    <row r="37" spans="1:22" ht="49.9" customHeight="1" x14ac:dyDescent="0.25">
      <c r="A37" s="426"/>
      <c r="B37" s="426"/>
      <c r="C37" s="526" t="s">
        <v>669</v>
      </c>
      <c r="D37" s="388" t="s">
        <v>320</v>
      </c>
      <c r="E37" s="388" t="s">
        <v>320</v>
      </c>
      <c r="F37" s="150" t="s">
        <v>19</v>
      </c>
      <c r="G37" s="527">
        <v>0</v>
      </c>
      <c r="H37" s="527">
        <v>0.1</v>
      </c>
      <c r="I37" s="527">
        <v>0.1</v>
      </c>
      <c r="J37" s="527">
        <v>0.1</v>
      </c>
      <c r="K37" s="527">
        <v>0.1</v>
      </c>
      <c r="L37" s="527">
        <v>0.1</v>
      </c>
      <c r="M37" s="527">
        <v>0.1</v>
      </c>
      <c r="N37" s="527">
        <v>0.1</v>
      </c>
      <c r="O37" s="527">
        <v>0.1</v>
      </c>
      <c r="P37" s="527">
        <v>0.1</v>
      </c>
      <c r="Q37" s="527">
        <v>0.1</v>
      </c>
      <c r="R37" s="527">
        <v>0</v>
      </c>
      <c r="S37" s="153">
        <f t="shared" si="0"/>
        <v>0.99999999999999989</v>
      </c>
      <c r="T37" s="387"/>
      <c r="U37" s="529">
        <v>2.2499999999999999E-2</v>
      </c>
      <c r="V37" s="537" t="s">
        <v>635</v>
      </c>
    </row>
    <row r="38" spans="1:22" ht="49.9" customHeight="1" x14ac:dyDescent="0.25">
      <c r="A38" s="426"/>
      <c r="B38" s="426"/>
      <c r="C38" s="526"/>
      <c r="D38" s="388"/>
      <c r="E38" s="388"/>
      <c r="F38" s="151" t="s">
        <v>20</v>
      </c>
      <c r="G38" s="269">
        <v>3.5000000000000003E-2</v>
      </c>
      <c r="H38" s="269">
        <v>0.115</v>
      </c>
      <c r="I38" s="269">
        <v>0.115</v>
      </c>
      <c r="J38" s="269"/>
      <c r="K38" s="269"/>
      <c r="L38" s="269"/>
      <c r="M38" s="269"/>
      <c r="N38" s="269"/>
      <c r="O38" s="269"/>
      <c r="P38" s="269"/>
      <c r="Q38" s="269"/>
      <c r="R38" s="269"/>
      <c r="S38" s="270">
        <f t="shared" si="0"/>
        <v>0.26500000000000001</v>
      </c>
      <c r="T38" s="387"/>
      <c r="U38" s="529"/>
      <c r="V38" s="538"/>
    </row>
    <row r="39" spans="1:22" ht="49.9" customHeight="1" x14ac:dyDescent="0.25">
      <c r="A39" s="426" t="s">
        <v>322</v>
      </c>
      <c r="B39" s="426" t="s">
        <v>323</v>
      </c>
      <c r="C39" s="526" t="s">
        <v>670</v>
      </c>
      <c r="D39" s="388" t="s">
        <v>320</v>
      </c>
      <c r="E39" s="388" t="s">
        <v>320</v>
      </c>
      <c r="F39" s="150" t="s">
        <v>19</v>
      </c>
      <c r="G39" s="527">
        <v>8.3299999999999999E-2</v>
      </c>
      <c r="H39" s="527">
        <v>8.3299999999999999E-2</v>
      </c>
      <c r="I39" s="527">
        <v>8.3299999999999999E-2</v>
      </c>
      <c r="J39" s="527">
        <v>8.3299999999999999E-2</v>
      </c>
      <c r="K39" s="527">
        <v>8.3299999999999999E-2</v>
      </c>
      <c r="L39" s="527">
        <v>8.3299999999999999E-2</v>
      </c>
      <c r="M39" s="527">
        <v>8.3299999999999999E-2</v>
      </c>
      <c r="N39" s="527">
        <v>8.3299999999999999E-2</v>
      </c>
      <c r="O39" s="527">
        <v>8.3299999999999999E-2</v>
      </c>
      <c r="P39" s="527">
        <v>8.3299999999999999E-2</v>
      </c>
      <c r="Q39" s="527">
        <v>8.3299999999999999E-2</v>
      </c>
      <c r="R39" s="527">
        <v>8.3699999999999997E-2</v>
      </c>
      <c r="S39" s="148">
        <f t="shared" si="0"/>
        <v>1</v>
      </c>
      <c r="T39" s="387">
        <v>0.15</v>
      </c>
      <c r="U39" s="529">
        <v>0.04</v>
      </c>
      <c r="V39" s="530" t="s">
        <v>671</v>
      </c>
    </row>
    <row r="40" spans="1:22" ht="49.9" customHeight="1" x14ac:dyDescent="0.25">
      <c r="A40" s="426"/>
      <c r="B40" s="426"/>
      <c r="C40" s="526"/>
      <c r="D40" s="388"/>
      <c r="E40" s="388"/>
      <c r="F40" s="151" t="s">
        <v>20</v>
      </c>
      <c r="G40" s="269">
        <v>8.3299999999999999E-2</v>
      </c>
      <c r="H40" s="269">
        <v>8.3299999999999999E-2</v>
      </c>
      <c r="I40" s="269">
        <v>8.3299999999999999E-2</v>
      </c>
      <c r="J40" s="269"/>
      <c r="K40" s="269"/>
      <c r="L40" s="269"/>
      <c r="M40" s="269"/>
      <c r="N40" s="269"/>
      <c r="O40" s="269"/>
      <c r="P40" s="269"/>
      <c r="Q40" s="269"/>
      <c r="R40" s="269"/>
      <c r="S40" s="270">
        <f t="shared" si="0"/>
        <v>0.24990000000000001</v>
      </c>
      <c r="T40" s="387"/>
      <c r="U40" s="529"/>
      <c r="V40" s="539"/>
    </row>
    <row r="41" spans="1:22" ht="49.9" customHeight="1" x14ac:dyDescent="0.25">
      <c r="A41" s="426"/>
      <c r="B41" s="426"/>
      <c r="C41" s="526" t="s">
        <v>672</v>
      </c>
      <c r="D41" s="388" t="s">
        <v>320</v>
      </c>
      <c r="E41" s="388" t="s">
        <v>320</v>
      </c>
      <c r="F41" s="150" t="s">
        <v>19</v>
      </c>
      <c r="G41" s="527">
        <v>8.3299999999999999E-2</v>
      </c>
      <c r="H41" s="527">
        <v>8.3299999999999999E-2</v>
      </c>
      <c r="I41" s="527">
        <v>8.3299999999999999E-2</v>
      </c>
      <c r="J41" s="527">
        <v>8.3299999999999999E-2</v>
      </c>
      <c r="K41" s="527">
        <v>8.3299999999999999E-2</v>
      </c>
      <c r="L41" s="527">
        <v>8.3299999999999999E-2</v>
      </c>
      <c r="M41" s="527">
        <v>8.3299999999999999E-2</v>
      </c>
      <c r="N41" s="527">
        <v>8.3299999999999999E-2</v>
      </c>
      <c r="O41" s="527">
        <v>8.3299999999999999E-2</v>
      </c>
      <c r="P41" s="527">
        <v>8.3299999999999999E-2</v>
      </c>
      <c r="Q41" s="527">
        <v>8.3299999999999999E-2</v>
      </c>
      <c r="R41" s="527">
        <v>8.3699999999999997E-2</v>
      </c>
      <c r="S41" s="148">
        <f t="shared" si="0"/>
        <v>1</v>
      </c>
      <c r="T41" s="387"/>
      <c r="U41" s="529">
        <v>0.03</v>
      </c>
      <c r="V41" s="524" t="s">
        <v>630</v>
      </c>
    </row>
    <row r="42" spans="1:22" ht="49.9" customHeight="1" x14ac:dyDescent="0.25">
      <c r="A42" s="426"/>
      <c r="B42" s="426"/>
      <c r="C42" s="526"/>
      <c r="D42" s="388"/>
      <c r="E42" s="388"/>
      <c r="F42" s="151" t="s">
        <v>20</v>
      </c>
      <c r="G42" s="269">
        <v>0</v>
      </c>
      <c r="H42" s="269">
        <v>8.3299999999999999E-2</v>
      </c>
      <c r="I42" s="269">
        <v>8.3299999999999999E-2</v>
      </c>
      <c r="J42" s="269"/>
      <c r="K42" s="269"/>
      <c r="L42" s="269"/>
      <c r="M42" s="269"/>
      <c r="N42" s="269"/>
      <c r="O42" s="269"/>
      <c r="P42" s="269"/>
      <c r="Q42" s="269"/>
      <c r="R42" s="269"/>
      <c r="S42" s="270">
        <f t="shared" si="0"/>
        <v>0.1666</v>
      </c>
      <c r="T42" s="387"/>
      <c r="U42" s="529"/>
      <c r="V42" s="524"/>
    </row>
    <row r="43" spans="1:22" ht="49.9" customHeight="1" x14ac:dyDescent="0.25">
      <c r="A43" s="426"/>
      <c r="B43" s="426"/>
      <c r="C43" s="526" t="s">
        <v>673</v>
      </c>
      <c r="D43" s="388" t="s">
        <v>320</v>
      </c>
      <c r="E43" s="388" t="s">
        <v>320</v>
      </c>
      <c r="F43" s="150" t="s">
        <v>19</v>
      </c>
      <c r="G43" s="527">
        <v>0</v>
      </c>
      <c r="H43" s="527">
        <v>0</v>
      </c>
      <c r="I43" s="527">
        <v>0.25</v>
      </c>
      <c r="J43" s="527">
        <v>0</v>
      </c>
      <c r="K43" s="527">
        <v>0</v>
      </c>
      <c r="L43" s="527">
        <v>0.25</v>
      </c>
      <c r="M43" s="527">
        <v>0</v>
      </c>
      <c r="N43" s="527">
        <v>0</v>
      </c>
      <c r="O43" s="527">
        <v>0.25</v>
      </c>
      <c r="P43" s="527">
        <v>0</v>
      </c>
      <c r="Q43" s="527">
        <v>0</v>
      </c>
      <c r="R43" s="527">
        <v>0.25</v>
      </c>
      <c r="S43" s="148">
        <f t="shared" si="0"/>
        <v>1</v>
      </c>
      <c r="T43" s="387"/>
      <c r="U43" s="529">
        <v>0.05</v>
      </c>
      <c r="V43" s="524" t="s">
        <v>631</v>
      </c>
    </row>
    <row r="44" spans="1:22" ht="49.9" customHeight="1" x14ac:dyDescent="0.25">
      <c r="A44" s="426"/>
      <c r="B44" s="426"/>
      <c r="C44" s="526"/>
      <c r="D44" s="388"/>
      <c r="E44" s="388"/>
      <c r="F44" s="151" t="s">
        <v>20</v>
      </c>
      <c r="G44" s="269">
        <v>0</v>
      </c>
      <c r="H44" s="269">
        <v>0</v>
      </c>
      <c r="I44" s="269">
        <v>0.25</v>
      </c>
      <c r="J44" s="269"/>
      <c r="K44" s="269"/>
      <c r="L44" s="269"/>
      <c r="M44" s="269"/>
      <c r="N44" s="269"/>
      <c r="O44" s="269"/>
      <c r="P44" s="269"/>
      <c r="Q44" s="269"/>
      <c r="R44" s="269"/>
      <c r="S44" s="270">
        <f t="shared" si="0"/>
        <v>0.25</v>
      </c>
      <c r="T44" s="387"/>
      <c r="U44" s="529"/>
      <c r="V44" s="524"/>
    </row>
    <row r="45" spans="1:22" ht="49.9" customHeight="1" x14ac:dyDescent="0.25">
      <c r="A45" s="426"/>
      <c r="B45" s="426"/>
      <c r="C45" s="526" t="s">
        <v>674</v>
      </c>
      <c r="D45" s="388" t="s">
        <v>320</v>
      </c>
      <c r="E45" s="388" t="s">
        <v>320</v>
      </c>
      <c r="F45" s="150" t="s">
        <v>19</v>
      </c>
      <c r="G45" s="527">
        <v>8.3299999999999999E-2</v>
      </c>
      <c r="H45" s="527">
        <v>8.3299999999999999E-2</v>
      </c>
      <c r="I45" s="527">
        <v>8.3299999999999999E-2</v>
      </c>
      <c r="J45" s="527">
        <v>8.3299999999999999E-2</v>
      </c>
      <c r="K45" s="527">
        <v>8.3299999999999999E-2</v>
      </c>
      <c r="L45" s="527">
        <v>8.3299999999999999E-2</v>
      </c>
      <c r="M45" s="527">
        <v>8.3299999999999999E-2</v>
      </c>
      <c r="N45" s="527">
        <v>8.3299999999999999E-2</v>
      </c>
      <c r="O45" s="527">
        <v>8.3299999999999999E-2</v>
      </c>
      <c r="P45" s="527">
        <v>8.3299999999999999E-2</v>
      </c>
      <c r="Q45" s="527">
        <v>8.3299999999999999E-2</v>
      </c>
      <c r="R45" s="527">
        <v>8.3699999999999997E-2</v>
      </c>
      <c r="S45" s="148">
        <f t="shared" si="0"/>
        <v>1</v>
      </c>
      <c r="T45" s="387"/>
      <c r="U45" s="529">
        <v>0.03</v>
      </c>
      <c r="V45" s="524" t="s">
        <v>632</v>
      </c>
    </row>
    <row r="46" spans="1:22" ht="49.9" customHeight="1" x14ac:dyDescent="0.25">
      <c r="A46" s="426"/>
      <c r="B46" s="426"/>
      <c r="C46" s="526"/>
      <c r="D46" s="388"/>
      <c r="E46" s="388"/>
      <c r="F46" s="151" t="s">
        <v>20</v>
      </c>
      <c r="G46" s="269">
        <v>0</v>
      </c>
      <c r="H46" s="269">
        <v>8.3299999999999999E-2</v>
      </c>
      <c r="I46" s="269">
        <v>8.3299999999999999E-2</v>
      </c>
      <c r="J46" s="269"/>
      <c r="K46" s="269"/>
      <c r="L46" s="269"/>
      <c r="M46" s="269"/>
      <c r="N46" s="269"/>
      <c r="O46" s="269"/>
      <c r="P46" s="269"/>
      <c r="Q46" s="269"/>
      <c r="R46" s="269"/>
      <c r="S46" s="270">
        <f t="shared" si="0"/>
        <v>0.1666</v>
      </c>
      <c r="T46" s="387"/>
      <c r="U46" s="529"/>
      <c r="V46" s="524"/>
    </row>
    <row r="47" spans="1:22" ht="49.9" customHeight="1" x14ac:dyDescent="0.25">
      <c r="A47" s="426" t="s">
        <v>308</v>
      </c>
      <c r="B47" s="426" t="s">
        <v>324</v>
      </c>
      <c r="C47" s="526" t="s">
        <v>675</v>
      </c>
      <c r="D47" s="388" t="s">
        <v>320</v>
      </c>
      <c r="E47" s="388" t="s">
        <v>320</v>
      </c>
      <c r="F47" s="150" t="s">
        <v>19</v>
      </c>
      <c r="G47" s="527">
        <v>8.3299999999999999E-2</v>
      </c>
      <c r="H47" s="527">
        <v>8.3299999999999999E-2</v>
      </c>
      <c r="I47" s="527">
        <v>8.3299999999999999E-2</v>
      </c>
      <c r="J47" s="527">
        <v>8.3299999999999999E-2</v>
      </c>
      <c r="K47" s="527">
        <v>8.3299999999999999E-2</v>
      </c>
      <c r="L47" s="527">
        <v>8.3299999999999999E-2</v>
      </c>
      <c r="M47" s="527">
        <v>8.3299999999999999E-2</v>
      </c>
      <c r="N47" s="527">
        <v>8.3299999999999999E-2</v>
      </c>
      <c r="O47" s="527">
        <v>8.3299999999999999E-2</v>
      </c>
      <c r="P47" s="527">
        <v>8.3299999999999999E-2</v>
      </c>
      <c r="Q47" s="527">
        <v>8.3299999999999999E-2</v>
      </c>
      <c r="R47" s="527">
        <v>8.3699999999999997E-2</v>
      </c>
      <c r="S47" s="148">
        <f t="shared" si="0"/>
        <v>1</v>
      </c>
      <c r="T47" s="387">
        <v>0.15</v>
      </c>
      <c r="U47" s="529">
        <v>4.4999999999999998E-2</v>
      </c>
      <c r="V47" s="524" t="s">
        <v>652</v>
      </c>
    </row>
    <row r="48" spans="1:22" ht="49.9" customHeight="1" x14ac:dyDescent="0.25">
      <c r="A48" s="426"/>
      <c r="B48" s="426"/>
      <c r="C48" s="526"/>
      <c r="D48" s="388"/>
      <c r="E48" s="388"/>
      <c r="F48" s="151" t="s">
        <v>20</v>
      </c>
      <c r="G48" s="269">
        <v>0</v>
      </c>
      <c r="H48" s="269">
        <v>0</v>
      </c>
      <c r="I48" s="269">
        <v>8.3299999999999999E-2</v>
      </c>
      <c r="J48" s="269"/>
      <c r="K48" s="269"/>
      <c r="L48" s="269"/>
      <c r="M48" s="269"/>
      <c r="N48" s="269"/>
      <c r="O48" s="269"/>
      <c r="P48" s="269"/>
      <c r="Q48" s="269"/>
      <c r="R48" s="269"/>
      <c r="S48" s="270">
        <f t="shared" si="0"/>
        <v>8.3299999999999999E-2</v>
      </c>
      <c r="T48" s="387"/>
      <c r="U48" s="529"/>
      <c r="V48" s="524"/>
    </row>
    <row r="49" spans="1:22" ht="49.9" customHeight="1" x14ac:dyDescent="0.25">
      <c r="A49" s="426"/>
      <c r="B49" s="426"/>
      <c r="C49" s="526" t="s">
        <v>676</v>
      </c>
      <c r="D49" s="388" t="s">
        <v>320</v>
      </c>
      <c r="E49" s="388" t="s">
        <v>320</v>
      </c>
      <c r="F49" s="150" t="s">
        <v>19</v>
      </c>
      <c r="G49" s="527">
        <v>8.3299999999999999E-2</v>
      </c>
      <c r="H49" s="527">
        <v>8.3299999999999999E-2</v>
      </c>
      <c r="I49" s="527">
        <v>8.3299999999999999E-2</v>
      </c>
      <c r="J49" s="527">
        <v>8.3299999999999999E-2</v>
      </c>
      <c r="K49" s="527">
        <v>8.3299999999999999E-2</v>
      </c>
      <c r="L49" s="527">
        <v>8.3299999999999999E-2</v>
      </c>
      <c r="M49" s="527">
        <v>8.3299999999999999E-2</v>
      </c>
      <c r="N49" s="527">
        <v>8.3299999999999999E-2</v>
      </c>
      <c r="O49" s="527">
        <v>8.3299999999999999E-2</v>
      </c>
      <c r="P49" s="527">
        <v>8.3299999999999999E-2</v>
      </c>
      <c r="Q49" s="527">
        <v>8.3299999999999999E-2</v>
      </c>
      <c r="R49" s="527">
        <v>8.3699999999999997E-2</v>
      </c>
      <c r="S49" s="148">
        <f t="shared" si="0"/>
        <v>1</v>
      </c>
      <c r="T49" s="387"/>
      <c r="U49" s="529">
        <v>0.03</v>
      </c>
      <c r="V49" s="524" t="s">
        <v>651</v>
      </c>
    </row>
    <row r="50" spans="1:22" ht="49.9" customHeight="1" x14ac:dyDescent="0.25">
      <c r="A50" s="426"/>
      <c r="B50" s="426"/>
      <c r="C50" s="526"/>
      <c r="D50" s="388"/>
      <c r="E50" s="388"/>
      <c r="F50" s="151" t="s">
        <v>20</v>
      </c>
      <c r="G50" s="269">
        <v>0</v>
      </c>
      <c r="H50" s="269">
        <v>7.9200000000000007E-2</v>
      </c>
      <c r="I50" s="269">
        <v>3.3300000000000003E-2</v>
      </c>
      <c r="J50" s="269"/>
      <c r="K50" s="269"/>
      <c r="L50" s="269"/>
      <c r="M50" s="269"/>
      <c r="N50" s="269"/>
      <c r="O50" s="269"/>
      <c r="P50" s="269"/>
      <c r="Q50" s="269"/>
      <c r="R50" s="269"/>
      <c r="S50" s="262">
        <f t="shared" si="0"/>
        <v>0.11250000000000002</v>
      </c>
      <c r="T50" s="387"/>
      <c r="U50" s="529"/>
      <c r="V50" s="524"/>
    </row>
    <row r="51" spans="1:22" ht="49.9" customHeight="1" x14ac:dyDescent="0.25">
      <c r="A51" s="426"/>
      <c r="B51" s="426"/>
      <c r="C51" s="526" t="s">
        <v>677</v>
      </c>
      <c r="D51" s="388" t="s">
        <v>320</v>
      </c>
      <c r="E51" s="388" t="s">
        <v>320</v>
      </c>
      <c r="F51" s="150" t="s">
        <v>19</v>
      </c>
      <c r="G51" s="527">
        <v>8.3299999999999999E-2</v>
      </c>
      <c r="H51" s="527">
        <v>8.3299999999999999E-2</v>
      </c>
      <c r="I51" s="527">
        <v>8.3299999999999999E-2</v>
      </c>
      <c r="J51" s="527">
        <v>8.3299999999999999E-2</v>
      </c>
      <c r="K51" s="527">
        <v>8.3299999999999999E-2</v>
      </c>
      <c r="L51" s="527">
        <v>8.3299999999999999E-2</v>
      </c>
      <c r="M51" s="527">
        <v>8.3299999999999999E-2</v>
      </c>
      <c r="N51" s="527">
        <v>8.3299999999999999E-2</v>
      </c>
      <c r="O51" s="527">
        <v>8.3299999999999999E-2</v>
      </c>
      <c r="P51" s="527">
        <v>8.3299999999999999E-2</v>
      </c>
      <c r="Q51" s="527">
        <v>8.3299999999999999E-2</v>
      </c>
      <c r="R51" s="527">
        <v>8.3699999999999997E-2</v>
      </c>
      <c r="S51" s="148">
        <f t="shared" si="0"/>
        <v>1</v>
      </c>
      <c r="T51" s="387"/>
      <c r="U51" s="529">
        <v>0.03</v>
      </c>
      <c r="V51" s="524" t="s">
        <v>639</v>
      </c>
    </row>
    <row r="52" spans="1:22" ht="49.9" customHeight="1" x14ac:dyDescent="0.25">
      <c r="A52" s="426"/>
      <c r="B52" s="426"/>
      <c r="C52" s="526"/>
      <c r="D52" s="388"/>
      <c r="E52" s="388"/>
      <c r="F52" s="151" t="s">
        <v>20</v>
      </c>
      <c r="G52" s="269">
        <v>0</v>
      </c>
      <c r="H52" s="269">
        <v>0</v>
      </c>
      <c r="I52" s="269">
        <v>0</v>
      </c>
      <c r="J52" s="269"/>
      <c r="K52" s="269"/>
      <c r="L52" s="269"/>
      <c r="M52" s="269"/>
      <c r="N52" s="269"/>
      <c r="O52" s="269"/>
      <c r="P52" s="269"/>
      <c r="Q52" s="269"/>
      <c r="R52" s="269"/>
      <c r="S52" s="262">
        <f t="shared" si="0"/>
        <v>0</v>
      </c>
      <c r="T52" s="387"/>
      <c r="U52" s="529"/>
      <c r="V52" s="524"/>
    </row>
    <row r="53" spans="1:22" ht="49.9" customHeight="1" x14ac:dyDescent="0.25">
      <c r="A53" s="426"/>
      <c r="B53" s="426"/>
      <c r="C53" s="526" t="s">
        <v>678</v>
      </c>
      <c r="D53" s="388" t="s">
        <v>320</v>
      </c>
      <c r="E53" s="388" t="s">
        <v>320</v>
      </c>
      <c r="F53" s="150" t="s">
        <v>19</v>
      </c>
      <c r="G53" s="527">
        <v>8.3299999999999999E-2</v>
      </c>
      <c r="H53" s="527">
        <v>8.3299999999999999E-2</v>
      </c>
      <c r="I53" s="527">
        <v>8.3299999999999999E-2</v>
      </c>
      <c r="J53" s="527">
        <v>8.3299999999999999E-2</v>
      </c>
      <c r="K53" s="527">
        <v>8.3299999999999999E-2</v>
      </c>
      <c r="L53" s="527">
        <v>8.3299999999999999E-2</v>
      </c>
      <c r="M53" s="527">
        <v>8.3299999999999999E-2</v>
      </c>
      <c r="N53" s="527">
        <v>8.3299999999999999E-2</v>
      </c>
      <c r="O53" s="527">
        <v>8.3299999999999999E-2</v>
      </c>
      <c r="P53" s="527">
        <v>8.3299999999999999E-2</v>
      </c>
      <c r="Q53" s="527">
        <v>8.3299999999999999E-2</v>
      </c>
      <c r="R53" s="527">
        <v>8.3699999999999997E-2</v>
      </c>
      <c r="S53" s="148">
        <f t="shared" si="0"/>
        <v>1</v>
      </c>
      <c r="T53" s="387"/>
      <c r="U53" s="529">
        <v>1.4999999999999999E-2</v>
      </c>
      <c r="V53" s="524" t="s">
        <v>653</v>
      </c>
    </row>
    <row r="54" spans="1:22" ht="49.9" customHeight="1" x14ac:dyDescent="0.25">
      <c r="A54" s="426"/>
      <c r="B54" s="426"/>
      <c r="C54" s="526"/>
      <c r="D54" s="388"/>
      <c r="E54" s="388"/>
      <c r="F54" s="151" t="s">
        <v>20</v>
      </c>
      <c r="G54" s="269">
        <v>0</v>
      </c>
      <c r="H54" s="269">
        <v>8.3299999999999999E-2</v>
      </c>
      <c r="I54" s="269">
        <v>8.3299999999999999E-2</v>
      </c>
      <c r="J54" s="269"/>
      <c r="K54" s="269"/>
      <c r="L54" s="269"/>
      <c r="M54" s="269"/>
      <c r="N54" s="269"/>
      <c r="O54" s="269"/>
      <c r="P54" s="269"/>
      <c r="Q54" s="269"/>
      <c r="R54" s="269"/>
      <c r="S54" s="262">
        <f t="shared" si="0"/>
        <v>0.1666</v>
      </c>
      <c r="T54" s="387"/>
      <c r="U54" s="529"/>
      <c r="V54" s="524"/>
    </row>
    <row r="55" spans="1:22" ht="49.9" customHeight="1" x14ac:dyDescent="0.25">
      <c r="A55" s="426"/>
      <c r="B55" s="426"/>
      <c r="C55" s="526" t="s">
        <v>679</v>
      </c>
      <c r="D55" s="388" t="s">
        <v>320</v>
      </c>
      <c r="E55" s="388" t="s">
        <v>320</v>
      </c>
      <c r="F55" s="150" t="s">
        <v>19</v>
      </c>
      <c r="G55" s="528">
        <v>7.5739644970414202E-2</v>
      </c>
      <c r="H55" s="528">
        <v>8.4023668639053251E-2</v>
      </c>
      <c r="I55" s="528">
        <v>8.4023668639053251E-2</v>
      </c>
      <c r="J55" s="528">
        <v>8.4023668639053251E-2</v>
      </c>
      <c r="K55" s="528">
        <v>8.4023668639053251E-2</v>
      </c>
      <c r="L55" s="528">
        <v>9.2307692307692313E-2</v>
      </c>
      <c r="M55" s="528">
        <v>8.4023668639053251E-2</v>
      </c>
      <c r="N55" s="528">
        <v>8.4023668639053251E-2</v>
      </c>
      <c r="O55" s="528">
        <v>8.4023668639053251E-2</v>
      </c>
      <c r="P55" s="528">
        <v>8.4023668639053251E-2</v>
      </c>
      <c r="Q55" s="269">
        <v>8.4023668639053251E-2</v>
      </c>
      <c r="R55" s="269">
        <v>7.5999999999999998E-2</v>
      </c>
      <c r="S55" s="148">
        <f t="shared" si="0"/>
        <v>1.0002603550295857</v>
      </c>
      <c r="T55" s="387"/>
      <c r="U55" s="529">
        <v>0.03</v>
      </c>
      <c r="V55" s="524" t="s">
        <v>654</v>
      </c>
    </row>
    <row r="56" spans="1:22" ht="49.9" customHeight="1" x14ac:dyDescent="0.25">
      <c r="A56" s="426"/>
      <c r="B56" s="426"/>
      <c r="C56" s="526"/>
      <c r="D56" s="388"/>
      <c r="E56" s="388"/>
      <c r="F56" s="151" t="s">
        <v>20</v>
      </c>
      <c r="G56" s="269">
        <v>0</v>
      </c>
      <c r="H56" s="269">
        <v>1.4200000000000001E-2</v>
      </c>
      <c r="I56" s="269">
        <v>5.33E-2</v>
      </c>
      <c r="J56" s="269"/>
      <c r="K56" s="269"/>
      <c r="L56" s="269"/>
      <c r="M56" s="269"/>
      <c r="N56" s="269"/>
      <c r="O56" s="269"/>
      <c r="P56" s="269"/>
      <c r="Q56" s="269"/>
      <c r="R56" s="269"/>
      <c r="S56" s="262">
        <f t="shared" si="0"/>
        <v>6.7500000000000004E-2</v>
      </c>
      <c r="T56" s="387"/>
      <c r="U56" s="529"/>
      <c r="V56" s="524"/>
    </row>
    <row r="57" spans="1:22" ht="49.9" customHeight="1" x14ac:dyDescent="0.25">
      <c r="A57" s="426" t="s">
        <v>308</v>
      </c>
      <c r="B57" s="426" t="s">
        <v>325</v>
      </c>
      <c r="C57" s="526" t="s">
        <v>680</v>
      </c>
      <c r="D57" s="388" t="s">
        <v>320</v>
      </c>
      <c r="E57" s="388" t="s">
        <v>320</v>
      </c>
      <c r="F57" s="150" t="s">
        <v>19</v>
      </c>
      <c r="G57" s="527">
        <v>0.02</v>
      </c>
      <c r="H57" s="527">
        <v>0.09</v>
      </c>
      <c r="I57" s="527">
        <v>0.09</v>
      </c>
      <c r="J57" s="527">
        <v>0.09</v>
      </c>
      <c r="K57" s="527">
        <v>0.09</v>
      </c>
      <c r="L57" s="527">
        <v>0.09</v>
      </c>
      <c r="M57" s="527">
        <v>0.09</v>
      </c>
      <c r="N57" s="527">
        <v>0.09</v>
      </c>
      <c r="O57" s="527">
        <v>0.09</v>
      </c>
      <c r="P57" s="527">
        <v>0.09</v>
      </c>
      <c r="Q57" s="527">
        <v>0.09</v>
      </c>
      <c r="R57" s="527">
        <v>0.08</v>
      </c>
      <c r="S57" s="148">
        <f t="shared" si="0"/>
        <v>0.99999999999999978</v>
      </c>
      <c r="T57" s="387">
        <v>0.1</v>
      </c>
      <c r="U57" s="529">
        <v>3.7499999999999999E-2</v>
      </c>
      <c r="V57" s="524" t="s">
        <v>641</v>
      </c>
    </row>
    <row r="58" spans="1:22" ht="49.9" customHeight="1" x14ac:dyDescent="0.25">
      <c r="A58" s="426"/>
      <c r="B58" s="426"/>
      <c r="C58" s="526"/>
      <c r="D58" s="388"/>
      <c r="E58" s="388"/>
      <c r="F58" s="151" t="s">
        <v>20</v>
      </c>
      <c r="G58" s="269">
        <v>0.02</v>
      </c>
      <c r="H58" s="269">
        <v>0.09</v>
      </c>
      <c r="I58" s="269">
        <v>0.09</v>
      </c>
      <c r="J58" s="269"/>
      <c r="K58" s="269"/>
      <c r="L58" s="269"/>
      <c r="M58" s="269"/>
      <c r="N58" s="269"/>
      <c r="O58" s="269"/>
      <c r="P58" s="269"/>
      <c r="Q58" s="269"/>
      <c r="R58" s="269"/>
      <c r="S58" s="270">
        <f t="shared" si="0"/>
        <v>0.2</v>
      </c>
      <c r="T58" s="387"/>
      <c r="U58" s="529"/>
      <c r="V58" s="524"/>
    </row>
    <row r="59" spans="1:22" ht="49.9" customHeight="1" x14ac:dyDescent="0.25">
      <c r="A59" s="426"/>
      <c r="B59" s="426"/>
      <c r="C59" s="526" t="s">
        <v>681</v>
      </c>
      <c r="D59" s="388" t="s">
        <v>320</v>
      </c>
      <c r="E59" s="388" t="s">
        <v>320</v>
      </c>
      <c r="F59" s="150" t="s">
        <v>19</v>
      </c>
      <c r="G59" s="527">
        <v>0</v>
      </c>
      <c r="H59" s="527">
        <v>0.09</v>
      </c>
      <c r="I59" s="527">
        <v>0.09</v>
      </c>
      <c r="J59" s="527">
        <v>0.09</v>
      </c>
      <c r="K59" s="527">
        <v>0.09</v>
      </c>
      <c r="L59" s="527">
        <v>0.09</v>
      </c>
      <c r="M59" s="527">
        <v>0.09</v>
      </c>
      <c r="N59" s="527">
        <v>0.09</v>
      </c>
      <c r="O59" s="527">
        <v>0.09</v>
      </c>
      <c r="P59" s="527">
        <v>0.09</v>
      </c>
      <c r="Q59" s="527">
        <v>0.09</v>
      </c>
      <c r="R59" s="527">
        <v>0.1</v>
      </c>
      <c r="S59" s="148">
        <f t="shared" si="0"/>
        <v>0.99999999999999978</v>
      </c>
      <c r="T59" s="387"/>
      <c r="U59" s="529">
        <v>1.2500000000000001E-2</v>
      </c>
      <c r="V59" s="524" t="s">
        <v>642</v>
      </c>
    </row>
    <row r="60" spans="1:22" ht="49.9" customHeight="1" x14ac:dyDescent="0.25">
      <c r="A60" s="426"/>
      <c r="B60" s="426"/>
      <c r="C60" s="526"/>
      <c r="D60" s="388"/>
      <c r="E60" s="388"/>
      <c r="F60" s="151" t="s">
        <v>20</v>
      </c>
      <c r="G60" s="269">
        <v>0</v>
      </c>
      <c r="H60" s="269">
        <v>0.09</v>
      </c>
      <c r="I60" s="269">
        <v>0.09</v>
      </c>
      <c r="J60" s="269"/>
      <c r="K60" s="269"/>
      <c r="L60" s="269"/>
      <c r="M60" s="269"/>
      <c r="N60" s="269"/>
      <c r="O60" s="269"/>
      <c r="P60" s="269"/>
      <c r="Q60" s="269"/>
      <c r="R60" s="269"/>
      <c r="S60" s="262">
        <f t="shared" si="0"/>
        <v>0.18</v>
      </c>
      <c r="T60" s="387"/>
      <c r="U60" s="529"/>
      <c r="V60" s="524"/>
    </row>
    <row r="61" spans="1:22" ht="49.9" customHeight="1" x14ac:dyDescent="0.25">
      <c r="A61" s="426"/>
      <c r="B61" s="426"/>
      <c r="C61" s="526" t="s">
        <v>682</v>
      </c>
      <c r="D61" s="388" t="s">
        <v>320</v>
      </c>
      <c r="E61" s="388" t="s">
        <v>320</v>
      </c>
      <c r="F61" s="150" t="s">
        <v>19</v>
      </c>
      <c r="G61" s="527">
        <v>0</v>
      </c>
      <c r="H61" s="527">
        <v>0.09</v>
      </c>
      <c r="I61" s="527">
        <v>0.09</v>
      </c>
      <c r="J61" s="527">
        <v>0.09</v>
      </c>
      <c r="K61" s="527">
        <v>0.09</v>
      </c>
      <c r="L61" s="527">
        <v>0.09</v>
      </c>
      <c r="M61" s="527">
        <v>0.09</v>
      </c>
      <c r="N61" s="527">
        <v>0.09</v>
      </c>
      <c r="O61" s="527">
        <v>0.09</v>
      </c>
      <c r="P61" s="527">
        <v>0.09</v>
      </c>
      <c r="Q61" s="527">
        <v>0.09</v>
      </c>
      <c r="R61" s="527">
        <v>0.1</v>
      </c>
      <c r="S61" s="148">
        <f t="shared" si="0"/>
        <v>0.99999999999999978</v>
      </c>
      <c r="T61" s="387"/>
      <c r="U61" s="529">
        <v>3.7499999999999999E-2</v>
      </c>
      <c r="V61" s="524" t="s">
        <v>643</v>
      </c>
    </row>
    <row r="62" spans="1:22" ht="49.9" customHeight="1" x14ac:dyDescent="0.25">
      <c r="A62" s="426"/>
      <c r="B62" s="426"/>
      <c r="C62" s="526"/>
      <c r="D62" s="388"/>
      <c r="E62" s="388"/>
      <c r="F62" s="151" t="s">
        <v>20</v>
      </c>
      <c r="G62" s="269">
        <v>0</v>
      </c>
      <c r="H62" s="269">
        <v>0.09</v>
      </c>
      <c r="I62" s="269">
        <v>0.09</v>
      </c>
      <c r="J62" s="269"/>
      <c r="K62" s="269"/>
      <c r="L62" s="269"/>
      <c r="M62" s="269"/>
      <c r="N62" s="269"/>
      <c r="O62" s="269"/>
      <c r="P62" s="269"/>
      <c r="Q62" s="269"/>
      <c r="R62" s="269"/>
      <c r="S62" s="262">
        <f t="shared" si="0"/>
        <v>0.18</v>
      </c>
      <c r="T62" s="387"/>
      <c r="U62" s="529"/>
      <c r="V62" s="524"/>
    </row>
    <row r="63" spans="1:22" ht="49.9" customHeight="1" x14ac:dyDescent="0.25">
      <c r="A63" s="426"/>
      <c r="B63" s="426"/>
      <c r="C63" s="526" t="s">
        <v>683</v>
      </c>
      <c r="D63" s="388" t="s">
        <v>320</v>
      </c>
      <c r="E63" s="388" t="s">
        <v>320</v>
      </c>
      <c r="F63" s="150" t="s">
        <v>19</v>
      </c>
      <c r="G63" s="527">
        <v>0</v>
      </c>
      <c r="H63" s="527">
        <v>0.09</v>
      </c>
      <c r="I63" s="527">
        <v>0.09</v>
      </c>
      <c r="J63" s="527">
        <v>0.09</v>
      </c>
      <c r="K63" s="527">
        <v>0.09</v>
      </c>
      <c r="L63" s="527">
        <v>0.09</v>
      </c>
      <c r="M63" s="527">
        <v>0.09</v>
      </c>
      <c r="N63" s="527">
        <v>0.09</v>
      </c>
      <c r="O63" s="527">
        <v>0.09</v>
      </c>
      <c r="P63" s="527">
        <v>0.09</v>
      </c>
      <c r="Q63" s="527">
        <v>0.09</v>
      </c>
      <c r="R63" s="527">
        <v>0.1</v>
      </c>
      <c r="S63" s="148">
        <f t="shared" si="0"/>
        <v>0.99999999999999978</v>
      </c>
      <c r="T63" s="387"/>
      <c r="U63" s="529">
        <v>1.2500000000000001E-2</v>
      </c>
      <c r="V63" s="524" t="s">
        <v>644</v>
      </c>
    </row>
    <row r="64" spans="1:22" ht="49.9" customHeight="1" x14ac:dyDescent="0.25">
      <c r="A64" s="426"/>
      <c r="B64" s="426"/>
      <c r="C64" s="526"/>
      <c r="D64" s="388"/>
      <c r="E64" s="388"/>
      <c r="F64" s="151" t="s">
        <v>20</v>
      </c>
      <c r="G64" s="269">
        <v>0</v>
      </c>
      <c r="H64" s="269">
        <v>0.09</v>
      </c>
      <c r="I64" s="269">
        <v>0.09</v>
      </c>
      <c r="J64" s="269"/>
      <c r="K64" s="269"/>
      <c r="L64" s="269"/>
      <c r="M64" s="269"/>
      <c r="N64" s="269"/>
      <c r="O64" s="269"/>
      <c r="P64" s="269"/>
      <c r="Q64" s="269"/>
      <c r="R64" s="269"/>
      <c r="S64" s="262">
        <f t="shared" si="0"/>
        <v>0.18</v>
      </c>
      <c r="T64" s="387"/>
      <c r="U64" s="529"/>
      <c r="V64" s="524"/>
    </row>
    <row r="65" spans="1:22" ht="49.9" customHeight="1" x14ac:dyDescent="0.25">
      <c r="A65" s="428" t="s">
        <v>326</v>
      </c>
      <c r="B65" s="428"/>
      <c r="C65" s="428"/>
      <c r="D65" s="428"/>
      <c r="E65" s="428"/>
      <c r="F65" s="428"/>
      <c r="G65" s="428"/>
      <c r="H65" s="428"/>
      <c r="I65" s="428"/>
      <c r="J65" s="428"/>
      <c r="K65" s="428"/>
      <c r="L65" s="428"/>
      <c r="M65" s="428"/>
      <c r="N65" s="428"/>
      <c r="O65" s="428"/>
      <c r="P65" s="428"/>
      <c r="Q65" s="428"/>
      <c r="R65" s="428"/>
      <c r="S65" s="428"/>
      <c r="T65" s="154">
        <f>SUM(T9:T64)</f>
        <v>1</v>
      </c>
      <c r="U65" s="154">
        <f>SUM(U9:U64)</f>
        <v>1.0000000000000002</v>
      </c>
      <c r="V65" s="155"/>
    </row>
    <row r="66" spans="1:22" ht="27" customHeight="1" x14ac:dyDescent="0.25">
      <c r="A66" s="11"/>
      <c r="B66" s="11"/>
      <c r="C66" s="14"/>
      <c r="D66" s="11"/>
      <c r="E66" s="11"/>
      <c r="F66" s="11"/>
      <c r="G66" s="11"/>
      <c r="H66" s="11"/>
      <c r="I66" s="11"/>
      <c r="J66" s="11"/>
      <c r="K66" s="11"/>
      <c r="L66" s="11"/>
      <c r="M66" s="11"/>
      <c r="N66" s="12"/>
      <c r="O66" s="12"/>
      <c r="P66" s="12"/>
      <c r="Q66" s="12"/>
      <c r="R66" s="12"/>
      <c r="S66" s="12"/>
      <c r="T66" s="12"/>
      <c r="U66" s="31"/>
    </row>
    <row r="67" spans="1:22" ht="27" customHeight="1" x14ac:dyDescent="0.25">
      <c r="A67" s="11"/>
      <c r="B67" s="11"/>
      <c r="C67" s="14"/>
      <c r="D67" s="11"/>
      <c r="E67" s="11"/>
      <c r="F67" s="11"/>
      <c r="G67" s="11"/>
      <c r="H67" s="11"/>
      <c r="I67" s="11"/>
      <c r="J67" s="11"/>
      <c r="K67" s="11"/>
      <c r="L67" s="11"/>
      <c r="M67" s="11"/>
      <c r="N67" s="12"/>
      <c r="O67" s="12"/>
      <c r="P67" s="12"/>
      <c r="Q67" s="12"/>
      <c r="R67" s="12"/>
      <c r="S67" s="12"/>
      <c r="T67" s="12"/>
      <c r="U67" s="12"/>
    </row>
    <row r="68" spans="1:22" ht="27" customHeight="1" x14ac:dyDescent="0.25">
      <c r="A68" s="11"/>
      <c r="B68" s="26" t="s">
        <v>34</v>
      </c>
      <c r="C68" s="24"/>
      <c r="D68" s="24"/>
      <c r="E68" s="25"/>
      <c r="F68" s="62"/>
      <c r="G68" s="25"/>
      <c r="H68" s="25"/>
      <c r="I68" s="25"/>
      <c r="J68" s="25"/>
      <c r="K68" s="25"/>
      <c r="L68" s="25"/>
      <c r="M68" s="25"/>
      <c r="N68" s="25"/>
      <c r="O68" s="25"/>
      <c r="P68" s="25"/>
      <c r="Q68" s="12"/>
      <c r="R68" s="12"/>
      <c r="S68" s="12"/>
      <c r="T68" s="12"/>
      <c r="U68" s="12"/>
    </row>
    <row r="69" spans="1:22" ht="30.75" customHeight="1" x14ac:dyDescent="0.25">
      <c r="B69" s="263" t="s">
        <v>35</v>
      </c>
      <c r="C69" s="352" t="s">
        <v>36</v>
      </c>
      <c r="D69" s="353"/>
      <c r="E69" s="353"/>
      <c r="F69" s="353"/>
      <c r="G69" s="353"/>
      <c r="H69" s="353"/>
      <c r="I69" s="354"/>
      <c r="J69" s="355" t="s">
        <v>37</v>
      </c>
      <c r="K69" s="356"/>
      <c r="L69" s="356"/>
      <c r="M69" s="356"/>
      <c r="N69" s="356"/>
      <c r="O69" s="356"/>
      <c r="P69" s="357"/>
      <c r="Q69" s="12"/>
      <c r="R69" s="12"/>
      <c r="S69" s="12"/>
      <c r="T69" s="12"/>
      <c r="U69" s="12"/>
    </row>
    <row r="70" spans="1:22" ht="35.25" customHeight="1" x14ac:dyDescent="0.25">
      <c r="A70" s="11"/>
      <c r="B70" s="265">
        <v>13</v>
      </c>
      <c r="C70" s="358" t="s">
        <v>89</v>
      </c>
      <c r="D70" s="358"/>
      <c r="E70" s="358"/>
      <c r="F70" s="358"/>
      <c r="G70" s="358"/>
      <c r="H70" s="358"/>
      <c r="I70" s="358"/>
      <c r="J70" s="358" t="s">
        <v>80</v>
      </c>
      <c r="K70" s="358"/>
      <c r="L70" s="358"/>
      <c r="M70" s="358"/>
      <c r="N70" s="358"/>
      <c r="O70" s="358"/>
      <c r="P70" s="358"/>
      <c r="Q70" s="12"/>
      <c r="R70" s="12"/>
      <c r="S70" s="12"/>
      <c r="T70" s="12"/>
      <c r="U70" s="12"/>
    </row>
    <row r="71" spans="1:22" ht="30.75" customHeight="1" x14ac:dyDescent="0.25">
      <c r="A71" s="11"/>
      <c r="B71" s="265">
        <v>14</v>
      </c>
      <c r="C71" s="358" t="s">
        <v>258</v>
      </c>
      <c r="D71" s="358"/>
      <c r="E71" s="358"/>
      <c r="F71" s="358"/>
      <c r="G71" s="358"/>
      <c r="H71" s="358"/>
      <c r="I71" s="358"/>
      <c r="J71" s="359" t="s">
        <v>572</v>
      </c>
      <c r="K71" s="359"/>
      <c r="L71" s="359"/>
      <c r="M71" s="359"/>
      <c r="N71" s="359"/>
      <c r="O71" s="359"/>
      <c r="P71" s="359"/>
      <c r="Q71" s="12"/>
      <c r="R71" s="12"/>
      <c r="S71" s="12"/>
      <c r="T71" s="12"/>
      <c r="U71" s="12"/>
    </row>
    <row r="72" spans="1:22" ht="70.5" customHeight="1" x14ac:dyDescent="0.25">
      <c r="A72" s="11"/>
      <c r="B72" s="11"/>
      <c r="C72" s="14"/>
      <c r="D72" s="11"/>
      <c r="E72" s="11"/>
      <c r="F72" s="11"/>
      <c r="G72" s="11"/>
      <c r="H72" s="11"/>
      <c r="I72" s="11"/>
      <c r="J72" s="11"/>
      <c r="K72" s="11"/>
      <c r="L72" s="11"/>
      <c r="M72" s="11"/>
      <c r="N72" s="12"/>
      <c r="O72" s="12"/>
      <c r="P72" s="12"/>
      <c r="Q72" s="12"/>
      <c r="R72" s="12"/>
      <c r="S72" s="12"/>
      <c r="T72" s="12"/>
      <c r="U72" s="12"/>
    </row>
    <row r="73" spans="1:22" ht="70.5" customHeight="1" x14ac:dyDescent="0.25">
      <c r="A73" s="11"/>
      <c r="B73" s="11"/>
      <c r="C73" s="14"/>
      <c r="D73" s="11"/>
      <c r="E73" s="11"/>
      <c r="F73" s="11"/>
      <c r="G73" s="11"/>
      <c r="H73" s="11"/>
      <c r="I73" s="11"/>
      <c r="J73" s="11"/>
      <c r="K73" s="11"/>
      <c r="L73" s="11"/>
      <c r="M73" s="11"/>
      <c r="N73" s="12"/>
      <c r="O73" s="12"/>
      <c r="P73" s="12"/>
      <c r="Q73" s="12"/>
      <c r="R73" s="12"/>
      <c r="S73" s="12"/>
      <c r="T73" s="12"/>
      <c r="U73" s="12"/>
    </row>
    <row r="74" spans="1:22" ht="70.5" customHeight="1" x14ac:dyDescent="0.25">
      <c r="A74" s="11"/>
      <c r="B74" s="11"/>
      <c r="C74" s="14"/>
      <c r="D74" s="11"/>
      <c r="E74" s="11"/>
      <c r="F74" s="11"/>
      <c r="G74" s="11"/>
      <c r="H74" s="11"/>
      <c r="I74" s="11"/>
      <c r="J74" s="11"/>
      <c r="K74" s="11"/>
      <c r="L74" s="11"/>
      <c r="M74" s="11"/>
      <c r="N74" s="12"/>
      <c r="O74" s="12"/>
      <c r="P74" s="12"/>
      <c r="Q74" s="12"/>
      <c r="R74" s="12"/>
      <c r="S74" s="12"/>
      <c r="T74" s="12"/>
      <c r="U74" s="12"/>
    </row>
    <row r="75" spans="1:22" ht="70.5" customHeight="1" x14ac:dyDescent="0.25">
      <c r="A75" s="11"/>
      <c r="B75" s="11"/>
      <c r="C75" s="14"/>
      <c r="D75" s="11"/>
      <c r="E75" s="11"/>
      <c r="F75" s="11"/>
      <c r="G75" s="11"/>
      <c r="H75" s="11"/>
      <c r="I75" s="11"/>
      <c r="J75" s="11"/>
      <c r="K75" s="11"/>
      <c r="L75" s="11"/>
      <c r="M75" s="11"/>
      <c r="N75" s="12"/>
      <c r="O75" s="12"/>
      <c r="P75" s="12"/>
      <c r="Q75" s="12"/>
      <c r="R75" s="12"/>
      <c r="S75" s="12"/>
      <c r="T75" s="12"/>
      <c r="U75" s="12"/>
    </row>
    <row r="76" spans="1:22" ht="70.5" customHeight="1" x14ac:dyDescent="0.25">
      <c r="A76" s="11"/>
      <c r="B76" s="11"/>
      <c r="C76" s="14"/>
      <c r="D76" s="11"/>
      <c r="E76" s="11"/>
      <c r="F76" s="11"/>
      <c r="G76" s="11"/>
      <c r="H76" s="11"/>
      <c r="I76" s="11"/>
      <c r="J76" s="11"/>
      <c r="K76" s="11"/>
      <c r="L76" s="11"/>
      <c r="M76" s="11"/>
      <c r="N76" s="12"/>
      <c r="O76" s="12"/>
      <c r="P76" s="12"/>
      <c r="Q76" s="12"/>
      <c r="R76" s="12"/>
      <c r="S76" s="12"/>
      <c r="T76" s="12"/>
      <c r="U76" s="12"/>
    </row>
    <row r="77" spans="1:22" ht="70.5" customHeight="1" x14ac:dyDescent="0.25">
      <c r="A77" s="11"/>
      <c r="B77" s="11"/>
      <c r="C77" s="14"/>
      <c r="D77" s="11"/>
      <c r="E77" s="11"/>
      <c r="F77" s="11"/>
      <c r="G77" s="11"/>
      <c r="H77" s="11"/>
      <c r="I77" s="11"/>
      <c r="J77" s="11"/>
      <c r="K77" s="11"/>
      <c r="L77" s="11"/>
      <c r="M77" s="11"/>
      <c r="N77" s="12"/>
      <c r="O77" s="12"/>
      <c r="P77" s="12"/>
      <c r="Q77" s="12"/>
      <c r="R77" s="12"/>
      <c r="S77" s="12"/>
      <c r="T77" s="12"/>
      <c r="U77" s="12"/>
    </row>
    <row r="78" spans="1:22" ht="70.5" customHeight="1" x14ac:dyDescent="0.25">
      <c r="A78" s="11"/>
      <c r="B78" s="11"/>
      <c r="C78" s="14"/>
      <c r="D78" s="11"/>
      <c r="E78" s="11"/>
      <c r="F78" s="11"/>
      <c r="G78" s="11"/>
      <c r="H78" s="11"/>
      <c r="I78" s="11"/>
      <c r="J78" s="11"/>
      <c r="K78" s="11"/>
      <c r="L78" s="11"/>
      <c r="M78" s="11"/>
      <c r="N78" s="12"/>
      <c r="O78" s="12"/>
      <c r="P78" s="12"/>
      <c r="Q78" s="12"/>
      <c r="R78" s="12"/>
      <c r="S78" s="12"/>
      <c r="T78" s="12"/>
      <c r="U78" s="12"/>
    </row>
    <row r="79" spans="1:22" ht="70.5" customHeight="1" x14ac:dyDescent="0.25">
      <c r="A79" s="11"/>
      <c r="B79" s="11"/>
      <c r="C79" s="14"/>
      <c r="D79" s="11"/>
      <c r="E79" s="11"/>
      <c r="F79" s="11"/>
      <c r="G79" s="11"/>
      <c r="H79" s="11"/>
      <c r="I79" s="11"/>
      <c r="J79" s="11"/>
      <c r="K79" s="11"/>
      <c r="L79" s="11"/>
      <c r="M79" s="11"/>
      <c r="N79" s="12"/>
      <c r="O79" s="12"/>
      <c r="P79" s="12"/>
      <c r="Q79" s="12"/>
      <c r="R79" s="12"/>
      <c r="S79" s="12"/>
      <c r="T79" s="12"/>
      <c r="U79" s="12"/>
    </row>
    <row r="80" spans="1:22" ht="70.5" customHeight="1" x14ac:dyDescent="0.25">
      <c r="A80" s="11"/>
      <c r="B80" s="11"/>
      <c r="C80" s="14"/>
      <c r="D80" s="11"/>
      <c r="E80" s="11"/>
      <c r="F80" s="11"/>
      <c r="G80" s="11"/>
      <c r="H80" s="11"/>
      <c r="I80" s="11"/>
      <c r="J80" s="11"/>
      <c r="K80" s="11"/>
      <c r="L80" s="11"/>
      <c r="M80" s="11"/>
      <c r="N80" s="12"/>
      <c r="O80" s="12"/>
      <c r="P80" s="12"/>
      <c r="Q80" s="12"/>
      <c r="R80" s="12"/>
      <c r="S80" s="12"/>
      <c r="T80" s="12"/>
      <c r="U80" s="12"/>
    </row>
    <row r="81" spans="1:21" ht="70.5" customHeight="1" x14ac:dyDescent="0.25">
      <c r="A81" s="11"/>
      <c r="B81" s="11"/>
      <c r="C81" s="14"/>
      <c r="D81" s="11"/>
      <c r="E81" s="11"/>
      <c r="F81" s="11"/>
      <c r="G81" s="11"/>
      <c r="H81" s="11"/>
      <c r="I81" s="11"/>
      <c r="J81" s="11"/>
      <c r="K81" s="11"/>
      <c r="L81" s="11"/>
      <c r="M81" s="11"/>
      <c r="N81" s="12"/>
      <c r="O81" s="12"/>
      <c r="P81" s="12"/>
      <c r="Q81" s="12"/>
      <c r="R81" s="12"/>
      <c r="S81" s="12"/>
      <c r="T81" s="12"/>
      <c r="U81" s="12"/>
    </row>
    <row r="82" spans="1:21" ht="70.5" customHeight="1" x14ac:dyDescent="0.25">
      <c r="A82" s="11"/>
      <c r="B82" s="11"/>
      <c r="C82" s="14"/>
      <c r="D82" s="11"/>
      <c r="E82" s="11"/>
      <c r="F82" s="11"/>
      <c r="G82" s="11"/>
      <c r="H82" s="11"/>
      <c r="I82" s="11"/>
      <c r="J82" s="11"/>
      <c r="K82" s="11"/>
      <c r="L82" s="11"/>
      <c r="M82" s="11"/>
      <c r="N82" s="12"/>
      <c r="O82" s="12"/>
      <c r="P82" s="12"/>
      <c r="Q82" s="12"/>
      <c r="R82" s="12"/>
      <c r="S82" s="12"/>
      <c r="T82" s="12"/>
      <c r="U82" s="12"/>
    </row>
    <row r="83" spans="1:21" ht="70.5" customHeight="1" x14ac:dyDescent="0.25">
      <c r="A83" s="11"/>
      <c r="B83" s="11"/>
      <c r="C83" s="14"/>
      <c r="D83" s="11"/>
      <c r="E83" s="11"/>
      <c r="F83" s="11"/>
      <c r="G83" s="11"/>
      <c r="H83" s="11"/>
      <c r="I83" s="11"/>
      <c r="J83" s="11"/>
      <c r="K83" s="11"/>
      <c r="L83" s="11"/>
      <c r="M83" s="11"/>
      <c r="N83" s="12"/>
      <c r="O83" s="12"/>
      <c r="P83" s="12"/>
      <c r="Q83" s="12"/>
      <c r="R83" s="12"/>
      <c r="S83" s="12"/>
      <c r="T83" s="12"/>
      <c r="U83" s="12"/>
    </row>
    <row r="84" spans="1:21" ht="70.5" customHeight="1" x14ac:dyDescent="0.25">
      <c r="A84" s="11"/>
      <c r="B84" s="11"/>
      <c r="C84" s="14"/>
      <c r="D84" s="11"/>
      <c r="E84" s="11"/>
      <c r="F84" s="11"/>
      <c r="G84" s="11"/>
      <c r="H84" s="11"/>
      <c r="I84" s="11"/>
      <c r="J84" s="11"/>
      <c r="K84" s="11"/>
      <c r="L84" s="11"/>
      <c r="M84" s="11"/>
      <c r="N84" s="12"/>
      <c r="O84" s="12"/>
      <c r="P84" s="12"/>
      <c r="Q84" s="12"/>
      <c r="R84" s="12"/>
      <c r="S84" s="12"/>
      <c r="T84" s="12"/>
      <c r="U84" s="12"/>
    </row>
    <row r="85" spans="1:21" ht="70.5" customHeight="1" x14ac:dyDescent="0.25">
      <c r="A85" s="11"/>
      <c r="B85" s="11"/>
      <c r="C85" s="14"/>
      <c r="D85" s="11"/>
      <c r="E85" s="11"/>
      <c r="F85" s="11"/>
      <c r="G85" s="11"/>
      <c r="H85" s="11"/>
      <c r="I85" s="11"/>
      <c r="J85" s="11"/>
      <c r="K85" s="11"/>
      <c r="L85" s="11"/>
      <c r="M85" s="11"/>
      <c r="N85" s="12"/>
      <c r="O85" s="12"/>
      <c r="P85" s="12"/>
      <c r="Q85" s="12"/>
      <c r="R85" s="12"/>
      <c r="S85" s="12"/>
      <c r="T85" s="12"/>
      <c r="U85" s="12"/>
    </row>
    <row r="86" spans="1:21" ht="70.5" customHeight="1" x14ac:dyDescent="0.25">
      <c r="A86" s="11"/>
      <c r="B86" s="11"/>
      <c r="C86" s="14"/>
      <c r="D86" s="11"/>
      <c r="E86" s="11"/>
      <c r="F86" s="11"/>
      <c r="G86" s="11"/>
      <c r="H86" s="11"/>
      <c r="I86" s="11"/>
      <c r="J86" s="11"/>
      <c r="K86" s="11"/>
      <c r="L86" s="11"/>
      <c r="M86" s="11"/>
      <c r="N86" s="12"/>
      <c r="O86" s="12"/>
      <c r="P86" s="12"/>
      <c r="Q86" s="12"/>
      <c r="R86" s="12"/>
      <c r="S86" s="12"/>
      <c r="T86" s="12"/>
      <c r="U86" s="12"/>
    </row>
    <row r="87" spans="1:21" ht="70.5" customHeight="1" x14ac:dyDescent="0.25">
      <c r="A87" s="11"/>
      <c r="B87" s="11"/>
      <c r="C87" s="14"/>
      <c r="D87" s="11"/>
      <c r="E87" s="11"/>
      <c r="F87" s="11"/>
      <c r="G87" s="11"/>
      <c r="H87" s="11"/>
      <c r="I87" s="11"/>
      <c r="J87" s="11"/>
      <c r="K87" s="11"/>
      <c r="L87" s="11"/>
      <c r="M87" s="11"/>
      <c r="N87" s="12"/>
      <c r="O87" s="12"/>
      <c r="P87" s="12"/>
      <c r="Q87" s="12"/>
      <c r="R87" s="12"/>
      <c r="S87" s="12"/>
      <c r="T87" s="12"/>
      <c r="U87" s="12"/>
    </row>
    <row r="88" spans="1:21" ht="70.5" customHeight="1" x14ac:dyDescent="0.25">
      <c r="A88" s="11"/>
      <c r="B88" s="11"/>
      <c r="C88" s="14"/>
      <c r="D88" s="11"/>
      <c r="E88" s="11"/>
      <c r="F88" s="11"/>
      <c r="G88" s="11"/>
      <c r="H88" s="11"/>
      <c r="I88" s="11"/>
      <c r="J88" s="11"/>
      <c r="K88" s="11"/>
      <c r="L88" s="11"/>
      <c r="M88" s="11"/>
      <c r="N88" s="12"/>
      <c r="O88" s="12"/>
      <c r="P88" s="12"/>
      <c r="Q88" s="12"/>
      <c r="R88" s="12"/>
      <c r="S88" s="12"/>
      <c r="T88" s="12"/>
      <c r="U88" s="12"/>
    </row>
    <row r="89" spans="1:21" ht="70.5" customHeight="1" x14ac:dyDescent="0.25">
      <c r="A89" s="11"/>
      <c r="B89" s="11"/>
      <c r="C89" s="14"/>
      <c r="D89" s="11"/>
      <c r="E89" s="11"/>
      <c r="F89" s="11"/>
      <c r="G89" s="11"/>
      <c r="H89" s="11"/>
      <c r="I89" s="11"/>
      <c r="J89" s="11"/>
      <c r="K89" s="11"/>
      <c r="L89" s="11"/>
      <c r="M89" s="11"/>
      <c r="N89" s="12"/>
      <c r="O89" s="12"/>
      <c r="P89" s="12"/>
      <c r="Q89" s="12"/>
      <c r="R89" s="12"/>
      <c r="S89" s="12"/>
      <c r="T89" s="12"/>
      <c r="U89" s="12"/>
    </row>
    <row r="90" spans="1:21" ht="70.5" customHeight="1" x14ac:dyDescent="0.25">
      <c r="A90" s="11"/>
      <c r="B90" s="11"/>
      <c r="C90" s="14"/>
      <c r="D90" s="11"/>
      <c r="E90" s="11"/>
      <c r="F90" s="11"/>
      <c r="G90" s="11"/>
      <c r="H90" s="11"/>
      <c r="I90" s="11"/>
      <c r="J90" s="11"/>
      <c r="K90" s="11"/>
      <c r="L90" s="11"/>
      <c r="M90" s="11"/>
      <c r="N90" s="12"/>
      <c r="O90" s="12"/>
      <c r="P90" s="12"/>
      <c r="Q90" s="12"/>
      <c r="R90" s="12"/>
      <c r="S90" s="12"/>
      <c r="T90" s="12"/>
      <c r="U90" s="12"/>
    </row>
    <row r="91" spans="1:21" ht="70.5" customHeight="1" x14ac:dyDescent="0.25">
      <c r="A91" s="11"/>
      <c r="B91" s="11"/>
      <c r="C91" s="14"/>
      <c r="D91" s="11"/>
      <c r="E91" s="11"/>
      <c r="F91" s="11"/>
      <c r="G91" s="11"/>
      <c r="H91" s="11"/>
      <c r="I91" s="11"/>
      <c r="J91" s="11"/>
      <c r="K91" s="11"/>
      <c r="L91" s="11"/>
      <c r="M91" s="11"/>
      <c r="N91" s="12"/>
      <c r="O91" s="12"/>
      <c r="P91" s="12"/>
      <c r="Q91" s="12"/>
      <c r="R91" s="12"/>
      <c r="S91" s="12"/>
      <c r="T91" s="12"/>
      <c r="U91" s="12"/>
    </row>
    <row r="92" spans="1:21" ht="70.5" customHeight="1" x14ac:dyDescent="0.25">
      <c r="A92" s="11"/>
      <c r="B92" s="11"/>
      <c r="C92" s="14"/>
      <c r="D92" s="11"/>
      <c r="E92" s="11"/>
      <c r="F92" s="11"/>
      <c r="G92" s="11"/>
      <c r="H92" s="11"/>
      <c r="I92" s="11"/>
      <c r="J92" s="11"/>
      <c r="K92" s="11"/>
      <c r="L92" s="11"/>
      <c r="M92" s="11"/>
      <c r="N92" s="12"/>
      <c r="O92" s="12"/>
      <c r="P92" s="12"/>
      <c r="Q92" s="12"/>
      <c r="R92" s="12"/>
      <c r="S92" s="12"/>
      <c r="T92" s="12"/>
      <c r="U92" s="12"/>
    </row>
    <row r="93" spans="1:21" ht="70.5" customHeight="1" x14ac:dyDescent="0.25">
      <c r="A93" s="11"/>
      <c r="B93" s="11"/>
      <c r="C93" s="14"/>
      <c r="D93" s="11"/>
      <c r="E93" s="11"/>
      <c r="F93" s="11"/>
      <c r="G93" s="11"/>
      <c r="H93" s="11"/>
      <c r="I93" s="11"/>
      <c r="J93" s="11"/>
      <c r="K93" s="11"/>
      <c r="L93" s="11"/>
      <c r="M93" s="11"/>
      <c r="N93" s="12"/>
      <c r="O93" s="12"/>
      <c r="P93" s="12"/>
      <c r="Q93" s="12"/>
      <c r="R93" s="12"/>
      <c r="S93" s="12"/>
      <c r="T93" s="12"/>
      <c r="U93" s="12"/>
    </row>
    <row r="94" spans="1:21" ht="70.5" customHeight="1" x14ac:dyDescent="0.25">
      <c r="A94" s="11"/>
      <c r="B94" s="11"/>
      <c r="C94" s="14"/>
      <c r="D94" s="11"/>
      <c r="E94" s="11"/>
      <c r="F94" s="11"/>
      <c r="G94" s="11"/>
      <c r="H94" s="11"/>
      <c r="I94" s="11"/>
      <c r="J94" s="11"/>
      <c r="K94" s="11"/>
      <c r="L94" s="11"/>
      <c r="M94" s="11"/>
      <c r="N94" s="12"/>
      <c r="O94" s="12"/>
      <c r="P94" s="12"/>
      <c r="Q94" s="12"/>
      <c r="R94" s="12"/>
      <c r="S94" s="12"/>
      <c r="T94" s="12"/>
      <c r="U94" s="12"/>
    </row>
    <row r="95" spans="1:21" ht="70.5" customHeight="1" x14ac:dyDescent="0.25">
      <c r="A95" s="11"/>
      <c r="B95" s="11"/>
      <c r="C95" s="14"/>
      <c r="D95" s="11"/>
      <c r="E95" s="11"/>
      <c r="F95" s="11"/>
      <c r="G95" s="11"/>
      <c r="H95" s="11"/>
      <c r="I95" s="11"/>
      <c r="J95" s="11"/>
      <c r="K95" s="11"/>
      <c r="L95" s="11"/>
      <c r="M95" s="11"/>
      <c r="N95" s="12"/>
      <c r="O95" s="12"/>
      <c r="P95" s="12"/>
      <c r="Q95" s="12"/>
      <c r="R95" s="12"/>
      <c r="S95" s="12"/>
      <c r="T95" s="12"/>
      <c r="U95" s="12"/>
    </row>
    <row r="96" spans="1:21" ht="70.5" customHeight="1" x14ac:dyDescent="0.25">
      <c r="A96" s="11"/>
      <c r="B96" s="11"/>
      <c r="C96" s="14"/>
      <c r="D96" s="11"/>
      <c r="E96" s="11"/>
      <c r="F96" s="11"/>
      <c r="G96" s="11"/>
      <c r="H96" s="11"/>
      <c r="I96" s="11"/>
      <c r="J96" s="11"/>
      <c r="K96" s="11"/>
      <c r="L96" s="11"/>
      <c r="M96" s="11"/>
      <c r="N96" s="12"/>
      <c r="O96" s="12"/>
      <c r="P96" s="12"/>
      <c r="Q96" s="12"/>
      <c r="R96" s="12"/>
      <c r="S96" s="12"/>
      <c r="T96" s="12"/>
      <c r="U96" s="12"/>
    </row>
    <row r="97" spans="1:21" ht="70.5" customHeight="1" x14ac:dyDescent="0.25">
      <c r="A97" s="11"/>
      <c r="B97" s="11"/>
      <c r="C97" s="14"/>
      <c r="D97" s="11"/>
      <c r="E97" s="11"/>
      <c r="F97" s="11"/>
      <c r="G97" s="11"/>
      <c r="H97" s="11"/>
      <c r="I97" s="11"/>
      <c r="J97" s="11"/>
      <c r="K97" s="11"/>
      <c r="L97" s="11"/>
      <c r="M97" s="11"/>
      <c r="N97" s="12"/>
      <c r="O97" s="12"/>
      <c r="P97" s="12"/>
      <c r="Q97" s="12"/>
      <c r="R97" s="12"/>
      <c r="S97" s="12"/>
      <c r="T97" s="12"/>
      <c r="U97" s="12"/>
    </row>
    <row r="98" spans="1:21" ht="70.5" customHeight="1" x14ac:dyDescent="0.25">
      <c r="A98" s="11"/>
      <c r="B98" s="11"/>
      <c r="C98" s="14"/>
      <c r="D98" s="11"/>
      <c r="E98" s="11"/>
      <c r="F98" s="11"/>
      <c r="G98" s="11"/>
      <c r="H98" s="11"/>
      <c r="I98" s="11"/>
      <c r="J98" s="11"/>
      <c r="K98" s="11"/>
      <c r="L98" s="11"/>
      <c r="M98" s="11"/>
      <c r="N98" s="12"/>
      <c r="O98" s="12"/>
      <c r="P98" s="12"/>
      <c r="Q98" s="12"/>
      <c r="R98" s="12"/>
      <c r="S98" s="12"/>
      <c r="T98" s="12"/>
      <c r="U98" s="12"/>
    </row>
    <row r="99" spans="1:21" ht="70.5" customHeight="1" x14ac:dyDescent="0.25">
      <c r="A99" s="11"/>
      <c r="B99" s="11"/>
      <c r="C99" s="14"/>
      <c r="D99" s="11"/>
      <c r="E99" s="11"/>
      <c r="F99" s="11"/>
      <c r="G99" s="11"/>
      <c r="H99" s="11"/>
      <c r="I99" s="11"/>
      <c r="J99" s="11"/>
      <c r="K99" s="11"/>
      <c r="L99" s="11"/>
      <c r="M99" s="11"/>
      <c r="N99" s="12"/>
      <c r="O99" s="12"/>
      <c r="P99" s="12"/>
      <c r="Q99" s="12"/>
      <c r="R99" s="12"/>
      <c r="S99" s="12"/>
      <c r="T99" s="12"/>
      <c r="U99" s="12"/>
    </row>
    <row r="100" spans="1:21" ht="70.5" customHeight="1" x14ac:dyDescent="0.25">
      <c r="A100" s="11"/>
      <c r="B100" s="11"/>
      <c r="C100" s="14"/>
      <c r="D100" s="11"/>
      <c r="E100" s="11"/>
      <c r="F100" s="11"/>
      <c r="G100" s="11"/>
      <c r="H100" s="11"/>
      <c r="I100" s="11"/>
      <c r="J100" s="11"/>
      <c r="K100" s="11"/>
      <c r="L100" s="11"/>
      <c r="M100" s="11"/>
      <c r="N100" s="12"/>
      <c r="O100" s="12"/>
      <c r="P100" s="12"/>
      <c r="Q100" s="12"/>
      <c r="R100" s="12"/>
      <c r="S100" s="12"/>
      <c r="T100" s="12"/>
      <c r="U100" s="12"/>
    </row>
    <row r="101" spans="1:21" ht="70.5" customHeight="1" x14ac:dyDescent="0.25">
      <c r="A101" s="11"/>
      <c r="B101" s="11"/>
      <c r="C101" s="14"/>
      <c r="D101" s="11"/>
      <c r="E101" s="11"/>
      <c r="F101" s="11"/>
      <c r="G101" s="11"/>
      <c r="H101" s="11"/>
      <c r="I101" s="11"/>
      <c r="J101" s="11"/>
      <c r="K101" s="11"/>
      <c r="L101" s="11"/>
      <c r="M101" s="11"/>
      <c r="N101" s="12"/>
      <c r="O101" s="12"/>
      <c r="P101" s="12"/>
      <c r="Q101" s="12"/>
      <c r="R101" s="12"/>
      <c r="S101" s="12"/>
      <c r="T101" s="12"/>
      <c r="U101" s="12"/>
    </row>
    <row r="102" spans="1:21" ht="70.5" customHeight="1" x14ac:dyDescent="0.25">
      <c r="A102" s="11"/>
      <c r="B102" s="11"/>
      <c r="C102" s="14"/>
      <c r="D102" s="11"/>
      <c r="E102" s="11"/>
      <c r="F102" s="11"/>
      <c r="G102" s="11"/>
      <c r="H102" s="11"/>
      <c r="I102" s="11"/>
      <c r="J102" s="11"/>
      <c r="K102" s="11"/>
      <c r="L102" s="11"/>
      <c r="M102" s="11"/>
      <c r="N102" s="12"/>
      <c r="O102" s="12"/>
      <c r="P102" s="12"/>
      <c r="Q102" s="12"/>
      <c r="R102" s="12"/>
      <c r="S102" s="12"/>
      <c r="T102" s="12"/>
      <c r="U102" s="12"/>
    </row>
    <row r="103" spans="1:21" ht="70.5" customHeight="1" x14ac:dyDescent="0.25">
      <c r="A103" s="11"/>
      <c r="B103" s="11"/>
      <c r="C103" s="14"/>
      <c r="D103" s="11"/>
      <c r="E103" s="11"/>
      <c r="F103" s="11"/>
      <c r="G103" s="11"/>
      <c r="H103" s="11"/>
      <c r="I103" s="11"/>
      <c r="J103" s="11"/>
      <c r="K103" s="11"/>
      <c r="L103" s="11"/>
      <c r="M103" s="11"/>
      <c r="N103" s="12"/>
      <c r="O103" s="12"/>
      <c r="P103" s="12"/>
      <c r="Q103" s="12"/>
      <c r="R103" s="12"/>
      <c r="S103" s="12"/>
      <c r="T103" s="12"/>
      <c r="U103" s="12"/>
    </row>
    <row r="104" spans="1:21" ht="70.5" customHeight="1" x14ac:dyDescent="0.25">
      <c r="A104" s="11"/>
      <c r="B104" s="11"/>
      <c r="C104" s="14"/>
      <c r="D104" s="11"/>
      <c r="E104" s="11"/>
      <c r="F104" s="11"/>
      <c r="G104" s="11"/>
      <c r="H104" s="11"/>
      <c r="I104" s="11"/>
      <c r="J104" s="11"/>
      <c r="K104" s="11"/>
      <c r="L104" s="11"/>
      <c r="M104" s="11"/>
      <c r="N104" s="12"/>
      <c r="O104" s="12"/>
      <c r="P104" s="12"/>
      <c r="Q104" s="12"/>
      <c r="R104" s="12"/>
      <c r="S104" s="12"/>
      <c r="T104" s="12"/>
      <c r="U104" s="12"/>
    </row>
    <row r="105" spans="1:21" ht="70.5" customHeight="1" x14ac:dyDescent="0.25">
      <c r="A105" s="11"/>
      <c r="B105" s="11"/>
      <c r="C105" s="14"/>
      <c r="D105" s="11"/>
      <c r="E105" s="11"/>
      <c r="F105" s="11"/>
      <c r="G105" s="11"/>
      <c r="H105" s="11"/>
      <c r="I105" s="11"/>
      <c r="J105" s="11"/>
      <c r="K105" s="11"/>
      <c r="L105" s="11"/>
      <c r="M105" s="11"/>
      <c r="N105" s="12"/>
      <c r="O105" s="12"/>
      <c r="P105" s="12"/>
      <c r="Q105" s="12"/>
      <c r="R105" s="12"/>
      <c r="S105" s="12"/>
      <c r="T105" s="12"/>
      <c r="U105" s="12"/>
    </row>
    <row r="106" spans="1:21" ht="70.5" customHeight="1" x14ac:dyDescent="0.25">
      <c r="A106" s="11"/>
      <c r="B106" s="11"/>
      <c r="C106" s="14"/>
      <c r="D106" s="11"/>
      <c r="E106" s="11"/>
      <c r="F106" s="11"/>
      <c r="G106" s="11"/>
      <c r="H106" s="11"/>
      <c r="I106" s="11"/>
      <c r="J106" s="11"/>
      <c r="K106" s="11"/>
      <c r="L106" s="11"/>
      <c r="M106" s="11"/>
      <c r="N106" s="12"/>
      <c r="O106" s="12"/>
      <c r="P106" s="12"/>
      <c r="Q106" s="12"/>
      <c r="R106" s="12"/>
      <c r="S106" s="12"/>
      <c r="T106" s="12"/>
      <c r="U106" s="12"/>
    </row>
    <row r="107" spans="1:21" ht="70.5" customHeight="1" x14ac:dyDescent="0.25">
      <c r="A107" s="11"/>
      <c r="B107" s="11"/>
      <c r="C107" s="14"/>
      <c r="D107" s="11"/>
      <c r="E107" s="11"/>
      <c r="F107" s="11"/>
      <c r="G107" s="11"/>
      <c r="H107" s="11"/>
      <c r="I107" s="11"/>
      <c r="J107" s="11"/>
      <c r="K107" s="11"/>
      <c r="L107" s="11"/>
      <c r="M107" s="11"/>
      <c r="N107" s="12"/>
      <c r="O107" s="12"/>
      <c r="P107" s="12"/>
      <c r="Q107" s="12"/>
      <c r="R107" s="12"/>
      <c r="S107" s="12"/>
      <c r="T107" s="12"/>
      <c r="U107" s="12"/>
    </row>
    <row r="108" spans="1:21" ht="70.5" customHeight="1" x14ac:dyDescent="0.25">
      <c r="A108" s="11"/>
      <c r="B108" s="11"/>
      <c r="C108" s="14"/>
      <c r="D108" s="11"/>
      <c r="E108" s="11"/>
      <c r="F108" s="11"/>
      <c r="G108" s="11"/>
      <c r="H108" s="11"/>
      <c r="I108" s="11"/>
      <c r="J108" s="11"/>
      <c r="K108" s="11"/>
      <c r="L108" s="11"/>
      <c r="M108" s="11"/>
      <c r="N108" s="12"/>
      <c r="O108" s="12"/>
      <c r="P108" s="12"/>
      <c r="Q108" s="12"/>
      <c r="R108" s="12"/>
      <c r="S108" s="12"/>
      <c r="T108" s="12"/>
      <c r="U108" s="12"/>
    </row>
    <row r="109" spans="1:21" ht="70.5" customHeight="1" x14ac:dyDescent="0.25">
      <c r="A109" s="11"/>
      <c r="B109" s="11"/>
      <c r="C109" s="14"/>
      <c r="D109" s="11"/>
      <c r="E109" s="11"/>
      <c r="F109" s="11"/>
      <c r="G109" s="11"/>
      <c r="H109" s="11"/>
      <c r="I109" s="11"/>
      <c r="J109" s="11"/>
      <c r="K109" s="11"/>
      <c r="L109" s="11"/>
      <c r="M109" s="11"/>
      <c r="N109" s="12"/>
      <c r="O109" s="12"/>
      <c r="P109" s="12"/>
      <c r="Q109" s="12"/>
      <c r="R109" s="12"/>
      <c r="S109" s="12"/>
      <c r="T109" s="12"/>
      <c r="U109" s="12"/>
    </row>
    <row r="110" spans="1:21" ht="70.5" customHeight="1" x14ac:dyDescent="0.25">
      <c r="A110" s="11"/>
      <c r="B110" s="11"/>
      <c r="C110" s="14"/>
      <c r="D110" s="11"/>
      <c r="E110" s="11"/>
      <c r="F110" s="11"/>
      <c r="G110" s="11"/>
      <c r="H110" s="11"/>
      <c r="I110" s="11"/>
      <c r="J110" s="11"/>
      <c r="K110" s="11"/>
      <c r="L110" s="11"/>
      <c r="M110" s="11"/>
      <c r="N110" s="12"/>
      <c r="O110" s="12"/>
      <c r="P110" s="12"/>
      <c r="Q110" s="12"/>
      <c r="R110" s="12"/>
      <c r="S110" s="12"/>
      <c r="T110" s="12"/>
      <c r="U110" s="12"/>
    </row>
    <row r="111" spans="1:21" ht="70.5" customHeight="1" x14ac:dyDescent="0.25">
      <c r="A111" s="11"/>
      <c r="B111" s="11"/>
      <c r="C111" s="14"/>
      <c r="D111" s="11"/>
      <c r="E111" s="11"/>
      <c r="F111" s="11"/>
      <c r="G111" s="11"/>
      <c r="H111" s="11"/>
      <c r="I111" s="11"/>
      <c r="J111" s="11"/>
      <c r="K111" s="11"/>
      <c r="L111" s="11"/>
      <c r="M111" s="11"/>
      <c r="N111" s="12"/>
      <c r="O111" s="12"/>
      <c r="P111" s="12"/>
      <c r="Q111" s="12"/>
      <c r="R111" s="12"/>
      <c r="S111" s="12"/>
      <c r="T111" s="12"/>
      <c r="U111" s="12"/>
    </row>
    <row r="112" spans="1:21" ht="70.5" customHeight="1" x14ac:dyDescent="0.25">
      <c r="A112" s="11"/>
      <c r="B112" s="11"/>
      <c r="C112" s="14"/>
      <c r="D112" s="11"/>
      <c r="E112" s="11"/>
      <c r="F112" s="11"/>
      <c r="G112" s="11"/>
      <c r="H112" s="11"/>
      <c r="I112" s="11"/>
      <c r="J112" s="11"/>
      <c r="K112" s="11"/>
      <c r="L112" s="11"/>
      <c r="M112" s="11"/>
      <c r="N112" s="12"/>
      <c r="O112" s="12"/>
      <c r="P112" s="12"/>
      <c r="Q112" s="12"/>
      <c r="R112" s="12"/>
      <c r="S112" s="12"/>
      <c r="T112" s="12"/>
      <c r="U112" s="12"/>
    </row>
    <row r="113" spans="1:21" ht="70.5" customHeight="1" x14ac:dyDescent="0.25">
      <c r="A113" s="11"/>
      <c r="B113" s="11"/>
      <c r="C113" s="14"/>
      <c r="D113" s="11"/>
      <c r="E113" s="11"/>
      <c r="F113" s="11"/>
      <c r="G113" s="11"/>
      <c r="H113" s="11"/>
      <c r="I113" s="11"/>
      <c r="J113" s="11"/>
      <c r="K113" s="11"/>
      <c r="L113" s="11"/>
      <c r="M113" s="11"/>
      <c r="N113" s="12"/>
      <c r="O113" s="12"/>
      <c r="P113" s="12"/>
      <c r="Q113" s="12"/>
      <c r="R113" s="12"/>
      <c r="S113" s="12"/>
      <c r="T113" s="12"/>
      <c r="U113" s="12"/>
    </row>
    <row r="114" spans="1:21" ht="70.5" customHeight="1" x14ac:dyDescent="0.25">
      <c r="A114" s="11"/>
      <c r="B114" s="11"/>
      <c r="C114" s="14"/>
      <c r="D114" s="11"/>
      <c r="E114" s="11"/>
      <c r="F114" s="11"/>
      <c r="G114" s="11"/>
      <c r="H114" s="11"/>
      <c r="I114" s="11"/>
      <c r="J114" s="11"/>
      <c r="K114" s="11"/>
      <c r="L114" s="11"/>
      <c r="M114" s="11"/>
      <c r="N114" s="12"/>
      <c r="O114" s="12"/>
      <c r="P114" s="12"/>
      <c r="Q114" s="12"/>
      <c r="R114" s="12"/>
      <c r="S114" s="12"/>
      <c r="T114" s="12"/>
      <c r="U114" s="12"/>
    </row>
    <row r="115" spans="1:21" ht="70.5" customHeight="1" x14ac:dyDescent="0.25">
      <c r="A115" s="11"/>
      <c r="B115" s="11"/>
      <c r="C115" s="14"/>
      <c r="D115" s="11"/>
      <c r="E115" s="11"/>
      <c r="F115" s="11"/>
      <c r="G115" s="11"/>
      <c r="H115" s="11"/>
      <c r="I115" s="11"/>
      <c r="J115" s="11"/>
      <c r="K115" s="11"/>
      <c r="L115" s="11"/>
      <c r="M115" s="11"/>
      <c r="N115" s="12"/>
      <c r="O115" s="12"/>
      <c r="P115" s="12"/>
      <c r="Q115" s="12"/>
      <c r="R115" s="12"/>
      <c r="S115" s="12"/>
      <c r="T115" s="12"/>
      <c r="U115" s="12"/>
    </row>
    <row r="116" spans="1:21" ht="70.5" customHeight="1" x14ac:dyDescent="0.25">
      <c r="A116" s="11"/>
      <c r="B116" s="11"/>
      <c r="C116" s="14"/>
      <c r="D116" s="11"/>
      <c r="E116" s="11"/>
      <c r="F116" s="11"/>
      <c r="G116" s="11"/>
      <c r="H116" s="11"/>
      <c r="I116" s="11"/>
      <c r="J116" s="11"/>
      <c r="K116" s="11"/>
      <c r="L116" s="11"/>
      <c r="M116" s="11"/>
      <c r="N116" s="12"/>
      <c r="O116" s="12"/>
      <c r="P116" s="12"/>
      <c r="Q116" s="12"/>
      <c r="R116" s="12"/>
      <c r="S116" s="12"/>
      <c r="T116" s="12"/>
      <c r="U116" s="12"/>
    </row>
    <row r="117" spans="1:21" ht="70.5" customHeight="1" x14ac:dyDescent="0.25">
      <c r="A117" s="11"/>
      <c r="B117" s="11"/>
      <c r="C117" s="14"/>
      <c r="D117" s="11"/>
      <c r="E117" s="11"/>
      <c r="F117" s="11"/>
      <c r="G117" s="11"/>
      <c r="H117" s="11"/>
      <c r="I117" s="11"/>
      <c r="J117" s="11"/>
      <c r="K117" s="11"/>
      <c r="L117" s="11"/>
      <c r="M117" s="11"/>
      <c r="N117" s="12"/>
      <c r="O117" s="12"/>
      <c r="P117" s="12"/>
      <c r="Q117" s="12"/>
      <c r="R117" s="12"/>
      <c r="S117" s="12"/>
      <c r="T117" s="12"/>
      <c r="U117" s="12"/>
    </row>
    <row r="118" spans="1:21" ht="70.5" customHeight="1" x14ac:dyDescent="0.25">
      <c r="A118" s="11"/>
      <c r="B118" s="11"/>
      <c r="C118" s="14"/>
      <c r="D118" s="11"/>
      <c r="E118" s="11"/>
      <c r="F118" s="11"/>
      <c r="G118" s="11"/>
      <c r="H118" s="11"/>
      <c r="I118" s="11"/>
      <c r="J118" s="11"/>
      <c r="K118" s="11"/>
      <c r="L118" s="11"/>
      <c r="M118" s="11"/>
      <c r="N118" s="12"/>
      <c r="O118" s="12"/>
      <c r="P118" s="12"/>
      <c r="Q118" s="12"/>
      <c r="R118" s="12"/>
      <c r="S118" s="12"/>
      <c r="T118" s="12"/>
      <c r="U118" s="12"/>
    </row>
    <row r="119" spans="1:21" ht="70.5" customHeight="1" x14ac:dyDescent="0.25">
      <c r="A119" s="11"/>
      <c r="B119" s="11"/>
      <c r="C119" s="14"/>
      <c r="D119" s="11"/>
      <c r="E119" s="11"/>
      <c r="F119" s="11"/>
      <c r="G119" s="11"/>
      <c r="H119" s="11"/>
      <c r="I119" s="11"/>
      <c r="J119" s="11"/>
      <c r="K119" s="11"/>
      <c r="L119" s="11"/>
      <c r="M119" s="11"/>
      <c r="N119" s="12"/>
      <c r="O119" s="12"/>
      <c r="P119" s="12"/>
      <c r="Q119" s="12"/>
      <c r="R119" s="12"/>
      <c r="S119" s="12"/>
      <c r="T119" s="12"/>
      <c r="U119" s="12"/>
    </row>
    <row r="120" spans="1:21" ht="70.5" customHeight="1" x14ac:dyDescent="0.25">
      <c r="A120" s="11"/>
      <c r="B120" s="11"/>
      <c r="C120" s="14"/>
      <c r="D120" s="11"/>
      <c r="E120" s="11"/>
      <c r="F120" s="11"/>
      <c r="G120" s="11"/>
      <c r="H120" s="11"/>
      <c r="I120" s="11"/>
      <c r="J120" s="11"/>
      <c r="K120" s="11"/>
      <c r="L120" s="11"/>
      <c r="M120" s="11"/>
      <c r="N120" s="12"/>
      <c r="O120" s="12"/>
      <c r="P120" s="12"/>
      <c r="Q120" s="12"/>
      <c r="R120" s="12"/>
      <c r="S120" s="12"/>
      <c r="T120" s="12"/>
      <c r="U120" s="12"/>
    </row>
    <row r="121" spans="1:21" ht="70.5" customHeight="1" x14ac:dyDescent="0.25">
      <c r="C121" s="14"/>
      <c r="D121" s="11"/>
      <c r="E121" s="11"/>
      <c r="F121" s="11"/>
      <c r="G121" s="11"/>
      <c r="H121" s="11"/>
      <c r="I121" s="11"/>
      <c r="J121" s="11"/>
      <c r="K121" s="11"/>
      <c r="L121" s="11"/>
      <c r="M121" s="11"/>
      <c r="N121" s="12"/>
    </row>
    <row r="122" spans="1:21" ht="70.5" customHeight="1" x14ac:dyDescent="0.25">
      <c r="C122" s="14"/>
      <c r="D122" s="11"/>
      <c r="E122" s="11"/>
      <c r="F122" s="11"/>
      <c r="G122" s="11"/>
      <c r="H122" s="11"/>
      <c r="I122" s="11"/>
      <c r="J122" s="11"/>
      <c r="K122" s="11"/>
      <c r="L122" s="11"/>
      <c r="M122" s="11"/>
      <c r="N122" s="12"/>
    </row>
    <row r="123" spans="1:21" ht="70.5" customHeight="1" x14ac:dyDescent="0.25">
      <c r="C123" s="14"/>
      <c r="D123" s="11"/>
      <c r="E123" s="11"/>
      <c r="F123" s="11"/>
      <c r="G123" s="11"/>
      <c r="H123" s="11"/>
      <c r="I123" s="11"/>
      <c r="J123" s="11"/>
      <c r="K123" s="11"/>
      <c r="L123" s="11"/>
      <c r="M123" s="11"/>
      <c r="N123" s="12"/>
    </row>
    <row r="124" spans="1:21" ht="70.5" customHeight="1" x14ac:dyDescent="0.25">
      <c r="C124" s="14"/>
      <c r="D124" s="11"/>
      <c r="E124" s="11"/>
      <c r="F124" s="11"/>
      <c r="G124" s="11"/>
      <c r="H124" s="11"/>
      <c r="I124" s="11"/>
      <c r="J124" s="11"/>
      <c r="K124" s="11"/>
      <c r="L124" s="11"/>
      <c r="M124" s="11"/>
      <c r="N124" s="12"/>
    </row>
  </sheetData>
  <mergeCells count="184">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A35:A38"/>
    <mergeCell ref="B35:B38"/>
    <mergeCell ref="E35:E36"/>
    <mergeCell ref="T35:T38"/>
    <mergeCell ref="V35:V36"/>
    <mergeCell ref="E37:E38"/>
    <mergeCell ref="V37:V38"/>
    <mergeCell ref="A39:A46"/>
    <mergeCell ref="B39:B46"/>
    <mergeCell ref="C39:C40"/>
    <mergeCell ref="D39:D40"/>
    <mergeCell ref="E39:E40"/>
    <mergeCell ref="T39:T46"/>
    <mergeCell ref="U39:U40"/>
    <mergeCell ref="V39:V40"/>
    <mergeCell ref="C41:C42"/>
    <mergeCell ref="D41:D42"/>
    <mergeCell ref="E41:E42"/>
    <mergeCell ref="U41:U42"/>
    <mergeCell ref="U37:U38"/>
    <mergeCell ref="D37:D38"/>
    <mergeCell ref="C35:C36"/>
    <mergeCell ref="C37:C38"/>
    <mergeCell ref="U35:U36"/>
    <mergeCell ref="A25:A34"/>
    <mergeCell ref="B25:B34"/>
    <mergeCell ref="T25:T34"/>
    <mergeCell ref="V25:V26"/>
    <mergeCell ref="U27:U28"/>
    <mergeCell ref="E31:E32"/>
    <mergeCell ref="V31:V32"/>
    <mergeCell ref="E33:E34"/>
    <mergeCell ref="V33:V34"/>
    <mergeCell ref="U29:U30"/>
    <mergeCell ref="C25:C26"/>
    <mergeCell ref="C27:C28"/>
    <mergeCell ref="E25:E26"/>
    <mergeCell ref="E27:E28"/>
    <mergeCell ref="D33:D34"/>
    <mergeCell ref="C31:C32"/>
    <mergeCell ref="C33:C34"/>
    <mergeCell ref="E29:E30"/>
    <mergeCell ref="D25:D26"/>
    <mergeCell ref="D27:D28"/>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E9:E10"/>
    <mergeCell ref="C21:C22"/>
    <mergeCell ref="B9:B18"/>
    <mergeCell ref="E19:E20"/>
    <mergeCell ref="C9:C10"/>
    <mergeCell ref="U9:U10"/>
    <mergeCell ref="U17:U18"/>
    <mergeCell ref="T9:T18"/>
    <mergeCell ref="U15:U16"/>
    <mergeCell ref="U11:U12"/>
    <mergeCell ref="U13:U14"/>
    <mergeCell ref="C17:C18"/>
    <mergeCell ref="D17:D1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3:C24"/>
    <mergeCell ref="D11:D12"/>
    <mergeCell ref="D15:D16"/>
    <mergeCell ref="C70:I70"/>
    <mergeCell ref="J70:P70"/>
    <mergeCell ref="C71:I71"/>
    <mergeCell ref="J71:P71"/>
    <mergeCell ref="E11:E12"/>
    <mergeCell ref="E13:E14"/>
    <mergeCell ref="E15:E16"/>
    <mergeCell ref="E17:E18"/>
    <mergeCell ref="C69:I69"/>
    <mergeCell ref="J69:P69"/>
    <mergeCell ref="C29:C30"/>
    <mergeCell ref="D35:D36"/>
    <mergeCell ref="C13:C14"/>
    <mergeCell ref="D13:D14"/>
    <mergeCell ref="E53:E54"/>
    <mergeCell ref="E63:E64"/>
    <mergeCell ref="D21:D22"/>
    <mergeCell ref="V17:V18"/>
    <mergeCell ref="T19:T24"/>
    <mergeCell ref="D29:D30"/>
    <mergeCell ref="D31:D32"/>
    <mergeCell ref="U25:U26"/>
    <mergeCell ref="V19:V20"/>
    <mergeCell ref="U31:U32"/>
    <mergeCell ref="U33:U34"/>
    <mergeCell ref="V27:V28"/>
    <mergeCell ref="V29:V30"/>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C591-E004-4140-A22F-5079F5F29589}">
  <dimension ref="A1:BC1738"/>
  <sheetViews>
    <sheetView showGridLines="0" zoomScale="60" zoomScaleNormal="60" workbookViewId="0">
      <selection activeCell="G14" sqref="G14"/>
    </sheetView>
  </sheetViews>
  <sheetFormatPr baseColWidth="10" defaultColWidth="10.7109375" defaultRowHeight="29.25" customHeight="1" x14ac:dyDescent="0.25"/>
  <cols>
    <col min="2" max="2" width="23" customWidth="1"/>
    <col min="3" max="3" width="25.42578125" customWidth="1"/>
    <col min="4" max="4" width="14.7109375" customWidth="1"/>
    <col min="5" max="5" width="25.28515625" customWidth="1"/>
    <col min="6" max="6" width="22.140625" style="264" customWidth="1"/>
    <col min="7" max="7" width="26.7109375" customWidth="1"/>
    <col min="8" max="8" width="22.140625" customWidth="1"/>
    <col min="9" max="9" width="28.28515625" customWidth="1"/>
    <col min="10" max="18" width="15.7109375" hidden="1" customWidth="1"/>
    <col min="19" max="19" width="23.7109375" hidden="1" customWidth="1"/>
    <col min="20" max="20" width="21.85546875" customWidth="1"/>
    <col min="21" max="21" width="20.5703125" customWidth="1"/>
    <col min="22" max="22" width="23.85546875" customWidth="1"/>
    <col min="23" max="24" width="15.7109375" hidden="1" customWidth="1"/>
    <col min="25" max="25" width="16" hidden="1" customWidth="1"/>
    <col min="26" max="29" width="15.7109375" hidden="1" customWidth="1"/>
    <col min="30" max="30" width="15.7109375" style="48" hidden="1" customWidth="1"/>
    <col min="31" max="31" width="21.140625" hidden="1" customWidth="1"/>
    <col min="32" max="32" width="27.7109375" customWidth="1"/>
    <col min="33" max="33" width="18.7109375" customWidth="1"/>
    <col min="34" max="35" width="15.7109375" customWidth="1"/>
    <col min="36" max="36" width="34.28515625" customWidth="1"/>
    <col min="37" max="37" width="21.285156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5" s="156" customFormat="1" ht="29.25" customHeight="1" x14ac:dyDescent="0.4">
      <c r="A1" s="429"/>
      <c r="B1" s="430"/>
      <c r="C1" s="430"/>
      <c r="D1" s="430"/>
      <c r="E1" s="433" t="s">
        <v>38</v>
      </c>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3"/>
      <c r="AM1" s="433"/>
      <c r="AN1" s="433"/>
      <c r="AO1" s="433"/>
      <c r="AP1" s="433"/>
      <c r="AQ1" s="433"/>
      <c r="AR1" s="433"/>
      <c r="AS1" s="433"/>
      <c r="AT1" s="433"/>
      <c r="AU1" s="433"/>
      <c r="AV1" s="433"/>
      <c r="AW1" s="433"/>
      <c r="AX1" s="433"/>
      <c r="AY1" s="433"/>
    </row>
    <row r="2" spans="1:55" s="156" customFormat="1" ht="62.25" customHeight="1" thickBot="1" x14ac:dyDescent="0.45">
      <c r="A2" s="431"/>
      <c r="B2" s="432"/>
      <c r="C2" s="432"/>
      <c r="D2" s="432"/>
      <c r="E2" s="434" t="s">
        <v>691</v>
      </c>
      <c r="F2" s="434"/>
      <c r="G2" s="434"/>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row>
    <row r="3" spans="1:55" ht="23.25" customHeight="1" thickBot="1" x14ac:dyDescent="0.3">
      <c r="A3" s="431"/>
      <c r="B3" s="432"/>
      <c r="C3" s="432"/>
      <c r="D3" s="432"/>
      <c r="E3" s="435" t="s">
        <v>39</v>
      </c>
      <c r="F3" s="436"/>
      <c r="G3" s="436"/>
      <c r="H3" s="436"/>
      <c r="I3" s="436"/>
      <c r="J3" s="436"/>
      <c r="K3" s="436"/>
      <c r="L3" s="436"/>
      <c r="M3" s="436"/>
      <c r="N3" s="436"/>
      <c r="O3" s="436"/>
      <c r="P3" s="436"/>
      <c r="Q3" s="436"/>
      <c r="R3" s="436"/>
      <c r="S3" s="436"/>
      <c r="T3" s="436"/>
      <c r="U3" s="436"/>
      <c r="V3" s="436"/>
      <c r="W3" s="436"/>
      <c r="X3" s="436"/>
      <c r="Y3" s="436"/>
      <c r="Z3" s="436"/>
      <c r="AA3" s="436"/>
      <c r="AB3" s="436"/>
      <c r="AC3" s="436"/>
      <c r="AD3" s="437"/>
      <c r="AE3" s="688"/>
      <c r="AF3" s="689"/>
      <c r="AG3" s="689"/>
      <c r="AH3" s="689"/>
      <c r="AI3" s="689"/>
      <c r="AJ3" s="685" t="s">
        <v>257</v>
      </c>
      <c r="AK3" s="686"/>
      <c r="AL3" s="686"/>
      <c r="AM3" s="686"/>
      <c r="AN3" s="686"/>
      <c r="AO3" s="686"/>
      <c r="AP3" s="686"/>
      <c r="AQ3" s="686"/>
      <c r="AR3" s="686"/>
      <c r="AS3" s="686"/>
      <c r="AT3" s="686"/>
      <c r="AU3" s="686"/>
      <c r="AV3" s="686"/>
      <c r="AW3" s="686"/>
      <c r="AX3" s="686"/>
      <c r="AY3" s="687"/>
    </row>
    <row r="4" spans="1:55" ht="29.25" customHeight="1" thickBot="1" x14ac:dyDescent="0.3">
      <c r="A4" s="690" t="s">
        <v>0</v>
      </c>
      <c r="B4" s="691"/>
      <c r="C4" s="691"/>
      <c r="D4" s="692"/>
      <c r="E4" s="438" t="s">
        <v>693</v>
      </c>
      <c r="F4" s="438"/>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c r="AW4" s="439"/>
      <c r="AX4" s="439"/>
      <c r="AY4" s="440"/>
    </row>
    <row r="5" spans="1:55" ht="29.25" customHeight="1" thickBot="1" x14ac:dyDescent="0.3">
      <c r="A5" s="693" t="s">
        <v>2</v>
      </c>
      <c r="B5" s="694"/>
      <c r="C5" s="694"/>
      <c r="D5" s="695"/>
      <c r="E5" s="441" t="s">
        <v>694</v>
      </c>
      <c r="F5" s="441"/>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c r="AQ5" s="442"/>
      <c r="AR5" s="442"/>
      <c r="AS5" s="442"/>
      <c r="AT5" s="442"/>
      <c r="AU5" s="442"/>
      <c r="AV5" s="442"/>
      <c r="AW5" s="442"/>
      <c r="AX5" s="442"/>
      <c r="AY5" s="443"/>
    </row>
    <row r="6" spans="1:55" ht="29.25" customHeight="1" thickBot="1" x14ac:dyDescent="0.3">
      <c r="A6" s="696" t="s">
        <v>692</v>
      </c>
      <c r="B6" s="697"/>
      <c r="C6" s="697"/>
      <c r="D6" s="698"/>
      <c r="E6" s="444" t="s">
        <v>695</v>
      </c>
      <c r="F6" s="444"/>
      <c r="G6" s="444"/>
      <c r="H6" s="444"/>
      <c r="I6" s="444"/>
      <c r="J6" s="444"/>
      <c r="K6" s="444"/>
      <c r="L6" s="444"/>
      <c r="M6" s="444"/>
      <c r="N6" s="444"/>
      <c r="O6" s="444"/>
      <c r="P6" s="444"/>
      <c r="Q6" s="444"/>
      <c r="R6" s="445"/>
      <c r="S6" s="445"/>
      <c r="T6" s="445"/>
      <c r="U6" s="445"/>
      <c r="V6" s="445"/>
      <c r="W6" s="445"/>
      <c r="X6" s="445"/>
      <c r="Y6" s="445"/>
      <c r="Z6" s="445"/>
      <c r="AA6" s="445"/>
      <c r="AB6" s="445"/>
      <c r="AC6" s="445"/>
      <c r="AD6" s="445"/>
      <c r="AE6" s="445"/>
      <c r="AF6" s="445"/>
      <c r="AG6" s="445"/>
      <c r="AH6" s="445"/>
      <c r="AI6" s="445"/>
      <c r="AJ6" s="445"/>
      <c r="AK6" s="445"/>
      <c r="AL6" s="445"/>
      <c r="AM6" s="445"/>
      <c r="AN6" s="445"/>
      <c r="AO6" s="445"/>
      <c r="AP6" s="445"/>
      <c r="AQ6" s="445"/>
      <c r="AR6" s="445"/>
      <c r="AS6" s="445"/>
      <c r="AT6" s="445"/>
      <c r="AU6" s="445"/>
      <c r="AV6" s="445"/>
      <c r="AW6" s="445"/>
      <c r="AX6" s="445"/>
      <c r="AY6" s="446"/>
    </row>
    <row r="7" spans="1:55" ht="29.25" customHeight="1" x14ac:dyDescent="0.25">
      <c r="A7" s="447"/>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9"/>
    </row>
    <row r="8" spans="1:55" s="48" customFormat="1" ht="29.25" customHeight="1" x14ac:dyDescent="0.25">
      <c r="A8" s="370" t="s">
        <v>90</v>
      </c>
      <c r="B8" s="370"/>
      <c r="C8" s="370"/>
      <c r="D8" s="370"/>
      <c r="E8" s="370"/>
      <c r="F8" s="370"/>
      <c r="G8" s="450" t="s">
        <v>96</v>
      </c>
      <c r="H8" s="450"/>
      <c r="I8" s="450"/>
      <c r="J8" s="450"/>
      <c r="K8" s="450"/>
      <c r="L8" s="450"/>
      <c r="M8" s="450"/>
      <c r="N8" s="450"/>
      <c r="O8" s="450"/>
      <c r="P8" s="450"/>
      <c r="Q8" s="450"/>
      <c r="R8" s="450"/>
      <c r="S8" s="450"/>
      <c r="T8" s="450" t="s">
        <v>97</v>
      </c>
      <c r="U8" s="450"/>
      <c r="V8" s="450"/>
      <c r="W8" s="450"/>
      <c r="X8" s="450"/>
      <c r="Y8" s="450"/>
      <c r="Z8" s="450"/>
      <c r="AA8" s="450"/>
      <c r="AB8" s="450"/>
      <c r="AC8" s="450"/>
      <c r="AD8" s="450"/>
      <c r="AE8" s="450"/>
      <c r="AF8" s="450"/>
      <c r="AG8" s="370" t="s">
        <v>98</v>
      </c>
      <c r="AH8" s="370"/>
      <c r="AI8" s="370"/>
      <c r="AJ8" s="370"/>
      <c r="AK8" s="370"/>
      <c r="AL8" s="370" t="s">
        <v>104</v>
      </c>
      <c r="AM8" s="370"/>
      <c r="AN8" s="293"/>
      <c r="AO8" s="370" t="s">
        <v>67</v>
      </c>
      <c r="AP8" s="370"/>
      <c r="AQ8" s="370"/>
      <c r="AR8" s="370"/>
      <c r="AS8" s="370"/>
      <c r="AT8" s="370"/>
      <c r="AU8" s="370"/>
      <c r="AV8" s="370"/>
      <c r="AW8" s="370"/>
      <c r="AX8" s="370"/>
      <c r="AY8" s="370" t="s">
        <v>118</v>
      </c>
      <c r="AZ8" s="163"/>
      <c r="BA8" s="163"/>
      <c r="BB8" s="163"/>
      <c r="BC8" s="163"/>
    </row>
    <row r="9" spans="1:55" s="48" customFormat="1" ht="53.25" customHeight="1" x14ac:dyDescent="0.25">
      <c r="A9" s="293" t="s">
        <v>91</v>
      </c>
      <c r="B9" s="293" t="s">
        <v>92</v>
      </c>
      <c r="C9" s="305" t="s">
        <v>93</v>
      </c>
      <c r="D9" s="293" t="s">
        <v>94</v>
      </c>
      <c r="E9" s="293" t="s">
        <v>593</v>
      </c>
      <c r="F9" s="293" t="s">
        <v>95</v>
      </c>
      <c r="G9" s="306" t="s">
        <v>6</v>
      </c>
      <c r="H9" s="306" t="s">
        <v>7</v>
      </c>
      <c r="I9" s="306" t="s">
        <v>8</v>
      </c>
      <c r="J9" s="306" t="s">
        <v>9</v>
      </c>
      <c r="K9" s="306" t="s">
        <v>10</v>
      </c>
      <c r="L9" s="306" t="s">
        <v>11</v>
      </c>
      <c r="M9" s="306" t="s">
        <v>12</v>
      </c>
      <c r="N9" s="306" t="s">
        <v>13</v>
      </c>
      <c r="O9" s="306" t="s">
        <v>14</v>
      </c>
      <c r="P9" s="306" t="s">
        <v>15</v>
      </c>
      <c r="Q9" s="306" t="s">
        <v>16</v>
      </c>
      <c r="R9" s="306" t="s">
        <v>17</v>
      </c>
      <c r="S9" s="293" t="s">
        <v>65</v>
      </c>
      <c r="T9" s="306" t="s">
        <v>6</v>
      </c>
      <c r="U9" s="306" t="s">
        <v>7</v>
      </c>
      <c r="V9" s="306" t="s">
        <v>8</v>
      </c>
      <c r="W9" s="306" t="s">
        <v>9</v>
      </c>
      <c r="X9" s="306" t="s">
        <v>10</v>
      </c>
      <c r="Y9" s="306" t="s">
        <v>11</v>
      </c>
      <c r="Z9" s="306" t="s">
        <v>12</v>
      </c>
      <c r="AA9" s="306" t="s">
        <v>13</v>
      </c>
      <c r="AB9" s="306" t="s">
        <v>14</v>
      </c>
      <c r="AC9" s="306" t="s">
        <v>15</v>
      </c>
      <c r="AD9" s="307" t="s">
        <v>16</v>
      </c>
      <c r="AE9" s="293" t="s">
        <v>17</v>
      </c>
      <c r="AF9" s="293" t="s">
        <v>66</v>
      </c>
      <c r="AG9" s="293" t="s">
        <v>99</v>
      </c>
      <c r="AH9" s="293" t="s">
        <v>100</v>
      </c>
      <c r="AI9" s="293" t="s">
        <v>101</v>
      </c>
      <c r="AJ9" s="293" t="s">
        <v>102</v>
      </c>
      <c r="AK9" s="293" t="s">
        <v>103</v>
      </c>
      <c r="AL9" s="293" t="s">
        <v>105</v>
      </c>
      <c r="AM9" s="293" t="s">
        <v>106</v>
      </c>
      <c r="AN9" s="293" t="s">
        <v>107</v>
      </c>
      <c r="AO9" s="293" t="s">
        <v>108</v>
      </c>
      <c r="AP9" s="293" t="s">
        <v>109</v>
      </c>
      <c r="AQ9" s="293" t="s">
        <v>110</v>
      </c>
      <c r="AR9" s="293" t="s">
        <v>111</v>
      </c>
      <c r="AS9" s="293" t="s">
        <v>112</v>
      </c>
      <c r="AT9" s="293" t="s">
        <v>113</v>
      </c>
      <c r="AU9" s="293" t="s">
        <v>114</v>
      </c>
      <c r="AV9" s="293" t="s">
        <v>115</v>
      </c>
      <c r="AW9" s="293" t="s">
        <v>116</v>
      </c>
      <c r="AX9" s="293" t="s">
        <v>117</v>
      </c>
      <c r="AY9" s="370"/>
      <c r="AZ9" s="163"/>
      <c r="BA9" s="163"/>
      <c r="BB9" s="163"/>
      <c r="BC9" s="163"/>
    </row>
    <row r="10" spans="1:55" ht="29.25" customHeight="1" x14ac:dyDescent="0.25">
      <c r="A10" s="451">
        <v>1</v>
      </c>
      <c r="B10" s="453" t="s">
        <v>319</v>
      </c>
      <c r="C10" s="455" t="s">
        <v>327</v>
      </c>
      <c r="D10" s="302" t="s">
        <v>40</v>
      </c>
      <c r="E10" s="303">
        <f>+INVERSIÓN!BF10</f>
        <v>1</v>
      </c>
      <c r="F10" s="303">
        <f>+E10</f>
        <v>1</v>
      </c>
      <c r="G10" s="303">
        <f>+INVERSIÓN!$CH$10</f>
        <v>1</v>
      </c>
      <c r="H10" s="303">
        <f>+INVERSIÓN!$CH$10</f>
        <v>1</v>
      </c>
      <c r="I10" s="303">
        <f>+INVERSIÓN!$CH$10</f>
        <v>1</v>
      </c>
      <c r="J10" s="303">
        <f>+INVERSIÓN!$CH$10</f>
        <v>1</v>
      </c>
      <c r="K10" s="303">
        <f>+INVERSIÓN!$CH$10</f>
        <v>1</v>
      </c>
      <c r="L10" s="303">
        <f>+INVERSIÓN!$CH$10</f>
        <v>1</v>
      </c>
      <c r="M10" s="303">
        <f>+INVERSIÓN!$CH$10</f>
        <v>1</v>
      </c>
      <c r="N10" s="303">
        <f>+INVERSIÓN!$CH$10</f>
        <v>1</v>
      </c>
      <c r="O10" s="303">
        <f>+INVERSIÓN!$CH$10</f>
        <v>1</v>
      </c>
      <c r="P10" s="303">
        <f>+INVERSIÓN!$CH$10</f>
        <v>1</v>
      </c>
      <c r="Q10" s="303">
        <f>+INVERSIÓN!$CH$10</f>
        <v>1</v>
      </c>
      <c r="R10" s="303">
        <f>+INVERSIÓN!$CH$10</f>
        <v>1</v>
      </c>
      <c r="S10" s="304"/>
      <c r="T10" s="303">
        <f>+INVERSIÓN!BH10</f>
        <v>1</v>
      </c>
      <c r="U10" s="303">
        <f>+INVERSIÓN!BJ10</f>
        <v>1</v>
      </c>
      <c r="V10" s="303">
        <f>+INVERSIÓN!BL10</f>
        <v>1</v>
      </c>
      <c r="W10" s="303"/>
      <c r="X10" s="303"/>
      <c r="Y10" s="303"/>
      <c r="Z10" s="304"/>
      <c r="AA10" s="304"/>
      <c r="AB10" s="304"/>
      <c r="AC10" s="304"/>
      <c r="AD10" s="304"/>
      <c r="AE10" s="303"/>
      <c r="AF10" s="304"/>
      <c r="AG10" s="457" t="s">
        <v>328</v>
      </c>
      <c r="AH10" s="457" t="s">
        <v>329</v>
      </c>
      <c r="AI10" s="457" t="s">
        <v>329</v>
      </c>
      <c r="AJ10" s="457" t="s">
        <v>330</v>
      </c>
      <c r="AK10" s="457" t="s">
        <v>331</v>
      </c>
      <c r="AL10" s="457" t="s">
        <v>329</v>
      </c>
      <c r="AM10" s="457" t="s">
        <v>329</v>
      </c>
      <c r="AN10" s="457" t="s">
        <v>329</v>
      </c>
      <c r="AO10" s="462">
        <v>3751549</v>
      </c>
      <c r="AP10" s="464">
        <v>4082618</v>
      </c>
      <c r="AQ10" s="457" t="s">
        <v>329</v>
      </c>
      <c r="AR10" s="457" t="s">
        <v>329</v>
      </c>
      <c r="AS10" s="457" t="s">
        <v>329</v>
      </c>
      <c r="AT10" s="457" t="s">
        <v>329</v>
      </c>
      <c r="AU10" s="457" t="s">
        <v>329</v>
      </c>
      <c r="AV10" s="457" t="s">
        <v>329</v>
      </c>
      <c r="AW10" s="457" t="s">
        <v>329</v>
      </c>
      <c r="AX10" s="458">
        <f>+AO10+AP10</f>
        <v>7834167</v>
      </c>
      <c r="AY10" s="460"/>
    </row>
    <row r="11" spans="1:55" s="60" customFormat="1" ht="29.25" customHeight="1" x14ac:dyDescent="0.25">
      <c r="A11" s="452"/>
      <c r="B11" s="454"/>
      <c r="C11" s="456"/>
      <c r="D11" s="158" t="s">
        <v>3</v>
      </c>
      <c r="E11" s="137">
        <f>+INVERSIÓN!BF11</f>
        <v>2219609000</v>
      </c>
      <c r="F11" s="137">
        <f t="shared" ref="F11:F13" si="0">+E11</f>
        <v>2219609000</v>
      </c>
      <c r="G11" s="137">
        <f>+INVERSIÓN!$CH$11</f>
        <v>2219609000</v>
      </c>
      <c r="H11" s="137">
        <f>+INVERSIÓN!$CH$11</f>
        <v>2219609000</v>
      </c>
      <c r="I11" s="137">
        <f>+INVERSIÓN!$CH$11</f>
        <v>2219609000</v>
      </c>
      <c r="J11" s="137">
        <f>+INVERSIÓN!$CH$11</f>
        <v>2219609000</v>
      </c>
      <c r="K11" s="137">
        <f>+INVERSIÓN!$CH$11</f>
        <v>2219609000</v>
      </c>
      <c r="L11" s="137">
        <f>+INVERSIÓN!$CH$11</f>
        <v>2219609000</v>
      </c>
      <c r="M11" s="137">
        <f>+INVERSIÓN!$CH$11</f>
        <v>2219609000</v>
      </c>
      <c r="N11" s="137">
        <f>+INVERSIÓN!$CH$11</f>
        <v>2219609000</v>
      </c>
      <c r="O11" s="137">
        <f>+INVERSIÓN!$CH$11</f>
        <v>2219609000</v>
      </c>
      <c r="P11" s="137">
        <f>+INVERSIÓN!$CH$11</f>
        <v>2219609000</v>
      </c>
      <c r="Q11" s="137">
        <f>+INVERSIÓN!$CH$11</f>
        <v>2219609000</v>
      </c>
      <c r="R11" s="137">
        <f>+INVERSIÓN!$CH$11</f>
        <v>2219609000</v>
      </c>
      <c r="S11" s="137"/>
      <c r="T11" s="137">
        <f>+INVERSIÓN!BH11</f>
        <v>665963000</v>
      </c>
      <c r="U11" s="137">
        <v>665963000</v>
      </c>
      <c r="V11" s="137">
        <f>INVERSIÓN!CI11</f>
        <v>665963000</v>
      </c>
      <c r="W11" s="137"/>
      <c r="X11" s="137"/>
      <c r="Y11" s="137"/>
      <c r="Z11" s="124"/>
      <c r="AA11" s="124"/>
      <c r="AB11" s="124"/>
      <c r="AC11" s="124"/>
      <c r="AD11" s="124"/>
      <c r="AE11" s="137"/>
      <c r="AF11" s="137"/>
      <c r="AG11" s="361"/>
      <c r="AH11" s="361"/>
      <c r="AI11" s="361"/>
      <c r="AJ11" s="361"/>
      <c r="AK11" s="361"/>
      <c r="AL11" s="361"/>
      <c r="AM11" s="361"/>
      <c r="AN11" s="361"/>
      <c r="AO11" s="463"/>
      <c r="AP11" s="465"/>
      <c r="AQ11" s="361"/>
      <c r="AR11" s="361"/>
      <c r="AS11" s="361"/>
      <c r="AT11" s="361"/>
      <c r="AU11" s="361"/>
      <c r="AV11" s="361"/>
      <c r="AW11" s="361"/>
      <c r="AX11" s="459"/>
      <c r="AY11" s="461"/>
    </row>
    <row r="12" spans="1:55" ht="29.25" customHeight="1" x14ac:dyDescent="0.25">
      <c r="A12" s="452"/>
      <c r="B12" s="454"/>
      <c r="C12" s="456"/>
      <c r="D12" s="157" t="s">
        <v>41</v>
      </c>
      <c r="E12" s="104">
        <f>+INVERSIÓN!BF13</f>
        <v>0</v>
      </c>
      <c r="F12" s="104">
        <f t="shared" si="0"/>
        <v>0</v>
      </c>
      <c r="G12" s="104">
        <f>+INVERSIÓN!$CH$13</f>
        <v>0</v>
      </c>
      <c r="H12" s="104">
        <f>+INVERSIÓN!$CH$13</f>
        <v>0</v>
      </c>
      <c r="I12" s="104">
        <f>+INVERSIÓN!$CH$13</f>
        <v>0</v>
      </c>
      <c r="J12" s="104">
        <f>+INVERSIÓN!$CH$13</f>
        <v>0</v>
      </c>
      <c r="K12" s="104">
        <f>+INVERSIÓN!$CH$13</f>
        <v>0</v>
      </c>
      <c r="L12" s="104">
        <f>+INVERSIÓN!$CH$13</f>
        <v>0</v>
      </c>
      <c r="M12" s="104">
        <f>+INVERSIÓN!$CH$13</f>
        <v>0</v>
      </c>
      <c r="N12" s="104">
        <f>+INVERSIÓN!$CH$13</f>
        <v>0</v>
      </c>
      <c r="O12" s="104">
        <f>+INVERSIÓN!$CH$13</f>
        <v>0</v>
      </c>
      <c r="P12" s="104">
        <f>+INVERSIÓN!$CH$13</f>
        <v>0</v>
      </c>
      <c r="Q12" s="104">
        <f>+INVERSIÓN!$CH$13</f>
        <v>0</v>
      </c>
      <c r="R12" s="104">
        <f>+INVERSIÓN!$CH$13</f>
        <v>0</v>
      </c>
      <c r="S12" s="104"/>
      <c r="T12" s="104">
        <f>+INVERSIÓN!BH13</f>
        <v>0</v>
      </c>
      <c r="U12" s="104">
        <f>+INVERSIÓN!BJ13</f>
        <v>0</v>
      </c>
      <c r="V12" s="104">
        <f>+INVERSIÓN!BL13</f>
        <v>0</v>
      </c>
      <c r="W12" s="104"/>
      <c r="X12" s="104"/>
      <c r="Y12" s="104"/>
      <c r="Z12" s="123"/>
      <c r="AA12" s="123"/>
      <c r="AB12" s="123"/>
      <c r="AC12" s="123"/>
      <c r="AD12" s="123"/>
      <c r="AE12" s="137"/>
      <c r="AF12" s="104"/>
      <c r="AG12" s="361"/>
      <c r="AH12" s="361"/>
      <c r="AI12" s="361"/>
      <c r="AJ12" s="361"/>
      <c r="AK12" s="361"/>
      <c r="AL12" s="361"/>
      <c r="AM12" s="361"/>
      <c r="AN12" s="361"/>
      <c r="AO12" s="463"/>
      <c r="AP12" s="465"/>
      <c r="AQ12" s="361"/>
      <c r="AR12" s="361"/>
      <c r="AS12" s="361"/>
      <c r="AT12" s="361"/>
      <c r="AU12" s="361"/>
      <c r="AV12" s="361"/>
      <c r="AW12" s="361"/>
      <c r="AX12" s="459"/>
      <c r="AY12" s="461"/>
    </row>
    <row r="13" spans="1:55" s="60" customFormat="1" ht="29.25" customHeight="1" x14ac:dyDescent="0.25">
      <c r="A13" s="452"/>
      <c r="B13" s="454"/>
      <c r="C13" s="456"/>
      <c r="D13" s="158" t="s">
        <v>4</v>
      </c>
      <c r="E13" s="137">
        <f>+INVERSIÓN!BF14</f>
        <v>557602926</v>
      </c>
      <c r="F13" s="137">
        <f t="shared" si="0"/>
        <v>557602926</v>
      </c>
      <c r="G13" s="137">
        <f>+INVERSIÓN!$CH$14</f>
        <v>557602926</v>
      </c>
      <c r="H13" s="137">
        <f>+INVERSIÓN!$CH$14</f>
        <v>557602926</v>
      </c>
      <c r="I13" s="137">
        <f>+INVERSIÓN!$CH$14</f>
        <v>557602926</v>
      </c>
      <c r="J13" s="137">
        <f>+INVERSIÓN!$CH$14</f>
        <v>557602926</v>
      </c>
      <c r="K13" s="137">
        <f>+INVERSIÓN!$CH$14</f>
        <v>557602926</v>
      </c>
      <c r="L13" s="137">
        <f>+INVERSIÓN!$CH$14</f>
        <v>557602926</v>
      </c>
      <c r="M13" s="137">
        <f>+INVERSIÓN!$CH$14</f>
        <v>557602926</v>
      </c>
      <c r="N13" s="137">
        <f>+INVERSIÓN!$CH$14</f>
        <v>557602926</v>
      </c>
      <c r="O13" s="137">
        <f>+INVERSIÓN!$CH$14</f>
        <v>557602926</v>
      </c>
      <c r="P13" s="137">
        <f>+INVERSIÓN!$CH$14</f>
        <v>557602926</v>
      </c>
      <c r="Q13" s="137">
        <f>+INVERSIÓN!$CH$14</f>
        <v>557602926</v>
      </c>
      <c r="R13" s="137">
        <f>+INVERSIÓN!$CH$14</f>
        <v>557602926</v>
      </c>
      <c r="S13" s="137"/>
      <c r="T13" s="137">
        <f>+INVERSIÓN!BH14</f>
        <v>0</v>
      </c>
      <c r="U13" s="137">
        <f>+INVERSIÓN!BJ14</f>
        <v>42955919</v>
      </c>
      <c r="V13" s="137">
        <f>INVERSIÓN!CI14</f>
        <v>75633786</v>
      </c>
      <c r="W13" s="137"/>
      <c r="X13" s="137"/>
      <c r="Y13" s="137"/>
      <c r="Z13" s="124"/>
      <c r="AA13" s="124"/>
      <c r="AB13" s="124"/>
      <c r="AC13" s="124"/>
      <c r="AD13" s="124"/>
      <c r="AE13" s="137"/>
      <c r="AF13" s="137"/>
      <c r="AG13" s="361"/>
      <c r="AH13" s="361"/>
      <c r="AI13" s="361"/>
      <c r="AJ13" s="361"/>
      <c r="AK13" s="361"/>
      <c r="AL13" s="361"/>
      <c r="AM13" s="361"/>
      <c r="AN13" s="361"/>
      <c r="AO13" s="463"/>
      <c r="AP13" s="465"/>
      <c r="AQ13" s="361"/>
      <c r="AR13" s="361"/>
      <c r="AS13" s="361"/>
      <c r="AT13" s="361"/>
      <c r="AU13" s="361"/>
      <c r="AV13" s="361"/>
      <c r="AW13" s="361"/>
      <c r="AX13" s="459"/>
      <c r="AY13" s="461"/>
    </row>
    <row r="14" spans="1:55" ht="29.25" customHeight="1" x14ac:dyDescent="0.25">
      <c r="A14" s="452"/>
      <c r="B14" s="454"/>
      <c r="C14" s="456"/>
      <c r="D14" s="157" t="s">
        <v>42</v>
      </c>
      <c r="E14" s="104">
        <f t="shared" ref="E14" si="1">+E10+E12</f>
        <v>1</v>
      </c>
      <c r="F14" s="104">
        <f t="shared" ref="F14:R15" si="2">+F10+F12</f>
        <v>1</v>
      </c>
      <c r="G14" s="104">
        <f t="shared" si="2"/>
        <v>1</v>
      </c>
      <c r="H14" s="104">
        <f t="shared" si="2"/>
        <v>1</v>
      </c>
      <c r="I14" s="104">
        <f t="shared" si="2"/>
        <v>1</v>
      </c>
      <c r="J14" s="104">
        <f t="shared" si="2"/>
        <v>1</v>
      </c>
      <c r="K14" s="104">
        <f t="shared" si="2"/>
        <v>1</v>
      </c>
      <c r="L14" s="104">
        <f t="shared" si="2"/>
        <v>1</v>
      </c>
      <c r="M14" s="104">
        <f t="shared" si="2"/>
        <v>1</v>
      </c>
      <c r="N14" s="104">
        <f t="shared" si="2"/>
        <v>1</v>
      </c>
      <c r="O14" s="104">
        <f t="shared" si="2"/>
        <v>1</v>
      </c>
      <c r="P14" s="104">
        <f t="shared" si="2"/>
        <v>1</v>
      </c>
      <c r="Q14" s="104">
        <f t="shared" si="2"/>
        <v>1</v>
      </c>
      <c r="R14" s="104">
        <f t="shared" si="2"/>
        <v>1</v>
      </c>
      <c r="S14" s="104"/>
      <c r="T14" s="104">
        <f t="shared" ref="T14:AE15" si="3">+T10+T12</f>
        <v>1</v>
      </c>
      <c r="U14" s="104">
        <f t="shared" ref="U14" si="4">+U10+U12</f>
        <v>1</v>
      </c>
      <c r="V14" s="104">
        <f t="shared" ref="V14" si="5">+V10+V12</f>
        <v>1</v>
      </c>
      <c r="W14" s="104">
        <f t="shared" si="3"/>
        <v>0</v>
      </c>
      <c r="X14" s="104">
        <f t="shared" si="3"/>
        <v>0</v>
      </c>
      <c r="Y14" s="104">
        <f t="shared" si="3"/>
        <v>0</v>
      </c>
      <c r="Z14" s="104">
        <f t="shared" si="3"/>
        <v>0</v>
      </c>
      <c r="AA14" s="104">
        <f t="shared" si="3"/>
        <v>0</v>
      </c>
      <c r="AB14" s="104">
        <f t="shared" si="3"/>
        <v>0</v>
      </c>
      <c r="AC14" s="104">
        <f t="shared" si="3"/>
        <v>0</v>
      </c>
      <c r="AD14" s="104">
        <f t="shared" si="3"/>
        <v>0</v>
      </c>
      <c r="AE14" s="266">
        <v>0</v>
      </c>
      <c r="AF14" s="104"/>
      <c r="AG14" s="361"/>
      <c r="AH14" s="361"/>
      <c r="AI14" s="361"/>
      <c r="AJ14" s="361"/>
      <c r="AK14" s="361"/>
      <c r="AL14" s="361"/>
      <c r="AM14" s="361"/>
      <c r="AN14" s="361"/>
      <c r="AO14" s="463"/>
      <c r="AP14" s="465"/>
      <c r="AQ14" s="361"/>
      <c r="AR14" s="361"/>
      <c r="AS14" s="361"/>
      <c r="AT14" s="361"/>
      <c r="AU14" s="361"/>
      <c r="AV14" s="361"/>
      <c r="AW14" s="361"/>
      <c r="AX14" s="459"/>
      <c r="AY14" s="461"/>
    </row>
    <row r="15" spans="1:55" s="60" customFormat="1" ht="29.25" customHeight="1" x14ac:dyDescent="0.25">
      <c r="A15" s="452"/>
      <c r="B15" s="454"/>
      <c r="C15" s="456"/>
      <c r="D15" s="158" t="s">
        <v>44</v>
      </c>
      <c r="E15" s="137">
        <f t="shared" ref="E15" si="6">+E11+E13</f>
        <v>2777211926</v>
      </c>
      <c r="F15" s="137">
        <f t="shared" si="2"/>
        <v>2777211926</v>
      </c>
      <c r="G15" s="137">
        <f t="shared" si="2"/>
        <v>2777211926</v>
      </c>
      <c r="H15" s="137">
        <f t="shared" si="2"/>
        <v>2777211926</v>
      </c>
      <c r="I15" s="137">
        <f t="shared" si="2"/>
        <v>2777211926</v>
      </c>
      <c r="J15" s="137">
        <f t="shared" si="2"/>
        <v>2777211926</v>
      </c>
      <c r="K15" s="137">
        <f t="shared" si="2"/>
        <v>2777211926</v>
      </c>
      <c r="L15" s="137">
        <f t="shared" si="2"/>
        <v>2777211926</v>
      </c>
      <c r="M15" s="137">
        <f t="shared" si="2"/>
        <v>2777211926</v>
      </c>
      <c r="N15" s="137">
        <f t="shared" si="2"/>
        <v>2777211926</v>
      </c>
      <c r="O15" s="137">
        <f t="shared" si="2"/>
        <v>2777211926</v>
      </c>
      <c r="P15" s="137">
        <f t="shared" si="2"/>
        <v>2777211926</v>
      </c>
      <c r="Q15" s="137">
        <f t="shared" si="2"/>
        <v>2777211926</v>
      </c>
      <c r="R15" s="137">
        <f t="shared" si="2"/>
        <v>2777211926</v>
      </c>
      <c r="S15" s="137"/>
      <c r="T15" s="137">
        <f t="shared" si="3"/>
        <v>665963000</v>
      </c>
      <c r="U15" s="137">
        <f t="shared" ref="U15" si="7">+U11+U13</f>
        <v>708918919</v>
      </c>
      <c r="V15" s="137">
        <f t="shared" ref="V15" si="8">+V11+V13</f>
        <v>741596786</v>
      </c>
      <c r="W15" s="137">
        <f t="shared" si="3"/>
        <v>0</v>
      </c>
      <c r="X15" s="137">
        <f t="shared" si="3"/>
        <v>0</v>
      </c>
      <c r="Y15" s="137">
        <f t="shared" si="3"/>
        <v>0</v>
      </c>
      <c r="Z15" s="137">
        <f t="shared" si="3"/>
        <v>0</v>
      </c>
      <c r="AA15" s="137">
        <f t="shared" si="3"/>
        <v>0</v>
      </c>
      <c r="AB15" s="137">
        <f t="shared" si="3"/>
        <v>0</v>
      </c>
      <c r="AC15" s="137">
        <f t="shared" si="3"/>
        <v>0</v>
      </c>
      <c r="AD15" s="137">
        <f t="shared" si="3"/>
        <v>0</v>
      </c>
      <c r="AE15" s="137">
        <f t="shared" si="3"/>
        <v>0</v>
      </c>
      <c r="AF15" s="137"/>
      <c r="AG15" s="361"/>
      <c r="AH15" s="361"/>
      <c r="AI15" s="361"/>
      <c r="AJ15" s="361"/>
      <c r="AK15" s="361"/>
      <c r="AL15" s="361"/>
      <c r="AM15" s="361"/>
      <c r="AN15" s="361"/>
      <c r="AO15" s="463"/>
      <c r="AP15" s="465"/>
      <c r="AQ15" s="361"/>
      <c r="AR15" s="361"/>
      <c r="AS15" s="361"/>
      <c r="AT15" s="361"/>
      <c r="AU15" s="361"/>
      <c r="AV15" s="361"/>
      <c r="AW15" s="361"/>
      <c r="AX15" s="459"/>
      <c r="AY15" s="461"/>
    </row>
    <row r="16" spans="1:55" ht="29.25" customHeight="1" x14ac:dyDescent="0.25">
      <c r="A16" s="452">
        <v>2</v>
      </c>
      <c r="B16" s="454" t="s">
        <v>332</v>
      </c>
      <c r="C16" s="456" t="s">
        <v>478</v>
      </c>
      <c r="D16" s="159" t="s">
        <v>40</v>
      </c>
      <c r="E16" s="324">
        <f>+INVERSIÓN!BF17</f>
        <v>6</v>
      </c>
      <c r="F16" s="324">
        <f>+E16</f>
        <v>6</v>
      </c>
      <c r="G16" s="324">
        <f>+INVERSIÓN!$CH$17</f>
        <v>6</v>
      </c>
      <c r="H16" s="324">
        <f>+INVERSIÓN!$CH$17</f>
        <v>6</v>
      </c>
      <c r="I16" s="324">
        <f>+INVERSIÓN!$CH$17</f>
        <v>6</v>
      </c>
      <c r="J16" s="324">
        <f>+INVERSIÓN!$CH$17</f>
        <v>6</v>
      </c>
      <c r="K16" s="324">
        <f>+INVERSIÓN!$CH$17</f>
        <v>6</v>
      </c>
      <c r="L16" s="324">
        <f>+INVERSIÓN!$CH$17</f>
        <v>6</v>
      </c>
      <c r="M16" s="324">
        <f>+INVERSIÓN!$CH$17</f>
        <v>6</v>
      </c>
      <c r="N16" s="324">
        <f>+INVERSIÓN!$CH$17</f>
        <v>6</v>
      </c>
      <c r="O16" s="324">
        <f>+INVERSIÓN!$CH$17</f>
        <v>6</v>
      </c>
      <c r="P16" s="324">
        <f>+INVERSIÓN!$CH$17</f>
        <v>6</v>
      </c>
      <c r="Q16" s="324">
        <f>+INVERSIÓN!$CH$17</f>
        <v>6</v>
      </c>
      <c r="R16" s="324">
        <f>+INVERSIÓN!$CH$17</f>
        <v>6</v>
      </c>
      <c r="S16" s="324"/>
      <c r="T16" s="324">
        <f>+INVERSIÓN!BH17</f>
        <v>0</v>
      </c>
      <c r="U16" s="324">
        <f>+INVERSIÓN!BJ17</f>
        <v>0.45</v>
      </c>
      <c r="V16" s="324">
        <f>+INVERSIÓN!BL17</f>
        <v>0.55000000000000004</v>
      </c>
      <c r="W16" s="324"/>
      <c r="X16" s="324"/>
      <c r="Y16" s="324"/>
      <c r="Z16" s="324"/>
      <c r="AA16" s="324"/>
      <c r="AB16" s="324"/>
      <c r="AC16" s="324"/>
      <c r="AD16" s="105"/>
      <c r="AE16" s="105"/>
      <c r="AF16" s="324"/>
      <c r="AG16" s="361" t="s">
        <v>328</v>
      </c>
      <c r="AH16" s="361" t="s">
        <v>329</v>
      </c>
      <c r="AI16" s="361" t="s">
        <v>329</v>
      </c>
      <c r="AJ16" s="361" t="s">
        <v>479</v>
      </c>
      <c r="AK16" s="361" t="s">
        <v>331</v>
      </c>
      <c r="AL16" s="361" t="s">
        <v>329</v>
      </c>
      <c r="AM16" s="361" t="s">
        <v>329</v>
      </c>
      <c r="AN16" s="361" t="s">
        <v>329</v>
      </c>
      <c r="AO16" s="463">
        <v>3751549</v>
      </c>
      <c r="AP16" s="465">
        <v>4082618</v>
      </c>
      <c r="AQ16" s="361" t="s">
        <v>329</v>
      </c>
      <c r="AR16" s="361" t="s">
        <v>329</v>
      </c>
      <c r="AS16" s="361" t="s">
        <v>329</v>
      </c>
      <c r="AT16" s="361" t="s">
        <v>329</v>
      </c>
      <c r="AU16" s="361" t="s">
        <v>329</v>
      </c>
      <c r="AV16" s="361" t="s">
        <v>329</v>
      </c>
      <c r="AW16" s="361" t="s">
        <v>329</v>
      </c>
      <c r="AX16" s="459">
        <f>+AO16+AP16</f>
        <v>7834167</v>
      </c>
      <c r="AY16" s="461"/>
    </row>
    <row r="17" spans="1:51" s="60" customFormat="1" ht="29.25" customHeight="1" x14ac:dyDescent="0.25">
      <c r="A17" s="452"/>
      <c r="B17" s="454"/>
      <c r="C17" s="456"/>
      <c r="D17" s="158" t="s">
        <v>3</v>
      </c>
      <c r="E17" s="124">
        <f>+INVERSIÓN!BF18</f>
        <v>6130432000</v>
      </c>
      <c r="F17" s="124">
        <f t="shared" ref="F17:F19" si="9">+E17</f>
        <v>6130432000</v>
      </c>
      <c r="G17" s="124">
        <f>+INVERSIÓN!$CH$18</f>
        <v>6219259000</v>
      </c>
      <c r="H17" s="124">
        <f>+INVERSIÓN!$CH$18</f>
        <v>6219259000</v>
      </c>
      <c r="I17" s="124">
        <f>+INVERSIÓN!$CH$18</f>
        <v>6219259000</v>
      </c>
      <c r="J17" s="124">
        <f>+INVERSIÓN!$CH$18</f>
        <v>6219259000</v>
      </c>
      <c r="K17" s="124">
        <f>+INVERSIÓN!$CH$18</f>
        <v>6219259000</v>
      </c>
      <c r="L17" s="124">
        <f>+INVERSIÓN!$CH$18</f>
        <v>6219259000</v>
      </c>
      <c r="M17" s="124">
        <f>+INVERSIÓN!$CH$18</f>
        <v>6219259000</v>
      </c>
      <c r="N17" s="124">
        <f>+INVERSIÓN!$CH$18</f>
        <v>6219259000</v>
      </c>
      <c r="O17" s="124">
        <f>+INVERSIÓN!$CH$18</f>
        <v>6219259000</v>
      </c>
      <c r="P17" s="124">
        <f>+INVERSIÓN!$CH$18</f>
        <v>6219259000</v>
      </c>
      <c r="Q17" s="124">
        <f>+INVERSIÓN!$CH$18</f>
        <v>6219259000</v>
      </c>
      <c r="R17" s="124">
        <f>+INVERSIÓN!$CH$18</f>
        <v>6219259000</v>
      </c>
      <c r="S17" s="137"/>
      <c r="T17" s="124">
        <f>+INVERSIÓN!BH18</f>
        <v>1835843000</v>
      </c>
      <c r="U17" s="124">
        <f>+INVERSIÓN!BJ18</f>
        <v>0</v>
      </c>
      <c r="V17" s="124">
        <f>INVERSIÓN!CI18</f>
        <v>1835843000</v>
      </c>
      <c r="W17" s="124"/>
      <c r="X17" s="124"/>
      <c r="Y17" s="124"/>
      <c r="Z17" s="124"/>
      <c r="AA17" s="124"/>
      <c r="AB17" s="124"/>
      <c r="AC17" s="124"/>
      <c r="AD17" s="124"/>
      <c r="AE17" s="105"/>
      <c r="AF17" s="137"/>
      <c r="AG17" s="361"/>
      <c r="AH17" s="361"/>
      <c r="AI17" s="361"/>
      <c r="AJ17" s="361"/>
      <c r="AK17" s="361"/>
      <c r="AL17" s="361"/>
      <c r="AM17" s="361"/>
      <c r="AN17" s="361"/>
      <c r="AO17" s="463"/>
      <c r="AP17" s="465"/>
      <c r="AQ17" s="361"/>
      <c r="AR17" s="361"/>
      <c r="AS17" s="361"/>
      <c r="AT17" s="361"/>
      <c r="AU17" s="361"/>
      <c r="AV17" s="361"/>
      <c r="AW17" s="361"/>
      <c r="AX17" s="459"/>
      <c r="AY17" s="461"/>
    </row>
    <row r="18" spans="1:51" ht="29.25" customHeight="1" x14ac:dyDescent="0.25">
      <c r="A18" s="452"/>
      <c r="B18" s="454"/>
      <c r="C18" s="456"/>
      <c r="D18" s="159" t="s">
        <v>41</v>
      </c>
      <c r="E18" s="324">
        <f>+INVERSIÓN!BF20</f>
        <v>0</v>
      </c>
      <c r="F18" s="324">
        <f t="shared" si="9"/>
        <v>0</v>
      </c>
      <c r="G18" s="324">
        <f>+INVERSIÓN!$CH$20</f>
        <v>0</v>
      </c>
      <c r="H18" s="324">
        <f>+INVERSIÓN!$CH$20</f>
        <v>0</v>
      </c>
      <c r="I18" s="324">
        <f>+INVERSIÓN!$CH$20</f>
        <v>0</v>
      </c>
      <c r="J18" s="324">
        <f>+INVERSIÓN!$CH$20</f>
        <v>0</v>
      </c>
      <c r="K18" s="324">
        <f>+INVERSIÓN!$CH$20</f>
        <v>0</v>
      </c>
      <c r="L18" s="324">
        <f>+INVERSIÓN!$CH$20</f>
        <v>0</v>
      </c>
      <c r="M18" s="324">
        <f>+INVERSIÓN!$CH$20</f>
        <v>0</v>
      </c>
      <c r="N18" s="324">
        <f>+INVERSIÓN!$CH$20</f>
        <v>0</v>
      </c>
      <c r="O18" s="324">
        <f>+INVERSIÓN!$CH$20</f>
        <v>0</v>
      </c>
      <c r="P18" s="324">
        <f>+INVERSIÓN!$CH$20</f>
        <v>0</v>
      </c>
      <c r="Q18" s="324">
        <f>+INVERSIÓN!$CH$20</f>
        <v>0</v>
      </c>
      <c r="R18" s="324">
        <f>+INVERSIÓN!$CH$20</f>
        <v>0</v>
      </c>
      <c r="S18" s="209"/>
      <c r="T18" s="324">
        <f>+INVERSIÓN!BH20</f>
        <v>0</v>
      </c>
      <c r="U18" s="324">
        <f>+INVERSIÓN!BJ20</f>
        <v>0</v>
      </c>
      <c r="V18" s="324">
        <f>+INVERSIÓN!BL20</f>
        <v>0</v>
      </c>
      <c r="W18" s="324"/>
      <c r="X18" s="324"/>
      <c r="Y18" s="324"/>
      <c r="Z18" s="324"/>
      <c r="AA18" s="324"/>
      <c r="AB18" s="324"/>
      <c r="AC18" s="324"/>
      <c r="AD18" s="105"/>
      <c r="AE18" s="105"/>
      <c r="AF18" s="209"/>
      <c r="AG18" s="361"/>
      <c r="AH18" s="361"/>
      <c r="AI18" s="361"/>
      <c r="AJ18" s="361"/>
      <c r="AK18" s="361"/>
      <c r="AL18" s="361"/>
      <c r="AM18" s="361"/>
      <c r="AN18" s="361"/>
      <c r="AO18" s="463"/>
      <c r="AP18" s="465"/>
      <c r="AQ18" s="361"/>
      <c r="AR18" s="361"/>
      <c r="AS18" s="361"/>
      <c r="AT18" s="361"/>
      <c r="AU18" s="361"/>
      <c r="AV18" s="361"/>
      <c r="AW18" s="361"/>
      <c r="AX18" s="459"/>
      <c r="AY18" s="461"/>
    </row>
    <row r="19" spans="1:51" s="60" customFormat="1" ht="29.25" customHeight="1" x14ac:dyDescent="0.25">
      <c r="A19" s="452"/>
      <c r="B19" s="454"/>
      <c r="C19" s="456"/>
      <c r="D19" s="158" t="s">
        <v>4</v>
      </c>
      <c r="E19" s="124">
        <f>+INVERSIÓN!BF21</f>
        <v>54863634</v>
      </c>
      <c r="F19" s="124">
        <f t="shared" si="9"/>
        <v>54863634</v>
      </c>
      <c r="G19" s="124">
        <f>+INVERSIÓN!$CH$21</f>
        <v>54863634</v>
      </c>
      <c r="H19" s="124">
        <f>+INVERSIÓN!$CH$21</f>
        <v>54863634</v>
      </c>
      <c r="I19" s="124">
        <f>+INVERSIÓN!$CH$21</f>
        <v>54863634</v>
      </c>
      <c r="J19" s="124">
        <f>+INVERSIÓN!$CH$21</f>
        <v>54863634</v>
      </c>
      <c r="K19" s="124">
        <f>+INVERSIÓN!$CH$21</f>
        <v>54863634</v>
      </c>
      <c r="L19" s="124">
        <f>+INVERSIÓN!$CH$21</f>
        <v>54863634</v>
      </c>
      <c r="M19" s="124">
        <f>+INVERSIÓN!$CH$21</f>
        <v>54863634</v>
      </c>
      <c r="N19" s="124">
        <f>+INVERSIÓN!$CH$21</f>
        <v>54863634</v>
      </c>
      <c r="O19" s="124">
        <f>+INVERSIÓN!$CH$21</f>
        <v>54863634</v>
      </c>
      <c r="P19" s="124">
        <f>+INVERSIÓN!$CH$21</f>
        <v>54863634</v>
      </c>
      <c r="Q19" s="124">
        <f>+INVERSIÓN!$CH$21</f>
        <v>54863634</v>
      </c>
      <c r="R19" s="124">
        <f>+INVERSIÓN!$CH$21</f>
        <v>54863634</v>
      </c>
      <c r="S19" s="137"/>
      <c r="T19" s="124">
        <f>+INVERSIÓN!BH21</f>
        <v>0</v>
      </c>
      <c r="U19" s="124">
        <f>+INVERSIÓN!BJ21</f>
        <v>45990566</v>
      </c>
      <c r="V19" s="124">
        <f>INVERSIÓN!CI21</f>
        <v>51544966</v>
      </c>
      <c r="W19" s="124"/>
      <c r="X19" s="124"/>
      <c r="Y19" s="124"/>
      <c r="Z19" s="124"/>
      <c r="AA19" s="124"/>
      <c r="AB19" s="124"/>
      <c r="AC19" s="124"/>
      <c r="AD19" s="137"/>
      <c r="AE19" s="137"/>
      <c r="AF19" s="137"/>
      <c r="AG19" s="361"/>
      <c r="AH19" s="361"/>
      <c r="AI19" s="361"/>
      <c r="AJ19" s="361"/>
      <c r="AK19" s="361"/>
      <c r="AL19" s="361"/>
      <c r="AM19" s="361"/>
      <c r="AN19" s="361"/>
      <c r="AO19" s="463"/>
      <c r="AP19" s="465"/>
      <c r="AQ19" s="361"/>
      <c r="AR19" s="361"/>
      <c r="AS19" s="361"/>
      <c r="AT19" s="361"/>
      <c r="AU19" s="361"/>
      <c r="AV19" s="361"/>
      <c r="AW19" s="361"/>
      <c r="AX19" s="459"/>
      <c r="AY19" s="461"/>
    </row>
    <row r="20" spans="1:51" ht="29.25" customHeight="1" x14ac:dyDescent="0.25">
      <c r="A20" s="452"/>
      <c r="B20" s="454"/>
      <c r="C20" s="456"/>
      <c r="D20" s="159" t="s">
        <v>42</v>
      </c>
      <c r="E20" s="104">
        <f t="shared" ref="E20:F21" si="10">+E16+E18</f>
        <v>6</v>
      </c>
      <c r="F20" s="104">
        <f t="shared" si="10"/>
        <v>6</v>
      </c>
      <c r="G20" s="105">
        <f t="shared" ref="G20:R21" si="11">+G16+G18</f>
        <v>6</v>
      </c>
      <c r="H20" s="105">
        <f t="shared" si="11"/>
        <v>6</v>
      </c>
      <c r="I20" s="105">
        <f t="shared" si="11"/>
        <v>6</v>
      </c>
      <c r="J20" s="105">
        <f t="shared" si="11"/>
        <v>6</v>
      </c>
      <c r="K20" s="105">
        <f t="shared" si="11"/>
        <v>6</v>
      </c>
      <c r="L20" s="105">
        <f t="shared" si="11"/>
        <v>6</v>
      </c>
      <c r="M20" s="105">
        <f t="shared" si="11"/>
        <v>6</v>
      </c>
      <c r="N20" s="105">
        <f t="shared" si="11"/>
        <v>6</v>
      </c>
      <c r="O20" s="105">
        <f t="shared" si="11"/>
        <v>6</v>
      </c>
      <c r="P20" s="105">
        <f t="shared" si="11"/>
        <v>6</v>
      </c>
      <c r="Q20" s="105">
        <f t="shared" si="11"/>
        <v>6</v>
      </c>
      <c r="R20" s="105">
        <f t="shared" si="11"/>
        <v>6</v>
      </c>
      <c r="S20" s="105"/>
      <c r="T20" s="105">
        <f t="shared" ref="T20:AE21" si="12">+T16+T18</f>
        <v>0</v>
      </c>
      <c r="U20" s="105">
        <f t="shared" ref="U20" si="13">+U16+U18</f>
        <v>0.45</v>
      </c>
      <c r="V20" s="105">
        <f t="shared" ref="V20" si="14">+V16+V18</f>
        <v>0.55000000000000004</v>
      </c>
      <c r="W20" s="105">
        <f t="shared" si="12"/>
        <v>0</v>
      </c>
      <c r="X20" s="105">
        <f t="shared" si="12"/>
        <v>0</v>
      </c>
      <c r="Y20" s="105">
        <f t="shared" si="12"/>
        <v>0</v>
      </c>
      <c r="Z20" s="105">
        <f t="shared" si="12"/>
        <v>0</v>
      </c>
      <c r="AA20" s="105">
        <f t="shared" si="12"/>
        <v>0</v>
      </c>
      <c r="AB20" s="105">
        <f t="shared" si="12"/>
        <v>0</v>
      </c>
      <c r="AC20" s="105">
        <f t="shared" si="12"/>
        <v>0</v>
      </c>
      <c r="AD20" s="105">
        <f t="shared" si="12"/>
        <v>0</v>
      </c>
      <c r="AE20" s="105">
        <f t="shared" si="12"/>
        <v>0</v>
      </c>
      <c r="AF20" s="209"/>
      <c r="AG20" s="361"/>
      <c r="AH20" s="361"/>
      <c r="AI20" s="361"/>
      <c r="AJ20" s="361"/>
      <c r="AK20" s="361"/>
      <c r="AL20" s="361"/>
      <c r="AM20" s="361"/>
      <c r="AN20" s="361"/>
      <c r="AO20" s="463"/>
      <c r="AP20" s="465"/>
      <c r="AQ20" s="361"/>
      <c r="AR20" s="361"/>
      <c r="AS20" s="361"/>
      <c r="AT20" s="361"/>
      <c r="AU20" s="361"/>
      <c r="AV20" s="361"/>
      <c r="AW20" s="361"/>
      <c r="AX20" s="459"/>
      <c r="AY20" s="461"/>
    </row>
    <row r="21" spans="1:51" s="61" customFormat="1" ht="29.25" customHeight="1" x14ac:dyDescent="0.25">
      <c r="A21" s="452"/>
      <c r="B21" s="454"/>
      <c r="C21" s="456"/>
      <c r="D21" s="158" t="s">
        <v>44</v>
      </c>
      <c r="E21" s="137">
        <f t="shared" si="10"/>
        <v>6185295634</v>
      </c>
      <c r="F21" s="137">
        <f t="shared" si="10"/>
        <v>6185295634</v>
      </c>
      <c r="G21" s="137">
        <f t="shared" si="11"/>
        <v>6274122634</v>
      </c>
      <c r="H21" s="137">
        <f t="shared" si="11"/>
        <v>6274122634</v>
      </c>
      <c r="I21" s="137">
        <f t="shared" si="11"/>
        <v>6274122634</v>
      </c>
      <c r="J21" s="137">
        <f t="shared" si="11"/>
        <v>6274122634</v>
      </c>
      <c r="K21" s="137">
        <f t="shared" si="11"/>
        <v>6274122634</v>
      </c>
      <c r="L21" s="137">
        <f t="shared" si="11"/>
        <v>6274122634</v>
      </c>
      <c r="M21" s="137">
        <f t="shared" si="11"/>
        <v>6274122634</v>
      </c>
      <c r="N21" s="137">
        <f t="shared" si="11"/>
        <v>6274122634</v>
      </c>
      <c r="O21" s="137">
        <f t="shared" si="11"/>
        <v>6274122634</v>
      </c>
      <c r="P21" s="137">
        <f t="shared" si="11"/>
        <v>6274122634</v>
      </c>
      <c r="Q21" s="137">
        <f t="shared" si="11"/>
        <v>6274122634</v>
      </c>
      <c r="R21" s="137">
        <f t="shared" si="11"/>
        <v>6274122634</v>
      </c>
      <c r="S21" s="137"/>
      <c r="T21" s="137">
        <f t="shared" si="12"/>
        <v>1835843000</v>
      </c>
      <c r="U21" s="137">
        <f t="shared" ref="U21" si="15">+U17+U19</f>
        <v>45990566</v>
      </c>
      <c r="V21" s="137">
        <f t="shared" ref="V21" si="16">+V17+V19</f>
        <v>1887387966</v>
      </c>
      <c r="W21" s="137">
        <f t="shared" si="12"/>
        <v>0</v>
      </c>
      <c r="X21" s="137">
        <f t="shared" si="12"/>
        <v>0</v>
      </c>
      <c r="Y21" s="137">
        <f t="shared" si="12"/>
        <v>0</v>
      </c>
      <c r="Z21" s="137">
        <f t="shared" si="12"/>
        <v>0</v>
      </c>
      <c r="AA21" s="137">
        <f t="shared" si="12"/>
        <v>0</v>
      </c>
      <c r="AB21" s="137">
        <f t="shared" si="12"/>
        <v>0</v>
      </c>
      <c r="AC21" s="137">
        <f t="shared" si="12"/>
        <v>0</v>
      </c>
      <c r="AD21" s="137">
        <f t="shared" si="12"/>
        <v>0</v>
      </c>
      <c r="AE21" s="137">
        <f t="shared" si="12"/>
        <v>0</v>
      </c>
      <c r="AF21" s="124"/>
      <c r="AG21" s="361"/>
      <c r="AH21" s="361"/>
      <c r="AI21" s="361"/>
      <c r="AJ21" s="361"/>
      <c r="AK21" s="361"/>
      <c r="AL21" s="361"/>
      <c r="AM21" s="361"/>
      <c r="AN21" s="361"/>
      <c r="AO21" s="463"/>
      <c r="AP21" s="465"/>
      <c r="AQ21" s="361"/>
      <c r="AR21" s="361"/>
      <c r="AS21" s="361"/>
      <c r="AT21" s="361"/>
      <c r="AU21" s="361"/>
      <c r="AV21" s="361"/>
      <c r="AW21" s="361"/>
      <c r="AX21" s="459"/>
      <c r="AY21" s="461"/>
    </row>
    <row r="22" spans="1:51" ht="29.25" customHeight="1" x14ac:dyDescent="0.25">
      <c r="A22" s="466">
        <v>3</v>
      </c>
      <c r="B22" s="468" t="s">
        <v>333</v>
      </c>
      <c r="C22" s="468" t="s">
        <v>480</v>
      </c>
      <c r="D22" s="159" t="s">
        <v>40</v>
      </c>
      <c r="E22" s="324">
        <f>+INVERSIÓN!BF24</f>
        <v>2</v>
      </c>
      <c r="F22" s="324">
        <f>+E22</f>
        <v>2</v>
      </c>
      <c r="G22" s="324">
        <f>+INVERSIÓN!$CH$24</f>
        <v>1.9999999999999996</v>
      </c>
      <c r="H22" s="324">
        <f>+INVERSIÓN!$CH$24</f>
        <v>1.9999999999999996</v>
      </c>
      <c r="I22" s="324">
        <f>+INVERSIÓN!$CH$24</f>
        <v>1.9999999999999996</v>
      </c>
      <c r="J22" s="324">
        <f>+INVERSIÓN!$CH$24</f>
        <v>1.9999999999999996</v>
      </c>
      <c r="K22" s="324">
        <f>+INVERSIÓN!$CH$24</f>
        <v>1.9999999999999996</v>
      </c>
      <c r="L22" s="324">
        <f>+INVERSIÓN!$CH$24</f>
        <v>1.9999999999999996</v>
      </c>
      <c r="M22" s="324">
        <f>+INVERSIÓN!$CH$24</f>
        <v>1.9999999999999996</v>
      </c>
      <c r="N22" s="324">
        <f>+INVERSIÓN!$CH$24</f>
        <v>1.9999999999999996</v>
      </c>
      <c r="O22" s="324">
        <f>+INVERSIÓN!$CH$24</f>
        <v>1.9999999999999996</v>
      </c>
      <c r="P22" s="324">
        <f>+INVERSIÓN!$CH$24</f>
        <v>1.9999999999999996</v>
      </c>
      <c r="Q22" s="324">
        <f>+INVERSIÓN!$CH$24</f>
        <v>1.9999999999999996</v>
      </c>
      <c r="R22" s="324">
        <f>+INVERSIÓN!$CH$24</f>
        <v>1.9999999999999996</v>
      </c>
      <c r="S22" s="324"/>
      <c r="T22" s="324">
        <f>+INVERSIÓN!BH24/2</f>
        <v>0</v>
      </c>
      <c r="U22" s="324">
        <f>+INVERSIÓN!BJ24/2</f>
        <v>0.16500000000000001</v>
      </c>
      <c r="V22" s="324">
        <f>+INVERSIÓN!CI24/2</f>
        <v>0.25</v>
      </c>
      <c r="W22" s="324"/>
      <c r="X22" s="324"/>
      <c r="Y22" s="324"/>
      <c r="Z22" s="324"/>
      <c r="AA22" s="324"/>
      <c r="AB22" s="324"/>
      <c r="AC22" s="324"/>
      <c r="AD22" s="105"/>
      <c r="AE22" s="105"/>
      <c r="AF22" s="324"/>
      <c r="AG22" s="361" t="s">
        <v>328</v>
      </c>
      <c r="AH22" s="361" t="s">
        <v>329</v>
      </c>
      <c r="AI22" s="361" t="s">
        <v>329</v>
      </c>
      <c r="AJ22" s="361" t="s">
        <v>331</v>
      </c>
      <c r="AK22" s="361" t="s">
        <v>331</v>
      </c>
      <c r="AL22" s="361" t="s">
        <v>329</v>
      </c>
      <c r="AM22" s="361" t="s">
        <v>329</v>
      </c>
      <c r="AN22" s="361" t="s">
        <v>329</v>
      </c>
      <c r="AO22" s="463">
        <v>3751549</v>
      </c>
      <c r="AP22" s="465">
        <v>4082618</v>
      </c>
      <c r="AQ22" s="361" t="s">
        <v>329</v>
      </c>
      <c r="AR22" s="361" t="s">
        <v>329</v>
      </c>
      <c r="AS22" s="361" t="s">
        <v>329</v>
      </c>
      <c r="AT22" s="361" t="s">
        <v>329</v>
      </c>
      <c r="AU22" s="361" t="s">
        <v>329</v>
      </c>
      <c r="AV22" s="361" t="s">
        <v>329</v>
      </c>
      <c r="AW22" s="361" t="s">
        <v>329</v>
      </c>
      <c r="AX22" s="459">
        <f>+AO22+AP22</f>
        <v>7834167</v>
      </c>
      <c r="AY22" s="461"/>
    </row>
    <row r="23" spans="1:51" s="34" customFormat="1" ht="29.25" customHeight="1" x14ac:dyDescent="0.25">
      <c r="A23" s="467"/>
      <c r="B23" s="469"/>
      <c r="C23" s="469"/>
      <c r="D23" s="158" t="s">
        <v>3</v>
      </c>
      <c r="E23" s="124">
        <f>+INVERSIÓN!BF25</f>
        <v>3364237000</v>
      </c>
      <c r="F23" s="124">
        <f t="shared" ref="F23:F25" si="17">+E23</f>
        <v>3364237000</v>
      </c>
      <c r="G23" s="124">
        <f>+INVERSIÓN!$CH$25</f>
        <v>3364237000</v>
      </c>
      <c r="H23" s="124">
        <f>+INVERSIÓN!$CH$25</f>
        <v>3364237000</v>
      </c>
      <c r="I23" s="124">
        <f>+INVERSIÓN!$CH$25</f>
        <v>3364237000</v>
      </c>
      <c r="J23" s="124">
        <f>+INVERSIÓN!$CH$25</f>
        <v>3364237000</v>
      </c>
      <c r="K23" s="124">
        <f>+INVERSIÓN!$CH$25</f>
        <v>3364237000</v>
      </c>
      <c r="L23" s="124">
        <f>+INVERSIÓN!$CH$25</f>
        <v>3364237000</v>
      </c>
      <c r="M23" s="124">
        <f>+INVERSIÓN!$CH$25</f>
        <v>3364237000</v>
      </c>
      <c r="N23" s="124">
        <f>+INVERSIÓN!$CH$25</f>
        <v>3364237000</v>
      </c>
      <c r="O23" s="124">
        <f>+INVERSIÓN!$CH$25</f>
        <v>3364237000</v>
      </c>
      <c r="P23" s="124">
        <f>+INVERSIÓN!$CH$25</f>
        <v>3364237000</v>
      </c>
      <c r="Q23" s="124">
        <f>+INVERSIÓN!$CH$25</f>
        <v>3364237000</v>
      </c>
      <c r="R23" s="124">
        <f>+INVERSIÓN!$CH$25</f>
        <v>3364237000</v>
      </c>
      <c r="S23" s="124"/>
      <c r="T23" s="124">
        <f>+INVERSIÓN!BH25/2</f>
        <v>1267319454</v>
      </c>
      <c r="U23" s="124">
        <f>+INVERSIÓN!BJ25/2</f>
        <v>0</v>
      </c>
      <c r="V23" s="124">
        <f>INVERSIÓN!CI25/2</f>
        <v>1292319454</v>
      </c>
      <c r="W23" s="124"/>
      <c r="X23" s="124"/>
      <c r="Y23" s="124"/>
      <c r="Z23" s="124"/>
      <c r="AA23" s="124"/>
      <c r="AB23" s="124"/>
      <c r="AC23" s="124"/>
      <c r="AD23" s="137"/>
      <c r="AE23" s="137"/>
      <c r="AF23" s="267"/>
      <c r="AG23" s="361"/>
      <c r="AH23" s="361"/>
      <c r="AI23" s="361"/>
      <c r="AJ23" s="361"/>
      <c r="AK23" s="361"/>
      <c r="AL23" s="361"/>
      <c r="AM23" s="361"/>
      <c r="AN23" s="361"/>
      <c r="AO23" s="463"/>
      <c r="AP23" s="465"/>
      <c r="AQ23" s="361"/>
      <c r="AR23" s="361"/>
      <c r="AS23" s="361"/>
      <c r="AT23" s="361"/>
      <c r="AU23" s="361"/>
      <c r="AV23" s="361"/>
      <c r="AW23" s="361"/>
      <c r="AX23" s="459"/>
      <c r="AY23" s="461"/>
    </row>
    <row r="24" spans="1:51" ht="29.25" customHeight="1" x14ac:dyDescent="0.25">
      <c r="A24" s="467"/>
      <c r="B24" s="469"/>
      <c r="C24" s="469"/>
      <c r="D24" s="159" t="s">
        <v>41</v>
      </c>
      <c r="E24" s="324">
        <f>+INVERSIÓN!BF27</f>
        <v>0</v>
      </c>
      <c r="F24" s="324">
        <f t="shared" si="17"/>
        <v>0</v>
      </c>
      <c r="G24" s="324">
        <f>+INVERSIÓN!$CH$27</f>
        <v>0</v>
      </c>
      <c r="H24" s="324">
        <f>+INVERSIÓN!$CH$27</f>
        <v>0</v>
      </c>
      <c r="I24" s="324">
        <f>+INVERSIÓN!$CH$27</f>
        <v>0</v>
      </c>
      <c r="J24" s="324">
        <f>+INVERSIÓN!$CH$27</f>
        <v>0</v>
      </c>
      <c r="K24" s="324">
        <f>+INVERSIÓN!$CH$27</f>
        <v>0</v>
      </c>
      <c r="L24" s="324">
        <f>+INVERSIÓN!$CH$27</f>
        <v>0</v>
      </c>
      <c r="M24" s="324">
        <f>+INVERSIÓN!$CH$27</f>
        <v>0</v>
      </c>
      <c r="N24" s="324">
        <f>+INVERSIÓN!$CH$27</f>
        <v>0</v>
      </c>
      <c r="O24" s="324">
        <f>+INVERSIÓN!$CH$27</f>
        <v>0</v>
      </c>
      <c r="P24" s="324">
        <f>+INVERSIÓN!$CH$27</f>
        <v>0</v>
      </c>
      <c r="Q24" s="324">
        <f>+INVERSIÓN!$CH$27</f>
        <v>0</v>
      </c>
      <c r="R24" s="324">
        <f>+INVERSIÓN!$CH$27</f>
        <v>0</v>
      </c>
      <c r="S24" s="324"/>
      <c r="T24" s="324">
        <f>+INVERSIÓN!BH27/2</f>
        <v>0</v>
      </c>
      <c r="U24" s="324">
        <f>+INVERSIÓN!BJ27/2</f>
        <v>0</v>
      </c>
      <c r="V24" s="324">
        <f>+INVERSIÓN!BL27/2</f>
        <v>0</v>
      </c>
      <c r="W24" s="324"/>
      <c r="X24" s="324"/>
      <c r="Y24" s="324"/>
      <c r="Z24" s="324"/>
      <c r="AA24" s="324"/>
      <c r="AB24" s="324"/>
      <c r="AC24" s="324"/>
      <c r="AD24" s="324"/>
      <c r="AE24" s="105"/>
      <c r="AF24" s="209"/>
      <c r="AG24" s="361"/>
      <c r="AH24" s="361"/>
      <c r="AI24" s="361"/>
      <c r="AJ24" s="361"/>
      <c r="AK24" s="361"/>
      <c r="AL24" s="361"/>
      <c r="AM24" s="361"/>
      <c r="AN24" s="361"/>
      <c r="AO24" s="463"/>
      <c r="AP24" s="465"/>
      <c r="AQ24" s="361"/>
      <c r="AR24" s="361"/>
      <c r="AS24" s="361"/>
      <c r="AT24" s="361"/>
      <c r="AU24" s="361"/>
      <c r="AV24" s="361"/>
      <c r="AW24" s="361"/>
      <c r="AX24" s="459"/>
      <c r="AY24" s="461"/>
    </row>
    <row r="25" spans="1:51" ht="29.25" customHeight="1" x14ac:dyDescent="0.25">
      <c r="A25" s="467"/>
      <c r="B25" s="469"/>
      <c r="C25" s="469"/>
      <c r="D25" s="158" t="s">
        <v>4</v>
      </c>
      <c r="E25" s="124">
        <f>+INVERSIÓN!BF28</f>
        <v>458869849</v>
      </c>
      <c r="F25" s="124">
        <f t="shared" si="17"/>
        <v>458869849</v>
      </c>
      <c r="G25" s="124">
        <f>+INVERSIÓN!$CH$28</f>
        <v>458869849</v>
      </c>
      <c r="H25" s="124">
        <f>+INVERSIÓN!$CH$28</f>
        <v>458869849</v>
      </c>
      <c r="I25" s="124">
        <f>+INVERSIÓN!$CH$28</f>
        <v>458869849</v>
      </c>
      <c r="J25" s="124">
        <f>+INVERSIÓN!$CH$28</f>
        <v>458869849</v>
      </c>
      <c r="K25" s="124">
        <f>+INVERSIÓN!$CH$28</f>
        <v>458869849</v>
      </c>
      <c r="L25" s="124">
        <f>+INVERSIÓN!$CH$28</f>
        <v>458869849</v>
      </c>
      <c r="M25" s="124">
        <f>+INVERSIÓN!$CH$28</f>
        <v>458869849</v>
      </c>
      <c r="N25" s="124">
        <f>+INVERSIÓN!$CH$28</f>
        <v>458869849</v>
      </c>
      <c r="O25" s="124">
        <f>+INVERSIÓN!$CH$28</f>
        <v>458869849</v>
      </c>
      <c r="P25" s="124">
        <f>+INVERSIÓN!$CH$28</f>
        <v>458869849</v>
      </c>
      <c r="Q25" s="124">
        <f>+INVERSIÓN!$CH$28</f>
        <v>458869849</v>
      </c>
      <c r="R25" s="124">
        <f>+INVERSIÓN!$CH$28</f>
        <v>458869849</v>
      </c>
      <c r="S25" s="124"/>
      <c r="T25" s="124">
        <f>+INVERSIÓN!BH28/2</f>
        <v>0</v>
      </c>
      <c r="U25" s="124">
        <f>+INVERSIÓN!BJ28/2</f>
        <v>35531417</v>
      </c>
      <c r="V25" s="124">
        <f>INVERSIÓN!CI28/2</f>
        <v>72287250</v>
      </c>
      <c r="W25" s="124"/>
      <c r="X25" s="124"/>
      <c r="Y25" s="124"/>
      <c r="Z25" s="124"/>
      <c r="AA25" s="124"/>
      <c r="AB25" s="124"/>
      <c r="AC25" s="124"/>
      <c r="AD25" s="137"/>
      <c r="AE25" s="137"/>
      <c r="AF25" s="137"/>
      <c r="AG25" s="361"/>
      <c r="AH25" s="361"/>
      <c r="AI25" s="361"/>
      <c r="AJ25" s="361"/>
      <c r="AK25" s="361"/>
      <c r="AL25" s="361"/>
      <c r="AM25" s="361"/>
      <c r="AN25" s="361"/>
      <c r="AO25" s="463"/>
      <c r="AP25" s="465"/>
      <c r="AQ25" s="361"/>
      <c r="AR25" s="361"/>
      <c r="AS25" s="361"/>
      <c r="AT25" s="361"/>
      <c r="AU25" s="361"/>
      <c r="AV25" s="361"/>
      <c r="AW25" s="361"/>
      <c r="AX25" s="459"/>
      <c r="AY25" s="461"/>
    </row>
    <row r="26" spans="1:51" ht="29.25" customHeight="1" x14ac:dyDescent="0.25">
      <c r="A26" s="467"/>
      <c r="B26" s="469"/>
      <c r="C26" s="469"/>
      <c r="D26" s="159" t="s">
        <v>42</v>
      </c>
      <c r="E26" s="104">
        <f t="shared" ref="E26:F27" si="18">+E22+E24</f>
        <v>2</v>
      </c>
      <c r="F26" s="104">
        <f t="shared" si="18"/>
        <v>2</v>
      </c>
      <c r="G26" s="105">
        <f t="shared" ref="G26:R27" si="19">+G22+G24</f>
        <v>1.9999999999999996</v>
      </c>
      <c r="H26" s="105">
        <f t="shared" si="19"/>
        <v>1.9999999999999996</v>
      </c>
      <c r="I26" s="105">
        <f t="shared" si="19"/>
        <v>1.9999999999999996</v>
      </c>
      <c r="J26" s="105">
        <f t="shared" si="19"/>
        <v>1.9999999999999996</v>
      </c>
      <c r="K26" s="105">
        <f t="shared" si="19"/>
        <v>1.9999999999999996</v>
      </c>
      <c r="L26" s="105">
        <f t="shared" si="19"/>
        <v>1.9999999999999996</v>
      </c>
      <c r="M26" s="105">
        <f t="shared" si="19"/>
        <v>1.9999999999999996</v>
      </c>
      <c r="N26" s="105">
        <f t="shared" si="19"/>
        <v>1.9999999999999996</v>
      </c>
      <c r="O26" s="105">
        <f t="shared" si="19"/>
        <v>1.9999999999999996</v>
      </c>
      <c r="P26" s="105">
        <f t="shared" si="19"/>
        <v>1.9999999999999996</v>
      </c>
      <c r="Q26" s="105">
        <f t="shared" si="19"/>
        <v>1.9999999999999996</v>
      </c>
      <c r="R26" s="105">
        <f t="shared" si="19"/>
        <v>1.9999999999999996</v>
      </c>
      <c r="S26" s="105"/>
      <c r="T26" s="105">
        <f t="shared" ref="T26:AE27" si="20">+T22+T24</f>
        <v>0</v>
      </c>
      <c r="U26" s="105">
        <f t="shared" ref="U26" si="21">+U22+U24</f>
        <v>0.16500000000000001</v>
      </c>
      <c r="V26" s="105">
        <f t="shared" ref="V26" si="22">+V22+V24</f>
        <v>0.25</v>
      </c>
      <c r="W26" s="105">
        <f t="shared" si="20"/>
        <v>0</v>
      </c>
      <c r="X26" s="105">
        <f t="shared" si="20"/>
        <v>0</v>
      </c>
      <c r="Y26" s="105">
        <f t="shared" si="20"/>
        <v>0</v>
      </c>
      <c r="Z26" s="105">
        <f t="shared" si="20"/>
        <v>0</v>
      </c>
      <c r="AA26" s="105">
        <f t="shared" si="20"/>
        <v>0</v>
      </c>
      <c r="AB26" s="105">
        <f t="shared" si="20"/>
        <v>0</v>
      </c>
      <c r="AC26" s="105">
        <f t="shared" si="20"/>
        <v>0</v>
      </c>
      <c r="AD26" s="105">
        <f t="shared" si="20"/>
        <v>0</v>
      </c>
      <c r="AE26" s="105">
        <f t="shared" si="20"/>
        <v>0</v>
      </c>
      <c r="AF26" s="209"/>
      <c r="AG26" s="361"/>
      <c r="AH26" s="361"/>
      <c r="AI26" s="361"/>
      <c r="AJ26" s="361"/>
      <c r="AK26" s="361"/>
      <c r="AL26" s="361"/>
      <c r="AM26" s="361"/>
      <c r="AN26" s="361"/>
      <c r="AO26" s="463"/>
      <c r="AP26" s="465"/>
      <c r="AQ26" s="361"/>
      <c r="AR26" s="361"/>
      <c r="AS26" s="361"/>
      <c r="AT26" s="361"/>
      <c r="AU26" s="361"/>
      <c r="AV26" s="361"/>
      <c r="AW26" s="361"/>
      <c r="AX26" s="459"/>
      <c r="AY26" s="461"/>
    </row>
    <row r="27" spans="1:51" ht="29.25" customHeight="1" x14ac:dyDescent="0.25">
      <c r="A27" s="467"/>
      <c r="B27" s="469"/>
      <c r="C27" s="469"/>
      <c r="D27" s="158" t="s">
        <v>44</v>
      </c>
      <c r="E27" s="137">
        <f t="shared" si="18"/>
        <v>3823106849</v>
      </c>
      <c r="F27" s="137">
        <f t="shared" si="18"/>
        <v>3823106849</v>
      </c>
      <c r="G27" s="137">
        <f t="shared" si="19"/>
        <v>3823106849</v>
      </c>
      <c r="H27" s="137">
        <f t="shared" si="19"/>
        <v>3823106849</v>
      </c>
      <c r="I27" s="137">
        <f t="shared" si="19"/>
        <v>3823106849</v>
      </c>
      <c r="J27" s="137">
        <f t="shared" si="19"/>
        <v>3823106849</v>
      </c>
      <c r="K27" s="137">
        <f t="shared" si="19"/>
        <v>3823106849</v>
      </c>
      <c r="L27" s="137">
        <f t="shared" si="19"/>
        <v>3823106849</v>
      </c>
      <c r="M27" s="137">
        <f t="shared" si="19"/>
        <v>3823106849</v>
      </c>
      <c r="N27" s="137">
        <f t="shared" si="19"/>
        <v>3823106849</v>
      </c>
      <c r="O27" s="137">
        <f t="shared" si="19"/>
        <v>3823106849</v>
      </c>
      <c r="P27" s="137">
        <f t="shared" si="19"/>
        <v>3823106849</v>
      </c>
      <c r="Q27" s="137">
        <f t="shared" si="19"/>
        <v>3823106849</v>
      </c>
      <c r="R27" s="137">
        <f t="shared" si="19"/>
        <v>3823106849</v>
      </c>
      <c r="S27" s="137"/>
      <c r="T27" s="137">
        <f t="shared" si="20"/>
        <v>1267319454</v>
      </c>
      <c r="U27" s="137">
        <f t="shared" ref="U27" si="23">+U23+U25</f>
        <v>35531417</v>
      </c>
      <c r="V27" s="137">
        <f t="shared" ref="V27" si="24">+V23+V25</f>
        <v>1364606704</v>
      </c>
      <c r="W27" s="137">
        <f t="shared" si="20"/>
        <v>0</v>
      </c>
      <c r="X27" s="137">
        <f t="shared" si="20"/>
        <v>0</v>
      </c>
      <c r="Y27" s="137">
        <f t="shared" si="20"/>
        <v>0</v>
      </c>
      <c r="Z27" s="137">
        <f t="shared" si="20"/>
        <v>0</v>
      </c>
      <c r="AA27" s="137">
        <f t="shared" si="20"/>
        <v>0</v>
      </c>
      <c r="AB27" s="137">
        <f t="shared" si="20"/>
        <v>0</v>
      </c>
      <c r="AC27" s="137">
        <f t="shared" si="20"/>
        <v>0</v>
      </c>
      <c r="AD27" s="137">
        <f t="shared" si="20"/>
        <v>0</v>
      </c>
      <c r="AE27" s="137">
        <f t="shared" si="20"/>
        <v>0</v>
      </c>
      <c r="AF27" s="124"/>
      <c r="AG27" s="361"/>
      <c r="AH27" s="361"/>
      <c r="AI27" s="361"/>
      <c r="AJ27" s="361"/>
      <c r="AK27" s="361"/>
      <c r="AL27" s="361"/>
      <c r="AM27" s="361"/>
      <c r="AN27" s="361"/>
      <c r="AO27" s="463"/>
      <c r="AP27" s="465"/>
      <c r="AQ27" s="361"/>
      <c r="AR27" s="361"/>
      <c r="AS27" s="361"/>
      <c r="AT27" s="361"/>
      <c r="AU27" s="361"/>
      <c r="AV27" s="361"/>
      <c r="AW27" s="361"/>
      <c r="AX27" s="459"/>
      <c r="AY27" s="461"/>
    </row>
    <row r="28" spans="1:51" ht="29.25" customHeight="1" x14ac:dyDescent="0.25">
      <c r="A28" s="467"/>
      <c r="B28" s="469"/>
      <c r="C28" s="468" t="s">
        <v>481</v>
      </c>
      <c r="D28" s="159" t="s">
        <v>40</v>
      </c>
      <c r="E28" s="324" t="s">
        <v>278</v>
      </c>
      <c r="F28" s="209" t="s">
        <v>278</v>
      </c>
      <c r="G28" s="209" t="s">
        <v>278</v>
      </c>
      <c r="H28" s="209" t="s">
        <v>278</v>
      </c>
      <c r="I28" s="209" t="s">
        <v>278</v>
      </c>
      <c r="J28" s="209" t="s">
        <v>278</v>
      </c>
      <c r="K28" s="209" t="s">
        <v>278</v>
      </c>
      <c r="L28" s="209" t="s">
        <v>278</v>
      </c>
      <c r="M28" s="209" t="s">
        <v>278</v>
      </c>
      <c r="N28" s="324" t="s">
        <v>278</v>
      </c>
      <c r="O28" s="324" t="s">
        <v>278</v>
      </c>
      <c r="P28" s="324" t="s">
        <v>278</v>
      </c>
      <c r="Q28" s="324" t="s">
        <v>278</v>
      </c>
      <c r="R28" s="324" t="s">
        <v>278</v>
      </c>
      <c r="S28" s="324"/>
      <c r="T28" s="324">
        <f>+INVERSIÓN!BH24/2</f>
        <v>0</v>
      </c>
      <c r="U28" s="324">
        <f>+INVERSIÓN!BJ24/2</f>
        <v>0.16500000000000001</v>
      </c>
      <c r="V28" s="324">
        <f>INVERSIÓN!CI24/2</f>
        <v>0.25</v>
      </c>
      <c r="W28" s="324"/>
      <c r="X28" s="324"/>
      <c r="Y28" s="324"/>
      <c r="Z28" s="324"/>
      <c r="AA28" s="105"/>
      <c r="AB28" s="105"/>
      <c r="AC28" s="105"/>
      <c r="AD28" s="105"/>
      <c r="AE28" s="105"/>
      <c r="AF28" s="324"/>
      <c r="AG28" s="361" t="s">
        <v>328</v>
      </c>
      <c r="AH28" s="361" t="s">
        <v>329</v>
      </c>
      <c r="AI28" s="361" t="s">
        <v>329</v>
      </c>
      <c r="AJ28" s="361" t="s">
        <v>331</v>
      </c>
      <c r="AK28" s="361" t="s">
        <v>331</v>
      </c>
      <c r="AL28" s="361" t="s">
        <v>329</v>
      </c>
      <c r="AM28" s="361" t="s">
        <v>329</v>
      </c>
      <c r="AN28" s="361" t="s">
        <v>329</v>
      </c>
      <c r="AO28" s="463">
        <v>3751549</v>
      </c>
      <c r="AP28" s="465">
        <v>4082618</v>
      </c>
      <c r="AQ28" s="361" t="s">
        <v>329</v>
      </c>
      <c r="AR28" s="361" t="s">
        <v>329</v>
      </c>
      <c r="AS28" s="361" t="s">
        <v>329</v>
      </c>
      <c r="AT28" s="361" t="s">
        <v>329</v>
      </c>
      <c r="AU28" s="361" t="s">
        <v>329</v>
      </c>
      <c r="AV28" s="361" t="s">
        <v>329</v>
      </c>
      <c r="AW28" s="361" t="s">
        <v>329</v>
      </c>
      <c r="AX28" s="459">
        <f>+AO28+AP28</f>
        <v>7834167</v>
      </c>
      <c r="AY28" s="461"/>
    </row>
    <row r="29" spans="1:51" s="34" customFormat="1" ht="29.25" customHeight="1" x14ac:dyDescent="0.25">
      <c r="A29" s="467"/>
      <c r="B29" s="469"/>
      <c r="C29" s="469"/>
      <c r="D29" s="158" t="s">
        <v>3</v>
      </c>
      <c r="E29" s="324" t="s">
        <v>278</v>
      </c>
      <c r="F29" s="137" t="s">
        <v>278</v>
      </c>
      <c r="G29" s="137" t="s">
        <v>278</v>
      </c>
      <c r="H29" s="137" t="s">
        <v>278</v>
      </c>
      <c r="I29" s="137" t="s">
        <v>278</v>
      </c>
      <c r="J29" s="137" t="s">
        <v>278</v>
      </c>
      <c r="K29" s="137" t="s">
        <v>278</v>
      </c>
      <c r="L29" s="137" t="s">
        <v>278</v>
      </c>
      <c r="M29" s="137" t="s">
        <v>278</v>
      </c>
      <c r="N29" s="124" t="s">
        <v>278</v>
      </c>
      <c r="O29" s="124" t="s">
        <v>278</v>
      </c>
      <c r="P29" s="124" t="s">
        <v>278</v>
      </c>
      <c r="Q29" s="124" t="s">
        <v>278</v>
      </c>
      <c r="R29" s="124" t="s">
        <v>278</v>
      </c>
      <c r="S29" s="124"/>
      <c r="T29" s="124">
        <f>+INVERSIÓN!BH25/2</f>
        <v>1267319454</v>
      </c>
      <c r="U29" s="124">
        <f>+INVERSIÓN!BJ25/2</f>
        <v>0</v>
      </c>
      <c r="V29" s="124">
        <f>INVERSIÓN!CI25/2</f>
        <v>1292319454</v>
      </c>
      <c r="W29" s="124"/>
      <c r="X29" s="124"/>
      <c r="Y29" s="124"/>
      <c r="Z29" s="124"/>
      <c r="AA29" s="137"/>
      <c r="AB29" s="137"/>
      <c r="AC29" s="137"/>
      <c r="AD29" s="137"/>
      <c r="AE29" s="137"/>
      <c r="AF29" s="137"/>
      <c r="AG29" s="361"/>
      <c r="AH29" s="361"/>
      <c r="AI29" s="361"/>
      <c r="AJ29" s="361"/>
      <c r="AK29" s="361"/>
      <c r="AL29" s="361"/>
      <c r="AM29" s="361"/>
      <c r="AN29" s="361"/>
      <c r="AO29" s="463"/>
      <c r="AP29" s="465"/>
      <c r="AQ29" s="361"/>
      <c r="AR29" s="361"/>
      <c r="AS29" s="361"/>
      <c r="AT29" s="361"/>
      <c r="AU29" s="361"/>
      <c r="AV29" s="361"/>
      <c r="AW29" s="361"/>
      <c r="AX29" s="459"/>
      <c r="AY29" s="461"/>
    </row>
    <row r="30" spans="1:51" ht="29.25" customHeight="1" x14ac:dyDescent="0.25">
      <c r="A30" s="467"/>
      <c r="B30" s="469"/>
      <c r="C30" s="469"/>
      <c r="D30" s="159" t="s">
        <v>41</v>
      </c>
      <c r="E30" s="324" t="s">
        <v>278</v>
      </c>
      <c r="F30" s="209" t="s">
        <v>278</v>
      </c>
      <c r="G30" s="209" t="s">
        <v>278</v>
      </c>
      <c r="H30" s="209" t="s">
        <v>278</v>
      </c>
      <c r="I30" s="209" t="s">
        <v>278</v>
      </c>
      <c r="J30" s="209" t="s">
        <v>278</v>
      </c>
      <c r="K30" s="209" t="s">
        <v>278</v>
      </c>
      <c r="L30" s="209" t="s">
        <v>278</v>
      </c>
      <c r="M30" s="209" t="s">
        <v>278</v>
      </c>
      <c r="N30" s="324" t="s">
        <v>278</v>
      </c>
      <c r="O30" s="324" t="s">
        <v>278</v>
      </c>
      <c r="P30" s="324" t="s">
        <v>278</v>
      </c>
      <c r="Q30" s="324" t="s">
        <v>278</v>
      </c>
      <c r="R30" s="324" t="s">
        <v>278</v>
      </c>
      <c r="S30" s="324"/>
      <c r="T30" s="324">
        <f>+INVERSIÓN!BH27/2</f>
        <v>0</v>
      </c>
      <c r="U30" s="324">
        <f>+INVERSIÓN!BJ27/2</f>
        <v>0</v>
      </c>
      <c r="V30" s="324">
        <f>+INVERSIÓN!BL27/2</f>
        <v>0</v>
      </c>
      <c r="W30" s="324"/>
      <c r="X30" s="324"/>
      <c r="Y30" s="324"/>
      <c r="Z30" s="324"/>
      <c r="AA30" s="324"/>
      <c r="AB30" s="324"/>
      <c r="AC30" s="324"/>
      <c r="AD30" s="324"/>
      <c r="AE30" s="137"/>
      <c r="AF30" s="209"/>
      <c r="AG30" s="361"/>
      <c r="AH30" s="361"/>
      <c r="AI30" s="361"/>
      <c r="AJ30" s="361"/>
      <c r="AK30" s="361"/>
      <c r="AL30" s="361"/>
      <c r="AM30" s="361"/>
      <c r="AN30" s="361"/>
      <c r="AO30" s="463"/>
      <c r="AP30" s="465"/>
      <c r="AQ30" s="361"/>
      <c r="AR30" s="361"/>
      <c r="AS30" s="361"/>
      <c r="AT30" s="361"/>
      <c r="AU30" s="361"/>
      <c r="AV30" s="361"/>
      <c r="AW30" s="361"/>
      <c r="AX30" s="459"/>
      <c r="AY30" s="461"/>
    </row>
    <row r="31" spans="1:51" ht="29.25" customHeight="1" x14ac:dyDescent="0.25">
      <c r="A31" s="467"/>
      <c r="B31" s="469"/>
      <c r="C31" s="469"/>
      <c r="D31" s="158" t="s">
        <v>4</v>
      </c>
      <c r="E31" s="324" t="s">
        <v>278</v>
      </c>
      <c r="F31" s="137" t="s">
        <v>278</v>
      </c>
      <c r="G31" s="137" t="s">
        <v>278</v>
      </c>
      <c r="H31" s="137" t="s">
        <v>278</v>
      </c>
      <c r="I31" s="137" t="s">
        <v>278</v>
      </c>
      <c r="J31" s="137" t="s">
        <v>278</v>
      </c>
      <c r="K31" s="137" t="s">
        <v>278</v>
      </c>
      <c r="L31" s="137" t="s">
        <v>278</v>
      </c>
      <c r="M31" s="137" t="s">
        <v>278</v>
      </c>
      <c r="N31" s="124" t="s">
        <v>278</v>
      </c>
      <c r="O31" s="124" t="s">
        <v>278</v>
      </c>
      <c r="P31" s="124" t="s">
        <v>278</v>
      </c>
      <c r="Q31" s="124" t="s">
        <v>278</v>
      </c>
      <c r="R31" s="124" t="s">
        <v>278</v>
      </c>
      <c r="S31" s="124"/>
      <c r="T31" s="124">
        <f>+INVERSIÓN!BH28/2</f>
        <v>0</v>
      </c>
      <c r="U31" s="124">
        <f>+INVERSIÓN!BJ28/2</f>
        <v>35531417</v>
      </c>
      <c r="V31" s="124">
        <f>INVERSIÓN!CI28/2</f>
        <v>72287250</v>
      </c>
      <c r="W31" s="124"/>
      <c r="X31" s="124"/>
      <c r="Y31" s="124"/>
      <c r="Z31" s="124"/>
      <c r="AA31" s="137"/>
      <c r="AB31" s="137"/>
      <c r="AC31" s="137"/>
      <c r="AD31" s="137"/>
      <c r="AE31" s="137"/>
      <c r="AF31" s="137"/>
      <c r="AG31" s="361"/>
      <c r="AH31" s="361"/>
      <c r="AI31" s="361"/>
      <c r="AJ31" s="361"/>
      <c r="AK31" s="361"/>
      <c r="AL31" s="361"/>
      <c r="AM31" s="361"/>
      <c r="AN31" s="361"/>
      <c r="AO31" s="463"/>
      <c r="AP31" s="465"/>
      <c r="AQ31" s="361"/>
      <c r="AR31" s="361"/>
      <c r="AS31" s="361"/>
      <c r="AT31" s="361"/>
      <c r="AU31" s="361"/>
      <c r="AV31" s="361"/>
      <c r="AW31" s="361"/>
      <c r="AX31" s="459"/>
      <c r="AY31" s="461"/>
    </row>
    <row r="32" spans="1:51" ht="29.25" customHeight="1" x14ac:dyDescent="0.25">
      <c r="A32" s="467"/>
      <c r="B32" s="469"/>
      <c r="C32" s="469"/>
      <c r="D32" s="159" t="s">
        <v>42</v>
      </c>
      <c r="E32" s="105"/>
      <c r="F32" s="105"/>
      <c r="G32" s="105" t="e">
        <f t="shared" ref="G32:R33" si="25">+G28+G30</f>
        <v>#VALUE!</v>
      </c>
      <c r="H32" s="105" t="e">
        <f t="shared" si="25"/>
        <v>#VALUE!</v>
      </c>
      <c r="I32" s="105" t="e">
        <f t="shared" si="25"/>
        <v>#VALUE!</v>
      </c>
      <c r="J32" s="105" t="e">
        <f t="shared" si="25"/>
        <v>#VALUE!</v>
      </c>
      <c r="K32" s="105" t="e">
        <f t="shared" si="25"/>
        <v>#VALUE!</v>
      </c>
      <c r="L32" s="105" t="e">
        <f t="shared" si="25"/>
        <v>#VALUE!</v>
      </c>
      <c r="M32" s="105" t="e">
        <f t="shared" si="25"/>
        <v>#VALUE!</v>
      </c>
      <c r="N32" s="105" t="e">
        <f t="shared" si="25"/>
        <v>#VALUE!</v>
      </c>
      <c r="O32" s="105" t="e">
        <f t="shared" si="25"/>
        <v>#VALUE!</v>
      </c>
      <c r="P32" s="105" t="e">
        <f t="shared" si="25"/>
        <v>#VALUE!</v>
      </c>
      <c r="Q32" s="105" t="e">
        <f t="shared" si="25"/>
        <v>#VALUE!</v>
      </c>
      <c r="R32" s="105" t="e">
        <f t="shared" si="25"/>
        <v>#VALUE!</v>
      </c>
      <c r="S32" s="105"/>
      <c r="T32" s="105">
        <f t="shared" ref="T32:AE33" si="26">+T28+T30</f>
        <v>0</v>
      </c>
      <c r="U32" s="105">
        <f t="shared" ref="U32" si="27">+U28+U30</f>
        <v>0.16500000000000001</v>
      </c>
      <c r="V32" s="105">
        <f t="shared" ref="V32" si="28">+V28+V30</f>
        <v>0.25</v>
      </c>
      <c r="W32" s="105">
        <f t="shared" si="26"/>
        <v>0</v>
      </c>
      <c r="X32" s="105">
        <f t="shared" si="26"/>
        <v>0</v>
      </c>
      <c r="Y32" s="105">
        <f t="shared" si="26"/>
        <v>0</v>
      </c>
      <c r="Z32" s="105">
        <f t="shared" si="26"/>
        <v>0</v>
      </c>
      <c r="AA32" s="105">
        <f t="shared" si="26"/>
        <v>0</v>
      </c>
      <c r="AB32" s="105">
        <f t="shared" si="26"/>
        <v>0</v>
      </c>
      <c r="AC32" s="105">
        <f t="shared" si="26"/>
        <v>0</v>
      </c>
      <c r="AD32" s="105">
        <f t="shared" si="26"/>
        <v>0</v>
      </c>
      <c r="AE32" s="105">
        <f t="shared" si="26"/>
        <v>0</v>
      </c>
      <c r="AF32" s="209"/>
      <c r="AG32" s="361"/>
      <c r="AH32" s="361"/>
      <c r="AI32" s="361"/>
      <c r="AJ32" s="361"/>
      <c r="AK32" s="361"/>
      <c r="AL32" s="361"/>
      <c r="AM32" s="361"/>
      <c r="AN32" s="361"/>
      <c r="AO32" s="463"/>
      <c r="AP32" s="465"/>
      <c r="AQ32" s="361"/>
      <c r="AR32" s="361"/>
      <c r="AS32" s="361"/>
      <c r="AT32" s="361"/>
      <c r="AU32" s="361"/>
      <c r="AV32" s="361"/>
      <c r="AW32" s="361"/>
      <c r="AX32" s="459"/>
      <c r="AY32" s="461"/>
    </row>
    <row r="33" spans="1:51" ht="29.25" customHeight="1" x14ac:dyDescent="0.25">
      <c r="A33" s="451"/>
      <c r="B33" s="453"/>
      <c r="C33" s="469"/>
      <c r="D33" s="158" t="s">
        <v>44</v>
      </c>
      <c r="E33" s="137"/>
      <c r="F33" s="137"/>
      <c r="G33" s="137" t="e">
        <f t="shared" si="25"/>
        <v>#VALUE!</v>
      </c>
      <c r="H33" s="137" t="e">
        <f t="shared" si="25"/>
        <v>#VALUE!</v>
      </c>
      <c r="I33" s="137" t="e">
        <f t="shared" si="25"/>
        <v>#VALUE!</v>
      </c>
      <c r="J33" s="137" t="e">
        <f t="shared" si="25"/>
        <v>#VALUE!</v>
      </c>
      <c r="K33" s="137" t="e">
        <f t="shared" si="25"/>
        <v>#VALUE!</v>
      </c>
      <c r="L33" s="137" t="e">
        <f t="shared" si="25"/>
        <v>#VALUE!</v>
      </c>
      <c r="M33" s="137" t="e">
        <f t="shared" si="25"/>
        <v>#VALUE!</v>
      </c>
      <c r="N33" s="137" t="e">
        <f t="shared" si="25"/>
        <v>#VALUE!</v>
      </c>
      <c r="O33" s="137" t="e">
        <f t="shared" si="25"/>
        <v>#VALUE!</v>
      </c>
      <c r="P33" s="137" t="e">
        <f t="shared" si="25"/>
        <v>#VALUE!</v>
      </c>
      <c r="Q33" s="137" t="e">
        <f t="shared" si="25"/>
        <v>#VALUE!</v>
      </c>
      <c r="R33" s="137" t="e">
        <f t="shared" si="25"/>
        <v>#VALUE!</v>
      </c>
      <c r="S33" s="137"/>
      <c r="T33" s="137">
        <f t="shared" si="26"/>
        <v>1267319454</v>
      </c>
      <c r="U33" s="137">
        <f t="shared" ref="U33" si="29">+U29+U31</f>
        <v>35531417</v>
      </c>
      <c r="V33" s="137">
        <f t="shared" ref="V33" si="30">+V29+V31</f>
        <v>1364606704</v>
      </c>
      <c r="W33" s="137">
        <f t="shared" si="26"/>
        <v>0</v>
      </c>
      <c r="X33" s="137">
        <f t="shared" si="26"/>
        <v>0</v>
      </c>
      <c r="Y33" s="137">
        <f t="shared" si="26"/>
        <v>0</v>
      </c>
      <c r="Z33" s="137">
        <f t="shared" si="26"/>
        <v>0</v>
      </c>
      <c r="AA33" s="137">
        <f t="shared" si="26"/>
        <v>0</v>
      </c>
      <c r="AB33" s="137">
        <f t="shared" si="26"/>
        <v>0</v>
      </c>
      <c r="AC33" s="137">
        <f t="shared" si="26"/>
        <v>0</v>
      </c>
      <c r="AD33" s="137">
        <f t="shared" si="26"/>
        <v>0</v>
      </c>
      <c r="AE33" s="137">
        <f t="shared" si="26"/>
        <v>0</v>
      </c>
      <c r="AF33" s="124"/>
      <c r="AG33" s="361"/>
      <c r="AH33" s="361"/>
      <c r="AI33" s="361"/>
      <c r="AJ33" s="361"/>
      <c r="AK33" s="361"/>
      <c r="AL33" s="361"/>
      <c r="AM33" s="361"/>
      <c r="AN33" s="361"/>
      <c r="AO33" s="463"/>
      <c r="AP33" s="465"/>
      <c r="AQ33" s="361"/>
      <c r="AR33" s="361"/>
      <c r="AS33" s="361"/>
      <c r="AT33" s="361"/>
      <c r="AU33" s="361"/>
      <c r="AV33" s="361"/>
      <c r="AW33" s="361"/>
      <c r="AX33" s="459"/>
      <c r="AY33" s="461"/>
    </row>
    <row r="34" spans="1:51" ht="29.25" customHeight="1" x14ac:dyDescent="0.25">
      <c r="A34" s="466">
        <v>4</v>
      </c>
      <c r="B34" s="468" t="s">
        <v>334</v>
      </c>
      <c r="C34" s="468" t="s">
        <v>482</v>
      </c>
      <c r="D34" s="159" t="s">
        <v>40</v>
      </c>
      <c r="E34" s="324">
        <v>0</v>
      </c>
      <c r="F34" s="324">
        <v>0</v>
      </c>
      <c r="G34" s="324">
        <v>0</v>
      </c>
      <c r="H34" s="324">
        <v>0</v>
      </c>
      <c r="I34" s="324">
        <v>0</v>
      </c>
      <c r="J34" s="324">
        <v>0</v>
      </c>
      <c r="K34" s="324">
        <v>0</v>
      </c>
      <c r="L34" s="324">
        <v>0</v>
      </c>
      <c r="M34" s="324">
        <v>0</v>
      </c>
      <c r="N34" s="324">
        <v>0</v>
      </c>
      <c r="O34" s="324">
        <v>0</v>
      </c>
      <c r="P34" s="324">
        <v>0</v>
      </c>
      <c r="Q34" s="324">
        <v>0</v>
      </c>
      <c r="R34" s="324">
        <v>0</v>
      </c>
      <c r="S34" s="324"/>
      <c r="T34" s="324">
        <v>0</v>
      </c>
      <c r="U34" s="324">
        <v>9</v>
      </c>
      <c r="V34" s="324">
        <f>+U34+4</f>
        <v>13</v>
      </c>
      <c r="W34" s="324"/>
      <c r="X34" s="324"/>
      <c r="Y34" s="324"/>
      <c r="Z34" s="105"/>
      <c r="AA34" s="324"/>
      <c r="AB34" s="324"/>
      <c r="AC34" s="324"/>
      <c r="AD34" s="324"/>
      <c r="AE34" s="105"/>
      <c r="AF34" s="324"/>
      <c r="AG34" s="470">
        <f>+AF34+AF40+AF46+AF52+AF58+AF64+AF70+AF76+AF82+AF88+AF94+AF100+AF106+AF112+AF118+AF124+AF130+AF136+AF142+AF148</f>
        <v>0</v>
      </c>
      <c r="AH34" s="361" t="s">
        <v>329</v>
      </c>
      <c r="AI34" s="361" t="s">
        <v>329</v>
      </c>
      <c r="AJ34" s="361" t="s">
        <v>483</v>
      </c>
      <c r="AK34" s="361" t="s">
        <v>331</v>
      </c>
      <c r="AL34" s="361" t="s">
        <v>329</v>
      </c>
      <c r="AM34" s="361" t="s">
        <v>329</v>
      </c>
      <c r="AN34" s="361" t="s">
        <v>329</v>
      </c>
      <c r="AO34" s="463">
        <v>40068</v>
      </c>
      <c r="AP34" s="463">
        <v>43706</v>
      </c>
      <c r="AQ34" s="361" t="s">
        <v>329</v>
      </c>
      <c r="AR34" s="361" t="s">
        <v>329</v>
      </c>
      <c r="AS34" s="361" t="s">
        <v>329</v>
      </c>
      <c r="AT34" s="361" t="s">
        <v>329</v>
      </c>
      <c r="AU34" s="361" t="s">
        <v>329</v>
      </c>
      <c r="AV34" s="361" t="s">
        <v>329</v>
      </c>
      <c r="AW34" s="361" t="s">
        <v>329</v>
      </c>
      <c r="AX34" s="459">
        <f>+AO34+AP34</f>
        <v>83774</v>
      </c>
      <c r="AY34" s="461"/>
    </row>
    <row r="35" spans="1:51" ht="29.25" customHeight="1" x14ac:dyDescent="0.25">
      <c r="A35" s="467"/>
      <c r="B35" s="469"/>
      <c r="C35" s="469"/>
      <c r="D35" s="158" t="s">
        <v>3</v>
      </c>
      <c r="E35" s="124">
        <v>0</v>
      </c>
      <c r="F35" s="124">
        <v>0</v>
      </c>
      <c r="G35" s="124">
        <v>0</v>
      </c>
      <c r="H35" s="124">
        <v>0</v>
      </c>
      <c r="I35" s="124">
        <v>0</v>
      </c>
      <c r="J35" s="124">
        <v>0</v>
      </c>
      <c r="K35" s="124">
        <v>0</v>
      </c>
      <c r="L35" s="124">
        <v>0</v>
      </c>
      <c r="M35" s="124">
        <v>0</v>
      </c>
      <c r="N35" s="124">
        <v>0</v>
      </c>
      <c r="O35" s="124">
        <v>0</v>
      </c>
      <c r="P35" s="124">
        <v>0</v>
      </c>
      <c r="Q35" s="124">
        <v>0</v>
      </c>
      <c r="R35" s="124">
        <v>0</v>
      </c>
      <c r="S35" s="137"/>
      <c r="T35" s="124">
        <v>0</v>
      </c>
      <c r="U35" s="124">
        <v>0</v>
      </c>
      <c r="V35" s="124">
        <v>0</v>
      </c>
      <c r="W35" s="124"/>
      <c r="X35" s="124"/>
      <c r="Y35" s="124"/>
      <c r="Z35" s="124"/>
      <c r="AA35" s="124"/>
      <c r="AB35" s="124"/>
      <c r="AC35" s="124"/>
      <c r="AD35" s="124"/>
      <c r="AE35" s="105"/>
      <c r="AF35" s="137"/>
      <c r="AG35" s="361"/>
      <c r="AH35" s="361"/>
      <c r="AI35" s="361"/>
      <c r="AJ35" s="361"/>
      <c r="AK35" s="361"/>
      <c r="AL35" s="361"/>
      <c r="AM35" s="361"/>
      <c r="AN35" s="361"/>
      <c r="AO35" s="463"/>
      <c r="AP35" s="463"/>
      <c r="AQ35" s="361"/>
      <c r="AR35" s="361"/>
      <c r="AS35" s="361"/>
      <c r="AT35" s="361"/>
      <c r="AU35" s="361"/>
      <c r="AV35" s="361"/>
      <c r="AW35" s="361"/>
      <c r="AX35" s="459"/>
      <c r="AY35" s="461"/>
    </row>
    <row r="36" spans="1:51" ht="29.25" customHeight="1" x14ac:dyDescent="0.25">
      <c r="A36" s="467"/>
      <c r="B36" s="469"/>
      <c r="C36" s="469"/>
      <c r="D36" s="159" t="s">
        <v>41</v>
      </c>
      <c r="E36" s="324">
        <v>0</v>
      </c>
      <c r="F36" s="209">
        <v>0</v>
      </c>
      <c r="G36" s="209">
        <v>0</v>
      </c>
      <c r="H36" s="209">
        <v>0</v>
      </c>
      <c r="I36" s="209">
        <v>0</v>
      </c>
      <c r="J36" s="209">
        <v>0</v>
      </c>
      <c r="K36" s="209">
        <v>0</v>
      </c>
      <c r="L36" s="209">
        <v>0</v>
      </c>
      <c r="M36" s="209">
        <v>0</v>
      </c>
      <c r="N36" s="209">
        <v>0</v>
      </c>
      <c r="O36" s="209">
        <v>0</v>
      </c>
      <c r="P36" s="209">
        <v>0</v>
      </c>
      <c r="Q36" s="209">
        <v>0</v>
      </c>
      <c r="R36" s="209">
        <v>0</v>
      </c>
      <c r="S36" s="209"/>
      <c r="T36" s="324">
        <v>0</v>
      </c>
      <c r="U36" s="324">
        <v>0</v>
      </c>
      <c r="V36" s="324">
        <v>0</v>
      </c>
      <c r="W36" s="324"/>
      <c r="X36" s="324"/>
      <c r="Y36" s="324"/>
      <c r="Z36" s="160"/>
      <c r="AA36" s="209"/>
      <c r="AB36" s="209"/>
      <c r="AC36" s="209"/>
      <c r="AD36" s="209"/>
      <c r="AE36" s="105"/>
      <c r="AF36" s="209"/>
      <c r="AG36" s="361"/>
      <c r="AH36" s="361"/>
      <c r="AI36" s="361"/>
      <c r="AJ36" s="361"/>
      <c r="AK36" s="361"/>
      <c r="AL36" s="361"/>
      <c r="AM36" s="361"/>
      <c r="AN36" s="361"/>
      <c r="AO36" s="463"/>
      <c r="AP36" s="463"/>
      <c r="AQ36" s="361"/>
      <c r="AR36" s="361"/>
      <c r="AS36" s="361"/>
      <c r="AT36" s="361"/>
      <c r="AU36" s="361"/>
      <c r="AV36" s="361"/>
      <c r="AW36" s="361"/>
      <c r="AX36" s="459"/>
      <c r="AY36" s="461"/>
    </row>
    <row r="37" spans="1:51" ht="29.25" customHeight="1" x14ac:dyDescent="0.25">
      <c r="A37" s="467"/>
      <c r="B37" s="469"/>
      <c r="C37" s="469"/>
      <c r="D37" s="158" t="s">
        <v>4</v>
      </c>
      <c r="E37" s="124">
        <v>0</v>
      </c>
      <c r="F37" s="137">
        <v>0</v>
      </c>
      <c r="G37" s="137">
        <v>0</v>
      </c>
      <c r="H37" s="137">
        <v>0</v>
      </c>
      <c r="I37" s="137">
        <v>0</v>
      </c>
      <c r="J37" s="137">
        <v>0</v>
      </c>
      <c r="K37" s="137">
        <v>0</v>
      </c>
      <c r="L37" s="137">
        <v>0</v>
      </c>
      <c r="M37" s="137">
        <v>0</v>
      </c>
      <c r="N37" s="137">
        <v>0</v>
      </c>
      <c r="O37" s="137">
        <v>0</v>
      </c>
      <c r="P37" s="137">
        <v>0</v>
      </c>
      <c r="Q37" s="137">
        <v>0</v>
      </c>
      <c r="R37" s="137">
        <v>0</v>
      </c>
      <c r="S37" s="137"/>
      <c r="T37" s="124">
        <v>0</v>
      </c>
      <c r="U37" s="124">
        <v>0</v>
      </c>
      <c r="V37" s="124">
        <v>0</v>
      </c>
      <c r="W37" s="124"/>
      <c r="X37" s="124"/>
      <c r="Y37" s="124"/>
      <c r="Z37" s="124"/>
      <c r="AA37" s="137"/>
      <c r="AB37" s="137"/>
      <c r="AC37" s="137"/>
      <c r="AD37" s="137"/>
      <c r="AE37" s="105"/>
      <c r="AF37" s="137"/>
      <c r="AG37" s="361"/>
      <c r="AH37" s="361"/>
      <c r="AI37" s="361"/>
      <c r="AJ37" s="361"/>
      <c r="AK37" s="361"/>
      <c r="AL37" s="361"/>
      <c r="AM37" s="361"/>
      <c r="AN37" s="361"/>
      <c r="AO37" s="463"/>
      <c r="AP37" s="463"/>
      <c r="AQ37" s="361"/>
      <c r="AR37" s="361"/>
      <c r="AS37" s="361"/>
      <c r="AT37" s="361"/>
      <c r="AU37" s="361"/>
      <c r="AV37" s="361"/>
      <c r="AW37" s="361"/>
      <c r="AX37" s="459"/>
      <c r="AY37" s="461"/>
    </row>
    <row r="38" spans="1:51" ht="29.25" customHeight="1" x14ac:dyDescent="0.25">
      <c r="A38" s="467"/>
      <c r="B38" s="469"/>
      <c r="C38" s="469"/>
      <c r="D38" s="159" t="s">
        <v>42</v>
      </c>
      <c r="E38" s="105">
        <v>0</v>
      </c>
      <c r="F38" s="105">
        <f t="shared" ref="F38:R39" si="31">+F34+F36</f>
        <v>0</v>
      </c>
      <c r="G38" s="105">
        <f t="shared" si="31"/>
        <v>0</v>
      </c>
      <c r="H38" s="105">
        <f t="shared" si="31"/>
        <v>0</v>
      </c>
      <c r="I38" s="105">
        <f t="shared" si="31"/>
        <v>0</v>
      </c>
      <c r="J38" s="105">
        <f t="shared" si="31"/>
        <v>0</v>
      </c>
      <c r="K38" s="105">
        <f t="shared" si="31"/>
        <v>0</v>
      </c>
      <c r="L38" s="105">
        <f t="shared" si="31"/>
        <v>0</v>
      </c>
      <c r="M38" s="105">
        <f t="shared" si="31"/>
        <v>0</v>
      </c>
      <c r="N38" s="105">
        <f t="shared" si="31"/>
        <v>0</v>
      </c>
      <c r="O38" s="105">
        <f t="shared" si="31"/>
        <v>0</v>
      </c>
      <c r="P38" s="105">
        <f t="shared" si="31"/>
        <v>0</v>
      </c>
      <c r="Q38" s="105">
        <f t="shared" si="31"/>
        <v>0</v>
      </c>
      <c r="R38" s="105">
        <f t="shared" si="31"/>
        <v>0</v>
      </c>
      <c r="S38" s="105"/>
      <c r="T38" s="105">
        <f t="shared" ref="T38:AE39" si="32">+T34+T36</f>
        <v>0</v>
      </c>
      <c r="U38" s="105">
        <f t="shared" ref="U38" si="33">+U34+U36</f>
        <v>9</v>
      </c>
      <c r="V38" s="105">
        <f t="shared" ref="V38" si="34">+V34+V36</f>
        <v>13</v>
      </c>
      <c r="W38" s="105">
        <f t="shared" si="32"/>
        <v>0</v>
      </c>
      <c r="X38" s="105">
        <f t="shared" si="32"/>
        <v>0</v>
      </c>
      <c r="Y38" s="105">
        <f t="shared" si="32"/>
        <v>0</v>
      </c>
      <c r="Z38" s="105">
        <f t="shared" si="32"/>
        <v>0</v>
      </c>
      <c r="AA38" s="105">
        <f t="shared" si="32"/>
        <v>0</v>
      </c>
      <c r="AB38" s="105">
        <f t="shared" si="32"/>
        <v>0</v>
      </c>
      <c r="AC38" s="105">
        <f t="shared" si="32"/>
        <v>0</v>
      </c>
      <c r="AD38" s="105">
        <f t="shared" si="32"/>
        <v>0</v>
      </c>
      <c r="AE38" s="105">
        <f t="shared" si="32"/>
        <v>0</v>
      </c>
      <c r="AF38" s="209"/>
      <c r="AG38" s="361"/>
      <c r="AH38" s="361"/>
      <c r="AI38" s="361"/>
      <c r="AJ38" s="361"/>
      <c r="AK38" s="361"/>
      <c r="AL38" s="361"/>
      <c r="AM38" s="361"/>
      <c r="AN38" s="361"/>
      <c r="AO38" s="463"/>
      <c r="AP38" s="463"/>
      <c r="AQ38" s="361"/>
      <c r="AR38" s="361"/>
      <c r="AS38" s="361"/>
      <c r="AT38" s="361"/>
      <c r="AU38" s="361"/>
      <c r="AV38" s="361"/>
      <c r="AW38" s="361"/>
      <c r="AX38" s="459"/>
      <c r="AY38" s="461"/>
    </row>
    <row r="39" spans="1:51" ht="29.25" customHeight="1" x14ac:dyDescent="0.25">
      <c r="A39" s="467"/>
      <c r="B39" s="469"/>
      <c r="C39" s="453"/>
      <c r="D39" s="158" t="s">
        <v>44</v>
      </c>
      <c r="E39" s="137">
        <v>0</v>
      </c>
      <c r="F39" s="137">
        <f t="shared" si="31"/>
        <v>0</v>
      </c>
      <c r="G39" s="137">
        <f t="shared" si="31"/>
        <v>0</v>
      </c>
      <c r="H39" s="137">
        <f t="shared" si="31"/>
        <v>0</v>
      </c>
      <c r="I39" s="137">
        <f t="shared" si="31"/>
        <v>0</v>
      </c>
      <c r="J39" s="137">
        <f t="shared" si="31"/>
        <v>0</v>
      </c>
      <c r="K39" s="137">
        <f t="shared" si="31"/>
        <v>0</v>
      </c>
      <c r="L39" s="137">
        <f t="shared" si="31"/>
        <v>0</v>
      </c>
      <c r="M39" s="137">
        <f t="shared" si="31"/>
        <v>0</v>
      </c>
      <c r="N39" s="137">
        <f t="shared" si="31"/>
        <v>0</v>
      </c>
      <c r="O39" s="137">
        <f t="shared" si="31"/>
        <v>0</v>
      </c>
      <c r="P39" s="137">
        <f t="shared" si="31"/>
        <v>0</v>
      </c>
      <c r="Q39" s="137">
        <f t="shared" si="31"/>
        <v>0</v>
      </c>
      <c r="R39" s="137">
        <f t="shared" si="31"/>
        <v>0</v>
      </c>
      <c r="S39" s="137"/>
      <c r="T39" s="137">
        <f t="shared" si="32"/>
        <v>0</v>
      </c>
      <c r="U39" s="137">
        <f t="shared" ref="U39" si="35">+U35+U37</f>
        <v>0</v>
      </c>
      <c r="V39" s="137">
        <f t="shared" ref="V39" si="36">+V35+V37</f>
        <v>0</v>
      </c>
      <c r="W39" s="137">
        <f t="shared" si="32"/>
        <v>0</v>
      </c>
      <c r="X39" s="137">
        <f t="shared" si="32"/>
        <v>0</v>
      </c>
      <c r="Y39" s="137">
        <f t="shared" si="32"/>
        <v>0</v>
      </c>
      <c r="Z39" s="137">
        <f t="shared" si="32"/>
        <v>0</v>
      </c>
      <c r="AA39" s="137">
        <f t="shared" si="32"/>
        <v>0</v>
      </c>
      <c r="AB39" s="137">
        <f t="shared" si="32"/>
        <v>0</v>
      </c>
      <c r="AC39" s="137">
        <f t="shared" si="32"/>
        <v>0</v>
      </c>
      <c r="AD39" s="137">
        <f t="shared" si="32"/>
        <v>0</v>
      </c>
      <c r="AE39" s="105">
        <f t="shared" si="32"/>
        <v>0</v>
      </c>
      <c r="AF39" s="124"/>
      <c r="AG39" s="361"/>
      <c r="AH39" s="361"/>
      <c r="AI39" s="361"/>
      <c r="AJ39" s="361"/>
      <c r="AK39" s="361"/>
      <c r="AL39" s="361"/>
      <c r="AM39" s="361"/>
      <c r="AN39" s="361"/>
      <c r="AO39" s="463"/>
      <c r="AP39" s="463"/>
      <c r="AQ39" s="361"/>
      <c r="AR39" s="361"/>
      <c r="AS39" s="361"/>
      <c r="AT39" s="361"/>
      <c r="AU39" s="361"/>
      <c r="AV39" s="361"/>
      <c r="AW39" s="361"/>
      <c r="AX39" s="459"/>
      <c r="AY39" s="461"/>
    </row>
    <row r="40" spans="1:51" ht="29.25" customHeight="1" x14ac:dyDescent="0.25">
      <c r="A40" s="467"/>
      <c r="B40" s="469"/>
      <c r="C40" s="468" t="s">
        <v>484</v>
      </c>
      <c r="D40" s="159" t="s">
        <v>40</v>
      </c>
      <c r="E40" s="324">
        <v>0</v>
      </c>
      <c r="F40" s="324">
        <v>0</v>
      </c>
      <c r="G40" s="324">
        <v>0</v>
      </c>
      <c r="H40" s="324">
        <v>0</v>
      </c>
      <c r="I40" s="324">
        <v>0</v>
      </c>
      <c r="J40" s="324">
        <v>0</v>
      </c>
      <c r="K40" s="324">
        <v>0</v>
      </c>
      <c r="L40" s="324">
        <v>0</v>
      </c>
      <c r="M40" s="324">
        <v>0</v>
      </c>
      <c r="N40" s="324">
        <v>0</v>
      </c>
      <c r="O40" s="324">
        <v>0</v>
      </c>
      <c r="P40" s="324">
        <v>0</v>
      </c>
      <c r="Q40" s="324">
        <v>0</v>
      </c>
      <c r="R40" s="324">
        <v>0</v>
      </c>
      <c r="S40" s="324"/>
      <c r="T40" s="324">
        <v>0</v>
      </c>
      <c r="U40" s="324">
        <v>9</v>
      </c>
      <c r="V40" s="324">
        <f>+U40+6</f>
        <v>15</v>
      </c>
      <c r="W40" s="324"/>
      <c r="X40" s="324"/>
      <c r="Y40" s="324"/>
      <c r="Z40" s="105"/>
      <c r="AA40" s="324"/>
      <c r="AB40" s="324"/>
      <c r="AC40" s="324"/>
      <c r="AD40" s="324"/>
      <c r="AE40" s="105"/>
      <c r="AF40" s="324"/>
      <c r="AG40" s="361" t="s">
        <v>485</v>
      </c>
      <c r="AH40" s="361" t="s">
        <v>329</v>
      </c>
      <c r="AI40" s="361" t="s">
        <v>329</v>
      </c>
      <c r="AJ40" s="361" t="s">
        <v>485</v>
      </c>
      <c r="AK40" s="361" t="s">
        <v>331</v>
      </c>
      <c r="AL40" s="361" t="s">
        <v>329</v>
      </c>
      <c r="AM40" s="361" t="s">
        <v>329</v>
      </c>
      <c r="AN40" s="361" t="s">
        <v>329</v>
      </c>
      <c r="AO40" s="463">
        <v>65263</v>
      </c>
      <c r="AP40" s="465">
        <v>73342</v>
      </c>
      <c r="AQ40" s="361" t="s">
        <v>329</v>
      </c>
      <c r="AR40" s="361" t="s">
        <v>329</v>
      </c>
      <c r="AS40" s="361" t="s">
        <v>329</v>
      </c>
      <c r="AT40" s="361" t="s">
        <v>329</v>
      </c>
      <c r="AU40" s="361" t="s">
        <v>329</v>
      </c>
      <c r="AV40" s="361" t="s">
        <v>329</v>
      </c>
      <c r="AW40" s="361" t="s">
        <v>329</v>
      </c>
      <c r="AX40" s="459">
        <f>+AO40+AP40</f>
        <v>138605</v>
      </c>
      <c r="AY40" s="461"/>
    </row>
    <row r="41" spans="1:51" ht="29.25" customHeight="1" x14ac:dyDescent="0.25">
      <c r="A41" s="467"/>
      <c r="B41" s="469"/>
      <c r="C41" s="469"/>
      <c r="D41" s="158" t="s">
        <v>3</v>
      </c>
      <c r="E41" s="124">
        <v>0</v>
      </c>
      <c r="F41" s="124">
        <v>0</v>
      </c>
      <c r="G41" s="124">
        <v>0</v>
      </c>
      <c r="H41" s="124">
        <v>0</v>
      </c>
      <c r="I41" s="124">
        <v>0</v>
      </c>
      <c r="J41" s="124">
        <v>0</v>
      </c>
      <c r="K41" s="124">
        <v>0</v>
      </c>
      <c r="L41" s="124">
        <v>0</v>
      </c>
      <c r="M41" s="124">
        <v>0</v>
      </c>
      <c r="N41" s="124">
        <v>0</v>
      </c>
      <c r="O41" s="124">
        <v>0</v>
      </c>
      <c r="P41" s="124">
        <v>0</v>
      </c>
      <c r="Q41" s="124">
        <v>0</v>
      </c>
      <c r="R41" s="124">
        <v>0</v>
      </c>
      <c r="S41" s="137"/>
      <c r="T41" s="124">
        <v>0</v>
      </c>
      <c r="U41" s="124">
        <v>0</v>
      </c>
      <c r="V41" s="124">
        <v>0</v>
      </c>
      <c r="W41" s="124"/>
      <c r="X41" s="124"/>
      <c r="Y41" s="124"/>
      <c r="Z41" s="124"/>
      <c r="AA41" s="124"/>
      <c r="AB41" s="124"/>
      <c r="AC41" s="124"/>
      <c r="AD41" s="124"/>
      <c r="AE41" s="105"/>
      <c r="AF41" s="137"/>
      <c r="AG41" s="361"/>
      <c r="AH41" s="361"/>
      <c r="AI41" s="361"/>
      <c r="AJ41" s="361"/>
      <c r="AK41" s="361"/>
      <c r="AL41" s="361"/>
      <c r="AM41" s="361"/>
      <c r="AN41" s="361"/>
      <c r="AO41" s="463"/>
      <c r="AP41" s="465"/>
      <c r="AQ41" s="361"/>
      <c r="AR41" s="361"/>
      <c r="AS41" s="361"/>
      <c r="AT41" s="361"/>
      <c r="AU41" s="361"/>
      <c r="AV41" s="361"/>
      <c r="AW41" s="361"/>
      <c r="AX41" s="459"/>
      <c r="AY41" s="461"/>
    </row>
    <row r="42" spans="1:51" ht="29.25" customHeight="1" x14ac:dyDescent="0.25">
      <c r="A42" s="467"/>
      <c r="B42" s="469"/>
      <c r="C42" s="469"/>
      <c r="D42" s="159" t="s">
        <v>41</v>
      </c>
      <c r="E42" s="324">
        <v>0</v>
      </c>
      <c r="F42" s="209">
        <v>0</v>
      </c>
      <c r="G42" s="209">
        <v>0</v>
      </c>
      <c r="H42" s="209">
        <v>0</v>
      </c>
      <c r="I42" s="209">
        <v>0</v>
      </c>
      <c r="J42" s="209">
        <v>0</v>
      </c>
      <c r="K42" s="209">
        <v>0</v>
      </c>
      <c r="L42" s="209">
        <v>0</v>
      </c>
      <c r="M42" s="209">
        <v>0</v>
      </c>
      <c r="N42" s="209">
        <v>0</v>
      </c>
      <c r="O42" s="209">
        <v>0</v>
      </c>
      <c r="P42" s="209">
        <v>0</v>
      </c>
      <c r="Q42" s="209">
        <v>0</v>
      </c>
      <c r="R42" s="209">
        <v>0</v>
      </c>
      <c r="S42" s="209"/>
      <c r="T42" s="324">
        <v>0</v>
      </c>
      <c r="U42" s="324">
        <v>0</v>
      </c>
      <c r="V42" s="324">
        <v>0</v>
      </c>
      <c r="W42" s="324"/>
      <c r="X42" s="324"/>
      <c r="Y42" s="324"/>
      <c r="Z42" s="160"/>
      <c r="AA42" s="209"/>
      <c r="AB42" s="209"/>
      <c r="AC42" s="209"/>
      <c r="AD42" s="209"/>
      <c r="AE42" s="105"/>
      <c r="AF42" s="209"/>
      <c r="AG42" s="361"/>
      <c r="AH42" s="361"/>
      <c r="AI42" s="361"/>
      <c r="AJ42" s="361"/>
      <c r="AK42" s="361"/>
      <c r="AL42" s="361"/>
      <c r="AM42" s="361"/>
      <c r="AN42" s="361"/>
      <c r="AO42" s="463"/>
      <c r="AP42" s="465"/>
      <c r="AQ42" s="361"/>
      <c r="AR42" s="361"/>
      <c r="AS42" s="361"/>
      <c r="AT42" s="361"/>
      <c r="AU42" s="361"/>
      <c r="AV42" s="361"/>
      <c r="AW42" s="361"/>
      <c r="AX42" s="459"/>
      <c r="AY42" s="461"/>
    </row>
    <row r="43" spans="1:51" ht="29.25" customHeight="1" x14ac:dyDescent="0.25">
      <c r="A43" s="467"/>
      <c r="B43" s="469"/>
      <c r="C43" s="469"/>
      <c r="D43" s="158" t="s">
        <v>4</v>
      </c>
      <c r="E43" s="124">
        <v>0</v>
      </c>
      <c r="F43" s="137">
        <v>0</v>
      </c>
      <c r="G43" s="137">
        <v>0</v>
      </c>
      <c r="H43" s="137">
        <v>0</v>
      </c>
      <c r="I43" s="137">
        <v>0</v>
      </c>
      <c r="J43" s="137">
        <v>0</v>
      </c>
      <c r="K43" s="137">
        <v>0</v>
      </c>
      <c r="L43" s="137">
        <v>0</v>
      </c>
      <c r="M43" s="137">
        <v>0</v>
      </c>
      <c r="N43" s="137">
        <v>0</v>
      </c>
      <c r="O43" s="137">
        <v>0</v>
      </c>
      <c r="P43" s="137">
        <v>0</v>
      </c>
      <c r="Q43" s="137">
        <v>0</v>
      </c>
      <c r="R43" s="137">
        <v>0</v>
      </c>
      <c r="S43" s="137"/>
      <c r="T43" s="124">
        <v>0</v>
      </c>
      <c r="U43" s="124">
        <v>0</v>
      </c>
      <c r="V43" s="124">
        <v>0</v>
      </c>
      <c r="W43" s="124"/>
      <c r="X43" s="124"/>
      <c r="Y43" s="124"/>
      <c r="Z43" s="124"/>
      <c r="AA43" s="137"/>
      <c r="AB43" s="137"/>
      <c r="AC43" s="137"/>
      <c r="AD43" s="137"/>
      <c r="AE43" s="105"/>
      <c r="AF43" s="137"/>
      <c r="AG43" s="361"/>
      <c r="AH43" s="361"/>
      <c r="AI43" s="361"/>
      <c r="AJ43" s="361"/>
      <c r="AK43" s="361"/>
      <c r="AL43" s="361"/>
      <c r="AM43" s="361"/>
      <c r="AN43" s="361"/>
      <c r="AO43" s="463"/>
      <c r="AP43" s="465"/>
      <c r="AQ43" s="361"/>
      <c r="AR43" s="361"/>
      <c r="AS43" s="361"/>
      <c r="AT43" s="361"/>
      <c r="AU43" s="361"/>
      <c r="AV43" s="361"/>
      <c r="AW43" s="361"/>
      <c r="AX43" s="459"/>
      <c r="AY43" s="461"/>
    </row>
    <row r="44" spans="1:51" ht="29.25" customHeight="1" x14ac:dyDescent="0.25">
      <c r="A44" s="467"/>
      <c r="B44" s="469"/>
      <c r="C44" s="469"/>
      <c r="D44" s="159" t="s">
        <v>42</v>
      </c>
      <c r="E44" s="105">
        <v>0</v>
      </c>
      <c r="F44" s="105">
        <f t="shared" ref="F44:R45" si="37">+F40+F42</f>
        <v>0</v>
      </c>
      <c r="G44" s="105">
        <f t="shared" si="37"/>
        <v>0</v>
      </c>
      <c r="H44" s="105">
        <f t="shared" si="37"/>
        <v>0</v>
      </c>
      <c r="I44" s="105">
        <f t="shared" si="37"/>
        <v>0</v>
      </c>
      <c r="J44" s="105">
        <f t="shared" si="37"/>
        <v>0</v>
      </c>
      <c r="K44" s="105">
        <f t="shared" si="37"/>
        <v>0</v>
      </c>
      <c r="L44" s="105">
        <f t="shared" si="37"/>
        <v>0</v>
      </c>
      <c r="M44" s="105">
        <f t="shared" si="37"/>
        <v>0</v>
      </c>
      <c r="N44" s="105">
        <f t="shared" si="37"/>
        <v>0</v>
      </c>
      <c r="O44" s="105">
        <f t="shared" si="37"/>
        <v>0</v>
      </c>
      <c r="P44" s="105">
        <f t="shared" si="37"/>
        <v>0</v>
      </c>
      <c r="Q44" s="105">
        <f t="shared" si="37"/>
        <v>0</v>
      </c>
      <c r="R44" s="105">
        <f t="shared" si="37"/>
        <v>0</v>
      </c>
      <c r="S44" s="105"/>
      <c r="T44" s="105">
        <f t="shared" ref="T44:AE45" si="38">+T40+T42</f>
        <v>0</v>
      </c>
      <c r="U44" s="105">
        <f t="shared" ref="U44" si="39">+U40+U42</f>
        <v>9</v>
      </c>
      <c r="V44" s="105">
        <f t="shared" ref="V44" si="40">+V40+V42</f>
        <v>15</v>
      </c>
      <c r="W44" s="105">
        <f t="shared" si="38"/>
        <v>0</v>
      </c>
      <c r="X44" s="105">
        <f t="shared" si="38"/>
        <v>0</v>
      </c>
      <c r="Y44" s="105">
        <f t="shared" si="38"/>
        <v>0</v>
      </c>
      <c r="Z44" s="105">
        <f t="shared" si="38"/>
        <v>0</v>
      </c>
      <c r="AA44" s="105">
        <f t="shared" si="38"/>
        <v>0</v>
      </c>
      <c r="AB44" s="105">
        <f t="shared" si="38"/>
        <v>0</v>
      </c>
      <c r="AC44" s="105">
        <f t="shared" si="38"/>
        <v>0</v>
      </c>
      <c r="AD44" s="105">
        <f t="shared" si="38"/>
        <v>0</v>
      </c>
      <c r="AE44" s="105">
        <f t="shared" si="38"/>
        <v>0</v>
      </c>
      <c r="AF44" s="209"/>
      <c r="AG44" s="361"/>
      <c r="AH44" s="361"/>
      <c r="AI44" s="361"/>
      <c r="AJ44" s="361"/>
      <c r="AK44" s="361"/>
      <c r="AL44" s="361"/>
      <c r="AM44" s="361"/>
      <c r="AN44" s="361"/>
      <c r="AO44" s="463"/>
      <c r="AP44" s="465"/>
      <c r="AQ44" s="361"/>
      <c r="AR44" s="361"/>
      <c r="AS44" s="361"/>
      <c r="AT44" s="361"/>
      <c r="AU44" s="361"/>
      <c r="AV44" s="361"/>
      <c r="AW44" s="361"/>
      <c r="AX44" s="459"/>
      <c r="AY44" s="461"/>
    </row>
    <row r="45" spans="1:51" ht="29.25" customHeight="1" x14ac:dyDescent="0.25">
      <c r="A45" s="467"/>
      <c r="B45" s="469"/>
      <c r="C45" s="453"/>
      <c r="D45" s="158" t="s">
        <v>44</v>
      </c>
      <c r="E45" s="137">
        <v>0</v>
      </c>
      <c r="F45" s="137">
        <f t="shared" si="37"/>
        <v>0</v>
      </c>
      <c r="G45" s="137">
        <f t="shared" si="37"/>
        <v>0</v>
      </c>
      <c r="H45" s="137">
        <f t="shared" si="37"/>
        <v>0</v>
      </c>
      <c r="I45" s="137">
        <f t="shared" si="37"/>
        <v>0</v>
      </c>
      <c r="J45" s="137">
        <f t="shared" si="37"/>
        <v>0</v>
      </c>
      <c r="K45" s="137">
        <f t="shared" si="37"/>
        <v>0</v>
      </c>
      <c r="L45" s="137">
        <f t="shared" si="37"/>
        <v>0</v>
      </c>
      <c r="M45" s="137">
        <f t="shared" si="37"/>
        <v>0</v>
      </c>
      <c r="N45" s="137">
        <f t="shared" si="37"/>
        <v>0</v>
      </c>
      <c r="O45" s="137">
        <f t="shared" si="37"/>
        <v>0</v>
      </c>
      <c r="P45" s="137">
        <f t="shared" si="37"/>
        <v>0</v>
      </c>
      <c r="Q45" s="137">
        <f t="shared" si="37"/>
        <v>0</v>
      </c>
      <c r="R45" s="137">
        <f t="shared" si="37"/>
        <v>0</v>
      </c>
      <c r="S45" s="137"/>
      <c r="T45" s="137">
        <f t="shared" si="38"/>
        <v>0</v>
      </c>
      <c r="U45" s="137">
        <f t="shared" ref="U45" si="41">+U41+U43</f>
        <v>0</v>
      </c>
      <c r="V45" s="137">
        <f t="shared" ref="V45" si="42">+V41+V43</f>
        <v>0</v>
      </c>
      <c r="W45" s="137">
        <f t="shared" si="38"/>
        <v>0</v>
      </c>
      <c r="X45" s="137">
        <f t="shared" si="38"/>
        <v>0</v>
      </c>
      <c r="Y45" s="137">
        <f t="shared" si="38"/>
        <v>0</v>
      </c>
      <c r="Z45" s="137">
        <f t="shared" si="38"/>
        <v>0</v>
      </c>
      <c r="AA45" s="137">
        <f t="shared" si="38"/>
        <v>0</v>
      </c>
      <c r="AB45" s="137">
        <f t="shared" si="38"/>
        <v>0</v>
      </c>
      <c r="AC45" s="137">
        <f t="shared" si="38"/>
        <v>0</v>
      </c>
      <c r="AD45" s="137">
        <f t="shared" si="38"/>
        <v>0</v>
      </c>
      <c r="AE45" s="105">
        <f t="shared" si="38"/>
        <v>0</v>
      </c>
      <c r="AF45" s="124"/>
      <c r="AG45" s="361"/>
      <c r="AH45" s="361"/>
      <c r="AI45" s="361"/>
      <c r="AJ45" s="361"/>
      <c r="AK45" s="361"/>
      <c r="AL45" s="361"/>
      <c r="AM45" s="361"/>
      <c r="AN45" s="361"/>
      <c r="AO45" s="463"/>
      <c r="AP45" s="465"/>
      <c r="AQ45" s="361"/>
      <c r="AR45" s="361"/>
      <c r="AS45" s="361"/>
      <c r="AT45" s="361"/>
      <c r="AU45" s="361"/>
      <c r="AV45" s="361"/>
      <c r="AW45" s="361"/>
      <c r="AX45" s="459"/>
      <c r="AY45" s="461"/>
    </row>
    <row r="46" spans="1:51" ht="29.25" customHeight="1" x14ac:dyDescent="0.25">
      <c r="A46" s="467"/>
      <c r="B46" s="469"/>
      <c r="C46" s="468" t="s">
        <v>486</v>
      </c>
      <c r="D46" s="159" t="s">
        <v>40</v>
      </c>
      <c r="E46" s="324">
        <v>0</v>
      </c>
      <c r="F46" s="324">
        <v>0</v>
      </c>
      <c r="G46" s="324">
        <v>0</v>
      </c>
      <c r="H46" s="324">
        <v>0</v>
      </c>
      <c r="I46" s="324">
        <v>0</v>
      </c>
      <c r="J46" s="324">
        <v>0</v>
      </c>
      <c r="K46" s="324">
        <v>0</v>
      </c>
      <c r="L46" s="324">
        <v>0</v>
      </c>
      <c r="M46" s="324">
        <v>0</v>
      </c>
      <c r="N46" s="324">
        <v>0</v>
      </c>
      <c r="O46" s="324">
        <v>0</v>
      </c>
      <c r="P46" s="324">
        <v>0</v>
      </c>
      <c r="Q46" s="324">
        <v>0</v>
      </c>
      <c r="R46" s="324">
        <v>0</v>
      </c>
      <c r="S46" s="324"/>
      <c r="T46" s="324">
        <v>0</v>
      </c>
      <c r="U46" s="324">
        <v>0</v>
      </c>
      <c r="V46" s="324">
        <v>6</v>
      </c>
      <c r="W46" s="324"/>
      <c r="X46" s="324"/>
      <c r="Y46" s="324"/>
      <c r="Z46" s="105"/>
      <c r="AA46" s="324"/>
      <c r="AB46" s="324"/>
      <c r="AC46" s="324"/>
      <c r="AD46" s="324"/>
      <c r="AE46" s="105"/>
      <c r="AF46" s="324"/>
      <c r="AG46" s="361" t="s">
        <v>487</v>
      </c>
      <c r="AH46" s="361" t="s">
        <v>329</v>
      </c>
      <c r="AI46" s="361" t="s">
        <v>329</v>
      </c>
      <c r="AJ46" s="361" t="s">
        <v>487</v>
      </c>
      <c r="AK46" s="361" t="s">
        <v>331</v>
      </c>
      <c r="AL46" s="361" t="s">
        <v>329</v>
      </c>
      <c r="AM46" s="361" t="s">
        <v>329</v>
      </c>
      <c r="AN46" s="361" t="s">
        <v>329</v>
      </c>
      <c r="AO46" s="463">
        <v>354354</v>
      </c>
      <c r="AP46" s="465">
        <v>381252</v>
      </c>
      <c r="AQ46" s="361" t="s">
        <v>329</v>
      </c>
      <c r="AR46" s="361" t="s">
        <v>329</v>
      </c>
      <c r="AS46" s="361" t="s">
        <v>329</v>
      </c>
      <c r="AT46" s="361" t="s">
        <v>329</v>
      </c>
      <c r="AU46" s="361" t="s">
        <v>329</v>
      </c>
      <c r="AV46" s="361" t="s">
        <v>329</v>
      </c>
      <c r="AW46" s="361" t="s">
        <v>329</v>
      </c>
      <c r="AX46" s="459">
        <f>+AO46+AP46</f>
        <v>735606</v>
      </c>
      <c r="AY46" s="461"/>
    </row>
    <row r="47" spans="1:51" ht="29.25" customHeight="1" x14ac:dyDescent="0.25">
      <c r="A47" s="467"/>
      <c r="B47" s="469"/>
      <c r="C47" s="469"/>
      <c r="D47" s="158" t="s">
        <v>3</v>
      </c>
      <c r="E47" s="124">
        <v>0</v>
      </c>
      <c r="F47" s="124">
        <v>0</v>
      </c>
      <c r="G47" s="124">
        <v>0</v>
      </c>
      <c r="H47" s="124">
        <v>0</v>
      </c>
      <c r="I47" s="124">
        <v>0</v>
      </c>
      <c r="J47" s="124">
        <v>0</v>
      </c>
      <c r="K47" s="124">
        <v>0</v>
      </c>
      <c r="L47" s="124">
        <v>0</v>
      </c>
      <c r="M47" s="124">
        <v>0</v>
      </c>
      <c r="N47" s="124">
        <v>0</v>
      </c>
      <c r="O47" s="124">
        <v>0</v>
      </c>
      <c r="P47" s="124">
        <v>0</v>
      </c>
      <c r="Q47" s="124">
        <v>0</v>
      </c>
      <c r="R47" s="124">
        <v>0</v>
      </c>
      <c r="S47" s="137"/>
      <c r="T47" s="124">
        <v>0</v>
      </c>
      <c r="U47" s="124">
        <v>0</v>
      </c>
      <c r="V47" s="124">
        <v>0</v>
      </c>
      <c r="W47" s="124"/>
      <c r="X47" s="124"/>
      <c r="Y47" s="124"/>
      <c r="Z47" s="124"/>
      <c r="AA47" s="124"/>
      <c r="AB47" s="124"/>
      <c r="AC47" s="124"/>
      <c r="AD47" s="124"/>
      <c r="AE47" s="105"/>
      <c r="AF47" s="137"/>
      <c r="AG47" s="361"/>
      <c r="AH47" s="361"/>
      <c r="AI47" s="361"/>
      <c r="AJ47" s="361"/>
      <c r="AK47" s="361"/>
      <c r="AL47" s="361"/>
      <c r="AM47" s="361"/>
      <c r="AN47" s="361"/>
      <c r="AO47" s="463"/>
      <c r="AP47" s="465"/>
      <c r="AQ47" s="361"/>
      <c r="AR47" s="361"/>
      <c r="AS47" s="361"/>
      <c r="AT47" s="361"/>
      <c r="AU47" s="361"/>
      <c r="AV47" s="361"/>
      <c r="AW47" s="361"/>
      <c r="AX47" s="459"/>
      <c r="AY47" s="461"/>
    </row>
    <row r="48" spans="1:51" ht="29.25" customHeight="1" x14ac:dyDescent="0.25">
      <c r="A48" s="467"/>
      <c r="B48" s="469"/>
      <c r="C48" s="469"/>
      <c r="D48" s="159" t="s">
        <v>41</v>
      </c>
      <c r="E48" s="324">
        <v>0</v>
      </c>
      <c r="F48" s="209">
        <v>0</v>
      </c>
      <c r="G48" s="209">
        <v>0</v>
      </c>
      <c r="H48" s="209">
        <v>0</v>
      </c>
      <c r="I48" s="209">
        <v>0</v>
      </c>
      <c r="J48" s="209">
        <v>0</v>
      </c>
      <c r="K48" s="209">
        <v>0</v>
      </c>
      <c r="L48" s="209">
        <v>0</v>
      </c>
      <c r="M48" s="209">
        <v>0</v>
      </c>
      <c r="N48" s="209">
        <v>0</v>
      </c>
      <c r="O48" s="209">
        <v>0</v>
      </c>
      <c r="P48" s="209">
        <v>0</v>
      </c>
      <c r="Q48" s="209">
        <v>0</v>
      </c>
      <c r="R48" s="209">
        <v>0</v>
      </c>
      <c r="S48" s="209"/>
      <c r="T48" s="324">
        <v>0</v>
      </c>
      <c r="U48" s="324">
        <v>0</v>
      </c>
      <c r="V48" s="324">
        <v>0</v>
      </c>
      <c r="W48" s="324"/>
      <c r="X48" s="324"/>
      <c r="Y48" s="324"/>
      <c r="Z48" s="160"/>
      <c r="AA48" s="209"/>
      <c r="AB48" s="209"/>
      <c r="AC48" s="209"/>
      <c r="AD48" s="209"/>
      <c r="AE48" s="105"/>
      <c r="AF48" s="209"/>
      <c r="AG48" s="361"/>
      <c r="AH48" s="361"/>
      <c r="AI48" s="361"/>
      <c r="AJ48" s="361"/>
      <c r="AK48" s="361"/>
      <c r="AL48" s="361"/>
      <c r="AM48" s="361"/>
      <c r="AN48" s="361"/>
      <c r="AO48" s="463"/>
      <c r="AP48" s="465"/>
      <c r="AQ48" s="361"/>
      <c r="AR48" s="361"/>
      <c r="AS48" s="361"/>
      <c r="AT48" s="361"/>
      <c r="AU48" s="361"/>
      <c r="AV48" s="361"/>
      <c r="AW48" s="361"/>
      <c r="AX48" s="459"/>
      <c r="AY48" s="461"/>
    </row>
    <row r="49" spans="1:51" ht="29.25" customHeight="1" x14ac:dyDescent="0.25">
      <c r="A49" s="467"/>
      <c r="B49" s="469"/>
      <c r="C49" s="469"/>
      <c r="D49" s="158" t="s">
        <v>4</v>
      </c>
      <c r="E49" s="124">
        <v>0</v>
      </c>
      <c r="F49" s="137">
        <v>0</v>
      </c>
      <c r="G49" s="137">
        <v>0</v>
      </c>
      <c r="H49" s="137">
        <v>0</v>
      </c>
      <c r="I49" s="137">
        <v>0</v>
      </c>
      <c r="J49" s="137">
        <v>0</v>
      </c>
      <c r="K49" s="137">
        <v>0</v>
      </c>
      <c r="L49" s="137">
        <v>0</v>
      </c>
      <c r="M49" s="137">
        <v>0</v>
      </c>
      <c r="N49" s="137">
        <v>0</v>
      </c>
      <c r="O49" s="137">
        <v>0</v>
      </c>
      <c r="P49" s="137">
        <v>0</v>
      </c>
      <c r="Q49" s="137">
        <v>0</v>
      </c>
      <c r="R49" s="137">
        <v>0</v>
      </c>
      <c r="S49" s="137"/>
      <c r="T49" s="124">
        <v>0</v>
      </c>
      <c r="U49" s="124">
        <v>0</v>
      </c>
      <c r="V49" s="124">
        <v>0</v>
      </c>
      <c r="W49" s="124"/>
      <c r="X49" s="124"/>
      <c r="Y49" s="124"/>
      <c r="Z49" s="124"/>
      <c r="AA49" s="137"/>
      <c r="AB49" s="137"/>
      <c r="AC49" s="137"/>
      <c r="AD49" s="137"/>
      <c r="AE49" s="105"/>
      <c r="AF49" s="137"/>
      <c r="AG49" s="361"/>
      <c r="AH49" s="361"/>
      <c r="AI49" s="361"/>
      <c r="AJ49" s="361"/>
      <c r="AK49" s="361"/>
      <c r="AL49" s="361"/>
      <c r="AM49" s="361"/>
      <c r="AN49" s="361"/>
      <c r="AO49" s="463"/>
      <c r="AP49" s="465"/>
      <c r="AQ49" s="361"/>
      <c r="AR49" s="361"/>
      <c r="AS49" s="361"/>
      <c r="AT49" s="361"/>
      <c r="AU49" s="361"/>
      <c r="AV49" s="361"/>
      <c r="AW49" s="361"/>
      <c r="AX49" s="459"/>
      <c r="AY49" s="461"/>
    </row>
    <row r="50" spans="1:51" ht="29.25" customHeight="1" x14ac:dyDescent="0.25">
      <c r="A50" s="467"/>
      <c r="B50" s="469"/>
      <c r="C50" s="469"/>
      <c r="D50" s="159" t="s">
        <v>42</v>
      </c>
      <c r="E50" s="105">
        <v>0</v>
      </c>
      <c r="F50" s="105">
        <f t="shared" ref="F50:R51" si="43">+F46+F48</f>
        <v>0</v>
      </c>
      <c r="G50" s="105">
        <f t="shared" si="43"/>
        <v>0</v>
      </c>
      <c r="H50" s="105">
        <f t="shared" si="43"/>
        <v>0</v>
      </c>
      <c r="I50" s="105">
        <f t="shared" si="43"/>
        <v>0</v>
      </c>
      <c r="J50" s="105">
        <f t="shared" si="43"/>
        <v>0</v>
      </c>
      <c r="K50" s="105">
        <f t="shared" si="43"/>
        <v>0</v>
      </c>
      <c r="L50" s="105">
        <f t="shared" si="43"/>
        <v>0</v>
      </c>
      <c r="M50" s="105">
        <f t="shared" si="43"/>
        <v>0</v>
      </c>
      <c r="N50" s="105">
        <f t="shared" si="43"/>
        <v>0</v>
      </c>
      <c r="O50" s="105">
        <f t="shared" si="43"/>
        <v>0</v>
      </c>
      <c r="P50" s="105">
        <f t="shared" si="43"/>
        <v>0</v>
      </c>
      <c r="Q50" s="105">
        <f t="shared" si="43"/>
        <v>0</v>
      </c>
      <c r="R50" s="105">
        <f t="shared" si="43"/>
        <v>0</v>
      </c>
      <c r="S50" s="105"/>
      <c r="T50" s="105">
        <f t="shared" ref="T50:AE51" si="44">+T46+T48</f>
        <v>0</v>
      </c>
      <c r="U50" s="105">
        <f t="shared" ref="U50" si="45">+U46+U48</f>
        <v>0</v>
      </c>
      <c r="V50" s="105">
        <f t="shared" ref="V50" si="46">+V46+V48</f>
        <v>6</v>
      </c>
      <c r="W50" s="105">
        <f t="shared" si="44"/>
        <v>0</v>
      </c>
      <c r="X50" s="105">
        <f t="shared" si="44"/>
        <v>0</v>
      </c>
      <c r="Y50" s="105">
        <f t="shared" si="44"/>
        <v>0</v>
      </c>
      <c r="Z50" s="105">
        <f t="shared" si="44"/>
        <v>0</v>
      </c>
      <c r="AA50" s="105">
        <f t="shared" si="44"/>
        <v>0</v>
      </c>
      <c r="AB50" s="105">
        <f t="shared" si="44"/>
        <v>0</v>
      </c>
      <c r="AC50" s="105">
        <f t="shared" si="44"/>
        <v>0</v>
      </c>
      <c r="AD50" s="105">
        <f t="shared" si="44"/>
        <v>0</v>
      </c>
      <c r="AE50" s="105">
        <f t="shared" si="44"/>
        <v>0</v>
      </c>
      <c r="AF50" s="209"/>
      <c r="AG50" s="361"/>
      <c r="AH50" s="361"/>
      <c r="AI50" s="361"/>
      <c r="AJ50" s="361"/>
      <c r="AK50" s="361"/>
      <c r="AL50" s="361"/>
      <c r="AM50" s="361"/>
      <c r="AN50" s="361"/>
      <c r="AO50" s="463"/>
      <c r="AP50" s="465"/>
      <c r="AQ50" s="361"/>
      <c r="AR50" s="361"/>
      <c r="AS50" s="361"/>
      <c r="AT50" s="361"/>
      <c r="AU50" s="361"/>
      <c r="AV50" s="361"/>
      <c r="AW50" s="361"/>
      <c r="AX50" s="459"/>
      <c r="AY50" s="461"/>
    </row>
    <row r="51" spans="1:51" ht="29.25" customHeight="1" x14ac:dyDescent="0.25">
      <c r="A51" s="467"/>
      <c r="B51" s="469"/>
      <c r="C51" s="453"/>
      <c r="D51" s="158" t="s">
        <v>44</v>
      </c>
      <c r="E51" s="137">
        <v>0</v>
      </c>
      <c r="F51" s="137">
        <f t="shared" si="43"/>
        <v>0</v>
      </c>
      <c r="G51" s="137">
        <f t="shared" si="43"/>
        <v>0</v>
      </c>
      <c r="H51" s="137">
        <f t="shared" si="43"/>
        <v>0</v>
      </c>
      <c r="I51" s="137">
        <f t="shared" si="43"/>
        <v>0</v>
      </c>
      <c r="J51" s="137">
        <f t="shared" si="43"/>
        <v>0</v>
      </c>
      <c r="K51" s="137">
        <f t="shared" si="43"/>
        <v>0</v>
      </c>
      <c r="L51" s="137">
        <f t="shared" si="43"/>
        <v>0</v>
      </c>
      <c r="M51" s="137">
        <f t="shared" si="43"/>
        <v>0</v>
      </c>
      <c r="N51" s="137">
        <f t="shared" si="43"/>
        <v>0</v>
      </c>
      <c r="O51" s="137">
        <f t="shared" si="43"/>
        <v>0</v>
      </c>
      <c r="P51" s="137">
        <f t="shared" si="43"/>
        <v>0</v>
      </c>
      <c r="Q51" s="137">
        <f t="shared" si="43"/>
        <v>0</v>
      </c>
      <c r="R51" s="137">
        <f t="shared" si="43"/>
        <v>0</v>
      </c>
      <c r="S51" s="137"/>
      <c r="T51" s="137">
        <f t="shared" si="44"/>
        <v>0</v>
      </c>
      <c r="U51" s="137">
        <f t="shared" ref="U51" si="47">+U47+U49</f>
        <v>0</v>
      </c>
      <c r="V51" s="137">
        <f t="shared" ref="V51" si="48">+V47+V49</f>
        <v>0</v>
      </c>
      <c r="W51" s="137">
        <f t="shared" si="44"/>
        <v>0</v>
      </c>
      <c r="X51" s="137">
        <f t="shared" si="44"/>
        <v>0</v>
      </c>
      <c r="Y51" s="137">
        <f t="shared" si="44"/>
        <v>0</v>
      </c>
      <c r="Z51" s="137">
        <f t="shared" si="44"/>
        <v>0</v>
      </c>
      <c r="AA51" s="137">
        <f t="shared" si="44"/>
        <v>0</v>
      </c>
      <c r="AB51" s="137">
        <f t="shared" si="44"/>
        <v>0</v>
      </c>
      <c r="AC51" s="137">
        <f t="shared" si="44"/>
        <v>0</v>
      </c>
      <c r="AD51" s="137">
        <f t="shared" si="44"/>
        <v>0</v>
      </c>
      <c r="AE51" s="105">
        <f t="shared" si="44"/>
        <v>0</v>
      </c>
      <c r="AF51" s="124"/>
      <c r="AG51" s="361"/>
      <c r="AH51" s="361"/>
      <c r="AI51" s="361"/>
      <c r="AJ51" s="361"/>
      <c r="AK51" s="361"/>
      <c r="AL51" s="361"/>
      <c r="AM51" s="361"/>
      <c r="AN51" s="361"/>
      <c r="AO51" s="463"/>
      <c r="AP51" s="465"/>
      <c r="AQ51" s="361"/>
      <c r="AR51" s="361"/>
      <c r="AS51" s="361"/>
      <c r="AT51" s="361"/>
      <c r="AU51" s="361"/>
      <c r="AV51" s="361"/>
      <c r="AW51" s="361"/>
      <c r="AX51" s="459"/>
      <c r="AY51" s="461"/>
    </row>
    <row r="52" spans="1:51" ht="29.25" customHeight="1" x14ac:dyDescent="0.25">
      <c r="A52" s="467"/>
      <c r="B52" s="469"/>
      <c r="C52" s="468" t="s">
        <v>488</v>
      </c>
      <c r="D52" s="159" t="s">
        <v>40</v>
      </c>
      <c r="E52" s="324">
        <v>0</v>
      </c>
      <c r="F52" s="324">
        <v>0</v>
      </c>
      <c r="G52" s="324">
        <v>0</v>
      </c>
      <c r="H52" s="324">
        <v>0</v>
      </c>
      <c r="I52" s="324">
        <v>0</v>
      </c>
      <c r="J52" s="324">
        <v>0</v>
      </c>
      <c r="K52" s="324">
        <v>0</v>
      </c>
      <c r="L52" s="324">
        <v>0</v>
      </c>
      <c r="M52" s="324">
        <v>0</v>
      </c>
      <c r="N52" s="324">
        <v>0</v>
      </c>
      <c r="O52" s="324">
        <v>0</v>
      </c>
      <c r="P52" s="324">
        <v>0</v>
      </c>
      <c r="Q52" s="324">
        <v>0</v>
      </c>
      <c r="R52" s="324">
        <v>0</v>
      </c>
      <c r="S52" s="324"/>
      <c r="T52" s="324">
        <v>0</v>
      </c>
      <c r="U52" s="324">
        <v>0</v>
      </c>
      <c r="V52" s="324">
        <v>0</v>
      </c>
      <c r="W52" s="324"/>
      <c r="X52" s="324"/>
      <c r="Y52" s="324"/>
      <c r="Z52" s="105"/>
      <c r="AA52" s="324"/>
      <c r="AB52" s="324"/>
      <c r="AC52" s="324"/>
      <c r="AD52" s="324"/>
      <c r="AE52" s="105"/>
      <c r="AF52" s="324"/>
      <c r="AG52" s="361" t="s">
        <v>489</v>
      </c>
      <c r="AH52" s="361" t="s">
        <v>329</v>
      </c>
      <c r="AI52" s="361" t="s">
        <v>329</v>
      </c>
      <c r="AJ52" s="361" t="s">
        <v>489</v>
      </c>
      <c r="AK52" s="361" t="s">
        <v>331</v>
      </c>
      <c r="AL52" s="361" t="s">
        <v>329</v>
      </c>
      <c r="AM52" s="361" t="s">
        <v>329</v>
      </c>
      <c r="AN52" s="361" t="s">
        <v>329</v>
      </c>
      <c r="AO52" s="463">
        <v>9672</v>
      </c>
      <c r="AP52" s="465">
        <v>9246</v>
      </c>
      <c r="AQ52" s="361" t="s">
        <v>329</v>
      </c>
      <c r="AR52" s="361" t="s">
        <v>329</v>
      </c>
      <c r="AS52" s="361" t="s">
        <v>329</v>
      </c>
      <c r="AT52" s="361" t="s">
        <v>329</v>
      </c>
      <c r="AU52" s="361" t="s">
        <v>329</v>
      </c>
      <c r="AV52" s="361" t="s">
        <v>329</v>
      </c>
      <c r="AW52" s="361" t="s">
        <v>329</v>
      </c>
      <c r="AX52" s="459">
        <f>+AO52+AP52</f>
        <v>18918</v>
      </c>
      <c r="AY52" s="461"/>
    </row>
    <row r="53" spans="1:51" s="60" customFormat="1" ht="29.25" customHeight="1" x14ac:dyDescent="0.25">
      <c r="A53" s="467"/>
      <c r="B53" s="469"/>
      <c r="C53" s="469"/>
      <c r="D53" s="158" t="s">
        <v>3</v>
      </c>
      <c r="E53" s="124">
        <v>0</v>
      </c>
      <c r="F53" s="124">
        <v>0</v>
      </c>
      <c r="G53" s="124">
        <v>0</v>
      </c>
      <c r="H53" s="124">
        <v>0</v>
      </c>
      <c r="I53" s="124">
        <v>0</v>
      </c>
      <c r="J53" s="124">
        <v>0</v>
      </c>
      <c r="K53" s="124">
        <v>0</v>
      </c>
      <c r="L53" s="124">
        <v>0</v>
      </c>
      <c r="M53" s="124">
        <v>0</v>
      </c>
      <c r="N53" s="124">
        <v>0</v>
      </c>
      <c r="O53" s="124">
        <v>0</v>
      </c>
      <c r="P53" s="124">
        <v>0</v>
      </c>
      <c r="Q53" s="124">
        <v>0</v>
      </c>
      <c r="R53" s="124">
        <v>0</v>
      </c>
      <c r="S53" s="137"/>
      <c r="T53" s="124">
        <v>0</v>
      </c>
      <c r="U53" s="124">
        <v>0</v>
      </c>
      <c r="V53" s="124">
        <v>0</v>
      </c>
      <c r="W53" s="124"/>
      <c r="X53" s="124"/>
      <c r="Y53" s="124"/>
      <c r="Z53" s="124"/>
      <c r="AA53" s="124"/>
      <c r="AB53" s="124"/>
      <c r="AC53" s="124"/>
      <c r="AD53" s="124"/>
      <c r="AE53" s="105"/>
      <c r="AF53" s="137"/>
      <c r="AG53" s="361"/>
      <c r="AH53" s="361"/>
      <c r="AI53" s="361"/>
      <c r="AJ53" s="361"/>
      <c r="AK53" s="361"/>
      <c r="AL53" s="361"/>
      <c r="AM53" s="361"/>
      <c r="AN53" s="361"/>
      <c r="AO53" s="463"/>
      <c r="AP53" s="465"/>
      <c r="AQ53" s="361"/>
      <c r="AR53" s="361"/>
      <c r="AS53" s="361"/>
      <c r="AT53" s="361"/>
      <c r="AU53" s="361"/>
      <c r="AV53" s="361"/>
      <c r="AW53" s="361"/>
      <c r="AX53" s="459"/>
      <c r="AY53" s="461"/>
    </row>
    <row r="54" spans="1:51" ht="29.25" customHeight="1" x14ac:dyDescent="0.25">
      <c r="A54" s="467"/>
      <c r="B54" s="469"/>
      <c r="C54" s="469"/>
      <c r="D54" s="159" t="s">
        <v>41</v>
      </c>
      <c r="E54" s="324">
        <v>0</v>
      </c>
      <c r="F54" s="209">
        <v>0</v>
      </c>
      <c r="G54" s="209">
        <v>0</v>
      </c>
      <c r="H54" s="209">
        <v>0</v>
      </c>
      <c r="I54" s="209">
        <v>0</v>
      </c>
      <c r="J54" s="209">
        <v>0</v>
      </c>
      <c r="K54" s="209">
        <v>0</v>
      </c>
      <c r="L54" s="209">
        <v>0</v>
      </c>
      <c r="M54" s="209">
        <v>0</v>
      </c>
      <c r="N54" s="209">
        <v>0</v>
      </c>
      <c r="O54" s="209">
        <v>0</v>
      </c>
      <c r="P54" s="209">
        <v>0</v>
      </c>
      <c r="Q54" s="209">
        <v>0</v>
      </c>
      <c r="R54" s="209">
        <v>0</v>
      </c>
      <c r="S54" s="209"/>
      <c r="T54" s="324">
        <v>0</v>
      </c>
      <c r="U54" s="324">
        <v>0</v>
      </c>
      <c r="V54" s="324">
        <v>0</v>
      </c>
      <c r="W54" s="324"/>
      <c r="X54" s="324"/>
      <c r="Y54" s="324"/>
      <c r="Z54" s="160"/>
      <c r="AA54" s="209"/>
      <c r="AB54" s="209"/>
      <c r="AC54" s="209"/>
      <c r="AD54" s="209"/>
      <c r="AE54" s="105"/>
      <c r="AF54" s="209"/>
      <c r="AG54" s="361"/>
      <c r="AH54" s="361"/>
      <c r="AI54" s="361"/>
      <c r="AJ54" s="361"/>
      <c r="AK54" s="361"/>
      <c r="AL54" s="361"/>
      <c r="AM54" s="361"/>
      <c r="AN54" s="361"/>
      <c r="AO54" s="463"/>
      <c r="AP54" s="465"/>
      <c r="AQ54" s="361"/>
      <c r="AR54" s="361"/>
      <c r="AS54" s="361"/>
      <c r="AT54" s="361"/>
      <c r="AU54" s="361"/>
      <c r="AV54" s="361"/>
      <c r="AW54" s="361"/>
      <c r="AX54" s="459"/>
      <c r="AY54" s="461"/>
    </row>
    <row r="55" spans="1:51" s="64" customFormat="1" ht="29.25" customHeight="1" x14ac:dyDescent="0.25">
      <c r="A55" s="467"/>
      <c r="B55" s="469"/>
      <c r="C55" s="469"/>
      <c r="D55" s="158" t="s">
        <v>4</v>
      </c>
      <c r="E55" s="124">
        <v>0</v>
      </c>
      <c r="F55" s="137">
        <v>0</v>
      </c>
      <c r="G55" s="137">
        <v>0</v>
      </c>
      <c r="H55" s="137">
        <v>0</v>
      </c>
      <c r="I55" s="137">
        <v>0</v>
      </c>
      <c r="J55" s="137">
        <v>0</v>
      </c>
      <c r="K55" s="137">
        <v>0</v>
      </c>
      <c r="L55" s="137">
        <v>0</v>
      </c>
      <c r="M55" s="137">
        <v>0</v>
      </c>
      <c r="N55" s="137">
        <v>0</v>
      </c>
      <c r="O55" s="137">
        <v>0</v>
      </c>
      <c r="P55" s="137">
        <v>0</v>
      </c>
      <c r="Q55" s="137">
        <v>0</v>
      </c>
      <c r="R55" s="137">
        <v>0</v>
      </c>
      <c r="S55" s="137"/>
      <c r="T55" s="124">
        <v>0</v>
      </c>
      <c r="U55" s="124">
        <v>0</v>
      </c>
      <c r="V55" s="124">
        <v>0</v>
      </c>
      <c r="W55" s="124"/>
      <c r="X55" s="124"/>
      <c r="Y55" s="124"/>
      <c r="Z55" s="124"/>
      <c r="AA55" s="137"/>
      <c r="AB55" s="137"/>
      <c r="AC55" s="137"/>
      <c r="AD55" s="137"/>
      <c r="AE55" s="105"/>
      <c r="AF55" s="137"/>
      <c r="AG55" s="361"/>
      <c r="AH55" s="361"/>
      <c r="AI55" s="361"/>
      <c r="AJ55" s="361"/>
      <c r="AK55" s="361"/>
      <c r="AL55" s="361"/>
      <c r="AM55" s="361"/>
      <c r="AN55" s="361"/>
      <c r="AO55" s="463"/>
      <c r="AP55" s="465"/>
      <c r="AQ55" s="361"/>
      <c r="AR55" s="361"/>
      <c r="AS55" s="361"/>
      <c r="AT55" s="361"/>
      <c r="AU55" s="361"/>
      <c r="AV55" s="361"/>
      <c r="AW55" s="361"/>
      <c r="AX55" s="459"/>
      <c r="AY55" s="461"/>
    </row>
    <row r="56" spans="1:51" ht="29.25" customHeight="1" x14ac:dyDescent="0.25">
      <c r="A56" s="467"/>
      <c r="B56" s="469"/>
      <c r="C56" s="469"/>
      <c r="D56" s="159" t="s">
        <v>42</v>
      </c>
      <c r="E56" s="105">
        <v>0</v>
      </c>
      <c r="F56" s="105">
        <f t="shared" ref="F56:R57" si="49">+F52+F54</f>
        <v>0</v>
      </c>
      <c r="G56" s="105">
        <f t="shared" si="49"/>
        <v>0</v>
      </c>
      <c r="H56" s="105">
        <f t="shared" si="49"/>
        <v>0</v>
      </c>
      <c r="I56" s="105">
        <f t="shared" si="49"/>
        <v>0</v>
      </c>
      <c r="J56" s="105">
        <f t="shared" si="49"/>
        <v>0</v>
      </c>
      <c r="K56" s="105">
        <f t="shared" si="49"/>
        <v>0</v>
      </c>
      <c r="L56" s="105">
        <f t="shared" si="49"/>
        <v>0</v>
      </c>
      <c r="M56" s="105">
        <f t="shared" si="49"/>
        <v>0</v>
      </c>
      <c r="N56" s="105">
        <f t="shared" si="49"/>
        <v>0</v>
      </c>
      <c r="O56" s="105">
        <f t="shared" si="49"/>
        <v>0</v>
      </c>
      <c r="P56" s="105">
        <f t="shared" si="49"/>
        <v>0</v>
      </c>
      <c r="Q56" s="105">
        <f t="shared" si="49"/>
        <v>0</v>
      </c>
      <c r="R56" s="105">
        <f t="shared" si="49"/>
        <v>0</v>
      </c>
      <c r="S56" s="105"/>
      <c r="T56" s="105">
        <f t="shared" ref="T56:AE57" si="50">+T52+T54</f>
        <v>0</v>
      </c>
      <c r="U56" s="105">
        <f t="shared" ref="U56" si="51">+U52+U54</f>
        <v>0</v>
      </c>
      <c r="V56" s="105">
        <f t="shared" ref="V56" si="52">+V52+V54</f>
        <v>0</v>
      </c>
      <c r="W56" s="105">
        <f t="shared" si="50"/>
        <v>0</v>
      </c>
      <c r="X56" s="105">
        <f t="shared" si="50"/>
        <v>0</v>
      </c>
      <c r="Y56" s="105">
        <f t="shared" si="50"/>
        <v>0</v>
      </c>
      <c r="Z56" s="105">
        <f t="shared" si="50"/>
        <v>0</v>
      </c>
      <c r="AA56" s="105">
        <f t="shared" si="50"/>
        <v>0</v>
      </c>
      <c r="AB56" s="105">
        <f t="shared" si="50"/>
        <v>0</v>
      </c>
      <c r="AC56" s="105">
        <f t="shared" si="50"/>
        <v>0</v>
      </c>
      <c r="AD56" s="105">
        <f t="shared" si="50"/>
        <v>0</v>
      </c>
      <c r="AE56" s="105">
        <f t="shared" si="50"/>
        <v>0</v>
      </c>
      <c r="AF56" s="209"/>
      <c r="AG56" s="361"/>
      <c r="AH56" s="361"/>
      <c r="AI56" s="361"/>
      <c r="AJ56" s="361"/>
      <c r="AK56" s="361"/>
      <c r="AL56" s="361"/>
      <c r="AM56" s="361"/>
      <c r="AN56" s="361"/>
      <c r="AO56" s="463"/>
      <c r="AP56" s="465"/>
      <c r="AQ56" s="361"/>
      <c r="AR56" s="361"/>
      <c r="AS56" s="361"/>
      <c r="AT56" s="361"/>
      <c r="AU56" s="361"/>
      <c r="AV56" s="361"/>
      <c r="AW56" s="361"/>
      <c r="AX56" s="459"/>
      <c r="AY56" s="461"/>
    </row>
    <row r="57" spans="1:51" s="60" customFormat="1" ht="29.25" customHeight="1" x14ac:dyDescent="0.25">
      <c r="A57" s="467"/>
      <c r="B57" s="469"/>
      <c r="C57" s="453"/>
      <c r="D57" s="158" t="s">
        <v>44</v>
      </c>
      <c r="E57" s="137">
        <v>0</v>
      </c>
      <c r="F57" s="137">
        <f t="shared" si="49"/>
        <v>0</v>
      </c>
      <c r="G57" s="137">
        <f t="shared" si="49"/>
        <v>0</v>
      </c>
      <c r="H57" s="137">
        <f t="shared" si="49"/>
        <v>0</v>
      </c>
      <c r="I57" s="137">
        <f t="shared" si="49"/>
        <v>0</v>
      </c>
      <c r="J57" s="137">
        <f t="shared" si="49"/>
        <v>0</v>
      </c>
      <c r="K57" s="137">
        <f t="shared" si="49"/>
        <v>0</v>
      </c>
      <c r="L57" s="137">
        <f t="shared" si="49"/>
        <v>0</v>
      </c>
      <c r="M57" s="137">
        <f t="shared" si="49"/>
        <v>0</v>
      </c>
      <c r="N57" s="137">
        <f t="shared" si="49"/>
        <v>0</v>
      </c>
      <c r="O57" s="137">
        <f t="shared" si="49"/>
        <v>0</v>
      </c>
      <c r="P57" s="137">
        <f t="shared" si="49"/>
        <v>0</v>
      </c>
      <c r="Q57" s="137">
        <f t="shared" si="49"/>
        <v>0</v>
      </c>
      <c r="R57" s="137">
        <f t="shared" si="49"/>
        <v>0</v>
      </c>
      <c r="S57" s="137"/>
      <c r="T57" s="137">
        <f t="shared" si="50"/>
        <v>0</v>
      </c>
      <c r="U57" s="137">
        <f t="shared" ref="U57" si="53">+U53+U55</f>
        <v>0</v>
      </c>
      <c r="V57" s="137">
        <f t="shared" ref="V57" si="54">+V53+V55</f>
        <v>0</v>
      </c>
      <c r="W57" s="137">
        <f t="shared" si="50"/>
        <v>0</v>
      </c>
      <c r="X57" s="137">
        <f t="shared" si="50"/>
        <v>0</v>
      </c>
      <c r="Y57" s="137">
        <f t="shared" si="50"/>
        <v>0</v>
      </c>
      <c r="Z57" s="137">
        <f t="shared" si="50"/>
        <v>0</v>
      </c>
      <c r="AA57" s="137">
        <f t="shared" si="50"/>
        <v>0</v>
      </c>
      <c r="AB57" s="137">
        <f t="shared" si="50"/>
        <v>0</v>
      </c>
      <c r="AC57" s="137">
        <f t="shared" si="50"/>
        <v>0</v>
      </c>
      <c r="AD57" s="137">
        <f t="shared" si="50"/>
        <v>0</v>
      </c>
      <c r="AE57" s="105">
        <f t="shared" si="50"/>
        <v>0</v>
      </c>
      <c r="AF57" s="124"/>
      <c r="AG57" s="361"/>
      <c r="AH57" s="361"/>
      <c r="AI57" s="361"/>
      <c r="AJ57" s="361"/>
      <c r="AK57" s="361"/>
      <c r="AL57" s="361"/>
      <c r="AM57" s="361"/>
      <c r="AN57" s="361"/>
      <c r="AO57" s="463"/>
      <c r="AP57" s="465"/>
      <c r="AQ57" s="361"/>
      <c r="AR57" s="361"/>
      <c r="AS57" s="361"/>
      <c r="AT57" s="361"/>
      <c r="AU57" s="361"/>
      <c r="AV57" s="361"/>
      <c r="AW57" s="361"/>
      <c r="AX57" s="459"/>
      <c r="AY57" s="461"/>
    </row>
    <row r="58" spans="1:51" ht="29.25" customHeight="1" x14ac:dyDescent="0.25">
      <c r="A58" s="467"/>
      <c r="B58" s="469"/>
      <c r="C58" s="468" t="s">
        <v>490</v>
      </c>
      <c r="D58" s="159" t="s">
        <v>40</v>
      </c>
      <c r="E58" s="324">
        <v>0</v>
      </c>
      <c r="F58" s="324">
        <v>0</v>
      </c>
      <c r="G58" s="324">
        <v>0</v>
      </c>
      <c r="H58" s="324">
        <v>0</v>
      </c>
      <c r="I58" s="324">
        <v>0</v>
      </c>
      <c r="J58" s="324">
        <v>0</v>
      </c>
      <c r="K58" s="324">
        <v>0</v>
      </c>
      <c r="L58" s="324">
        <v>0</v>
      </c>
      <c r="M58" s="324">
        <v>0</v>
      </c>
      <c r="N58" s="324">
        <v>0</v>
      </c>
      <c r="O58" s="324">
        <v>0</v>
      </c>
      <c r="P58" s="324">
        <v>0</v>
      </c>
      <c r="Q58" s="324">
        <v>0</v>
      </c>
      <c r="R58" s="324">
        <v>0</v>
      </c>
      <c r="S58" s="324"/>
      <c r="T58" s="324">
        <v>0</v>
      </c>
      <c r="U58" s="324">
        <v>17</v>
      </c>
      <c r="V58" s="324">
        <f>+U58+6</f>
        <v>23</v>
      </c>
      <c r="W58" s="324"/>
      <c r="X58" s="324"/>
      <c r="Y58" s="324"/>
      <c r="Z58" s="105"/>
      <c r="AA58" s="324"/>
      <c r="AB58" s="324"/>
      <c r="AC58" s="324"/>
      <c r="AD58" s="324"/>
      <c r="AE58" s="105"/>
      <c r="AF58" s="324"/>
      <c r="AG58" s="361" t="s">
        <v>491</v>
      </c>
      <c r="AH58" s="361" t="s">
        <v>329</v>
      </c>
      <c r="AI58" s="361" t="s">
        <v>329</v>
      </c>
      <c r="AJ58" s="361" t="s">
        <v>491</v>
      </c>
      <c r="AK58" s="361" t="s">
        <v>331</v>
      </c>
      <c r="AL58" s="361" t="s">
        <v>329</v>
      </c>
      <c r="AM58" s="361" t="s">
        <v>329</v>
      </c>
      <c r="AN58" s="361" t="s">
        <v>329</v>
      </c>
      <c r="AO58" s="463">
        <v>77479</v>
      </c>
      <c r="AP58" s="465">
        <v>85731</v>
      </c>
      <c r="AQ58" s="361" t="s">
        <v>329</v>
      </c>
      <c r="AR58" s="361" t="s">
        <v>329</v>
      </c>
      <c r="AS58" s="361" t="s">
        <v>329</v>
      </c>
      <c r="AT58" s="361" t="s">
        <v>329</v>
      </c>
      <c r="AU58" s="361" t="s">
        <v>329</v>
      </c>
      <c r="AV58" s="361" t="s">
        <v>329</v>
      </c>
      <c r="AW58" s="361" t="s">
        <v>329</v>
      </c>
      <c r="AX58" s="459">
        <f>+AO58+AP58</f>
        <v>163210</v>
      </c>
      <c r="AY58" s="461"/>
    </row>
    <row r="59" spans="1:51" s="64" customFormat="1" ht="29.25" customHeight="1" x14ac:dyDescent="0.25">
      <c r="A59" s="467"/>
      <c r="B59" s="469"/>
      <c r="C59" s="469"/>
      <c r="D59" s="158" t="s">
        <v>3</v>
      </c>
      <c r="E59" s="124">
        <v>0</v>
      </c>
      <c r="F59" s="124">
        <v>0</v>
      </c>
      <c r="G59" s="124">
        <v>0</v>
      </c>
      <c r="H59" s="124">
        <v>0</v>
      </c>
      <c r="I59" s="124">
        <v>0</v>
      </c>
      <c r="J59" s="124">
        <v>0</v>
      </c>
      <c r="K59" s="124">
        <v>0</v>
      </c>
      <c r="L59" s="124">
        <v>0</v>
      </c>
      <c r="M59" s="124">
        <v>0</v>
      </c>
      <c r="N59" s="124">
        <v>0</v>
      </c>
      <c r="O59" s="124">
        <v>0</v>
      </c>
      <c r="P59" s="124">
        <v>0</v>
      </c>
      <c r="Q59" s="124">
        <v>0</v>
      </c>
      <c r="R59" s="124">
        <v>0</v>
      </c>
      <c r="S59" s="137"/>
      <c r="T59" s="124">
        <v>0</v>
      </c>
      <c r="U59" s="124">
        <v>0</v>
      </c>
      <c r="V59" s="124">
        <v>0</v>
      </c>
      <c r="W59" s="124"/>
      <c r="X59" s="124"/>
      <c r="Y59" s="124"/>
      <c r="Z59" s="124"/>
      <c r="AA59" s="124"/>
      <c r="AB59" s="124"/>
      <c r="AC59" s="124"/>
      <c r="AD59" s="124"/>
      <c r="AE59" s="105"/>
      <c r="AF59" s="137"/>
      <c r="AG59" s="361"/>
      <c r="AH59" s="361"/>
      <c r="AI59" s="361"/>
      <c r="AJ59" s="361"/>
      <c r="AK59" s="361"/>
      <c r="AL59" s="361"/>
      <c r="AM59" s="361"/>
      <c r="AN59" s="361"/>
      <c r="AO59" s="463"/>
      <c r="AP59" s="465"/>
      <c r="AQ59" s="361"/>
      <c r="AR59" s="361"/>
      <c r="AS59" s="361"/>
      <c r="AT59" s="361"/>
      <c r="AU59" s="361"/>
      <c r="AV59" s="361"/>
      <c r="AW59" s="361"/>
      <c r="AX59" s="459"/>
      <c r="AY59" s="461"/>
    </row>
    <row r="60" spans="1:51" ht="29.25" customHeight="1" x14ac:dyDescent="0.25">
      <c r="A60" s="467"/>
      <c r="B60" s="469"/>
      <c r="C60" s="469"/>
      <c r="D60" s="159" t="s">
        <v>41</v>
      </c>
      <c r="E60" s="324">
        <v>0</v>
      </c>
      <c r="F60" s="209">
        <v>0</v>
      </c>
      <c r="G60" s="209">
        <v>0</v>
      </c>
      <c r="H60" s="209">
        <v>0</v>
      </c>
      <c r="I60" s="209">
        <v>0</v>
      </c>
      <c r="J60" s="209">
        <v>0</v>
      </c>
      <c r="K60" s="209">
        <v>0</v>
      </c>
      <c r="L60" s="209">
        <v>0</v>
      </c>
      <c r="M60" s="209">
        <v>0</v>
      </c>
      <c r="N60" s="209">
        <v>0</v>
      </c>
      <c r="O60" s="209">
        <v>0</v>
      </c>
      <c r="P60" s="209">
        <v>0</v>
      </c>
      <c r="Q60" s="209">
        <v>0</v>
      </c>
      <c r="R60" s="209">
        <v>0</v>
      </c>
      <c r="S60" s="209"/>
      <c r="T60" s="324">
        <v>0</v>
      </c>
      <c r="U60" s="324">
        <v>0</v>
      </c>
      <c r="V60" s="324">
        <v>0</v>
      </c>
      <c r="W60" s="324"/>
      <c r="X60" s="324"/>
      <c r="Y60" s="324"/>
      <c r="Z60" s="160"/>
      <c r="AA60" s="209"/>
      <c r="AB60" s="209"/>
      <c r="AC60" s="209"/>
      <c r="AD60" s="209"/>
      <c r="AE60" s="105"/>
      <c r="AF60" s="209"/>
      <c r="AG60" s="361"/>
      <c r="AH60" s="361"/>
      <c r="AI60" s="361"/>
      <c r="AJ60" s="361"/>
      <c r="AK60" s="361"/>
      <c r="AL60" s="361"/>
      <c r="AM60" s="361"/>
      <c r="AN60" s="361"/>
      <c r="AO60" s="463"/>
      <c r="AP60" s="465"/>
      <c r="AQ60" s="361"/>
      <c r="AR60" s="361"/>
      <c r="AS60" s="361"/>
      <c r="AT60" s="361"/>
      <c r="AU60" s="361"/>
      <c r="AV60" s="361"/>
      <c r="AW60" s="361"/>
      <c r="AX60" s="459"/>
      <c r="AY60" s="461"/>
    </row>
    <row r="61" spans="1:51" s="34" customFormat="1" ht="29.25" customHeight="1" x14ac:dyDescent="0.25">
      <c r="A61" s="467"/>
      <c r="B61" s="469"/>
      <c r="C61" s="469"/>
      <c r="D61" s="158" t="s">
        <v>4</v>
      </c>
      <c r="E61" s="124">
        <v>0</v>
      </c>
      <c r="F61" s="137">
        <v>0</v>
      </c>
      <c r="G61" s="137">
        <v>0</v>
      </c>
      <c r="H61" s="137">
        <v>0</v>
      </c>
      <c r="I61" s="137">
        <v>0</v>
      </c>
      <c r="J61" s="137">
        <v>0</v>
      </c>
      <c r="K61" s="137">
        <v>0</v>
      </c>
      <c r="L61" s="137">
        <v>0</v>
      </c>
      <c r="M61" s="137">
        <v>0</v>
      </c>
      <c r="N61" s="137">
        <v>0</v>
      </c>
      <c r="O61" s="137">
        <v>0</v>
      </c>
      <c r="P61" s="137">
        <v>0</v>
      </c>
      <c r="Q61" s="137">
        <v>0</v>
      </c>
      <c r="R61" s="137">
        <v>0</v>
      </c>
      <c r="S61" s="137"/>
      <c r="T61" s="124">
        <v>0</v>
      </c>
      <c r="U61" s="124">
        <v>0</v>
      </c>
      <c r="V61" s="124">
        <v>0</v>
      </c>
      <c r="W61" s="124"/>
      <c r="X61" s="124"/>
      <c r="Y61" s="124"/>
      <c r="Z61" s="124"/>
      <c r="AA61" s="137"/>
      <c r="AB61" s="137"/>
      <c r="AC61" s="137"/>
      <c r="AD61" s="137"/>
      <c r="AE61" s="105"/>
      <c r="AF61" s="137"/>
      <c r="AG61" s="361"/>
      <c r="AH61" s="361"/>
      <c r="AI61" s="361"/>
      <c r="AJ61" s="361"/>
      <c r="AK61" s="361"/>
      <c r="AL61" s="361"/>
      <c r="AM61" s="361"/>
      <c r="AN61" s="361"/>
      <c r="AO61" s="463"/>
      <c r="AP61" s="465"/>
      <c r="AQ61" s="361"/>
      <c r="AR61" s="361"/>
      <c r="AS61" s="361"/>
      <c r="AT61" s="361"/>
      <c r="AU61" s="361"/>
      <c r="AV61" s="361"/>
      <c r="AW61" s="361"/>
      <c r="AX61" s="459"/>
      <c r="AY61" s="461"/>
    </row>
    <row r="62" spans="1:51" ht="29.25" customHeight="1" x14ac:dyDescent="0.25">
      <c r="A62" s="467"/>
      <c r="B62" s="469"/>
      <c r="C62" s="469"/>
      <c r="D62" s="159" t="s">
        <v>42</v>
      </c>
      <c r="E62" s="105">
        <v>0</v>
      </c>
      <c r="F62" s="105">
        <f t="shared" ref="F62:R63" si="55">+F58+F60</f>
        <v>0</v>
      </c>
      <c r="G62" s="105">
        <f t="shared" si="55"/>
        <v>0</v>
      </c>
      <c r="H62" s="105">
        <f t="shared" si="55"/>
        <v>0</v>
      </c>
      <c r="I62" s="105">
        <f t="shared" si="55"/>
        <v>0</v>
      </c>
      <c r="J62" s="105">
        <f t="shared" si="55"/>
        <v>0</v>
      </c>
      <c r="K62" s="105">
        <f t="shared" si="55"/>
        <v>0</v>
      </c>
      <c r="L62" s="105">
        <f t="shared" si="55"/>
        <v>0</v>
      </c>
      <c r="M62" s="105">
        <f t="shared" si="55"/>
        <v>0</v>
      </c>
      <c r="N62" s="105">
        <f t="shared" si="55"/>
        <v>0</v>
      </c>
      <c r="O62" s="105">
        <f t="shared" si="55"/>
        <v>0</v>
      </c>
      <c r="P62" s="105">
        <f t="shared" si="55"/>
        <v>0</v>
      </c>
      <c r="Q62" s="105">
        <f t="shared" si="55"/>
        <v>0</v>
      </c>
      <c r="R62" s="105">
        <f t="shared" si="55"/>
        <v>0</v>
      </c>
      <c r="S62" s="105"/>
      <c r="T62" s="105">
        <f t="shared" ref="T62:AE63" si="56">+T58+T60</f>
        <v>0</v>
      </c>
      <c r="U62" s="105">
        <f t="shared" ref="U62" si="57">+U58+U60</f>
        <v>17</v>
      </c>
      <c r="V62" s="105">
        <f t="shared" ref="V62" si="58">+V58+V60</f>
        <v>23</v>
      </c>
      <c r="W62" s="105">
        <f t="shared" si="56"/>
        <v>0</v>
      </c>
      <c r="X62" s="105">
        <f t="shared" si="56"/>
        <v>0</v>
      </c>
      <c r="Y62" s="105">
        <f t="shared" si="56"/>
        <v>0</v>
      </c>
      <c r="Z62" s="105">
        <f t="shared" si="56"/>
        <v>0</v>
      </c>
      <c r="AA62" s="105">
        <f t="shared" si="56"/>
        <v>0</v>
      </c>
      <c r="AB62" s="105">
        <f t="shared" si="56"/>
        <v>0</v>
      </c>
      <c r="AC62" s="105">
        <f t="shared" si="56"/>
        <v>0</v>
      </c>
      <c r="AD62" s="105">
        <f t="shared" si="56"/>
        <v>0</v>
      </c>
      <c r="AE62" s="105">
        <f t="shared" si="56"/>
        <v>0</v>
      </c>
      <c r="AF62" s="209"/>
      <c r="AG62" s="361"/>
      <c r="AH62" s="361"/>
      <c r="AI62" s="361"/>
      <c r="AJ62" s="361"/>
      <c r="AK62" s="361"/>
      <c r="AL62" s="361"/>
      <c r="AM62" s="361"/>
      <c r="AN62" s="361"/>
      <c r="AO62" s="463"/>
      <c r="AP62" s="465"/>
      <c r="AQ62" s="361"/>
      <c r="AR62" s="361"/>
      <c r="AS62" s="361"/>
      <c r="AT62" s="361"/>
      <c r="AU62" s="361"/>
      <c r="AV62" s="361"/>
      <c r="AW62" s="361"/>
      <c r="AX62" s="459"/>
      <c r="AY62" s="461"/>
    </row>
    <row r="63" spans="1:51" s="60" customFormat="1" ht="29.25" customHeight="1" x14ac:dyDescent="0.25">
      <c r="A63" s="467"/>
      <c r="B63" s="469"/>
      <c r="C63" s="453"/>
      <c r="D63" s="158" t="s">
        <v>44</v>
      </c>
      <c r="E63" s="137">
        <v>0</v>
      </c>
      <c r="F63" s="137">
        <f t="shared" si="55"/>
        <v>0</v>
      </c>
      <c r="G63" s="137">
        <f t="shared" si="55"/>
        <v>0</v>
      </c>
      <c r="H63" s="137">
        <f t="shared" si="55"/>
        <v>0</v>
      </c>
      <c r="I63" s="137">
        <f t="shared" si="55"/>
        <v>0</v>
      </c>
      <c r="J63" s="137">
        <f t="shared" si="55"/>
        <v>0</v>
      </c>
      <c r="K63" s="137">
        <f t="shared" si="55"/>
        <v>0</v>
      </c>
      <c r="L63" s="137">
        <f t="shared" si="55"/>
        <v>0</v>
      </c>
      <c r="M63" s="137">
        <f t="shared" si="55"/>
        <v>0</v>
      </c>
      <c r="N63" s="137">
        <f t="shared" si="55"/>
        <v>0</v>
      </c>
      <c r="O63" s="137">
        <f t="shared" si="55"/>
        <v>0</v>
      </c>
      <c r="P63" s="137">
        <f t="shared" si="55"/>
        <v>0</v>
      </c>
      <c r="Q63" s="137">
        <f t="shared" si="55"/>
        <v>0</v>
      </c>
      <c r="R63" s="137">
        <f t="shared" si="55"/>
        <v>0</v>
      </c>
      <c r="S63" s="137"/>
      <c r="T63" s="137">
        <f t="shared" si="56"/>
        <v>0</v>
      </c>
      <c r="U63" s="137">
        <f t="shared" ref="U63" si="59">+U59+U61</f>
        <v>0</v>
      </c>
      <c r="V63" s="137">
        <f t="shared" ref="V63" si="60">+V59+V61</f>
        <v>0</v>
      </c>
      <c r="W63" s="137">
        <f t="shared" si="56"/>
        <v>0</v>
      </c>
      <c r="X63" s="137">
        <f t="shared" si="56"/>
        <v>0</v>
      </c>
      <c r="Y63" s="137">
        <f t="shared" si="56"/>
        <v>0</v>
      </c>
      <c r="Z63" s="137">
        <f t="shared" si="56"/>
        <v>0</v>
      </c>
      <c r="AA63" s="137">
        <f t="shared" si="56"/>
        <v>0</v>
      </c>
      <c r="AB63" s="137">
        <f t="shared" si="56"/>
        <v>0</v>
      </c>
      <c r="AC63" s="137">
        <f t="shared" si="56"/>
        <v>0</v>
      </c>
      <c r="AD63" s="137">
        <f t="shared" si="56"/>
        <v>0</v>
      </c>
      <c r="AE63" s="105">
        <f t="shared" si="56"/>
        <v>0</v>
      </c>
      <c r="AF63" s="124"/>
      <c r="AG63" s="361"/>
      <c r="AH63" s="361"/>
      <c r="AI63" s="361"/>
      <c r="AJ63" s="361"/>
      <c r="AK63" s="361"/>
      <c r="AL63" s="361"/>
      <c r="AM63" s="361"/>
      <c r="AN63" s="361"/>
      <c r="AO63" s="463"/>
      <c r="AP63" s="465"/>
      <c r="AQ63" s="361"/>
      <c r="AR63" s="361"/>
      <c r="AS63" s="361"/>
      <c r="AT63" s="361"/>
      <c r="AU63" s="361"/>
      <c r="AV63" s="361"/>
      <c r="AW63" s="361"/>
      <c r="AX63" s="459"/>
      <c r="AY63" s="461"/>
    </row>
    <row r="64" spans="1:51" ht="29.25" customHeight="1" x14ac:dyDescent="0.25">
      <c r="A64" s="467"/>
      <c r="B64" s="469"/>
      <c r="C64" s="468" t="s">
        <v>492</v>
      </c>
      <c r="D64" s="159" t="s">
        <v>40</v>
      </c>
      <c r="E64" s="324">
        <v>0</v>
      </c>
      <c r="F64" s="324">
        <v>0</v>
      </c>
      <c r="G64" s="324">
        <v>0</v>
      </c>
      <c r="H64" s="324">
        <v>0</v>
      </c>
      <c r="I64" s="324">
        <v>0</v>
      </c>
      <c r="J64" s="324">
        <v>0</v>
      </c>
      <c r="K64" s="324">
        <v>0</v>
      </c>
      <c r="L64" s="324">
        <v>0</v>
      </c>
      <c r="M64" s="324">
        <v>0</v>
      </c>
      <c r="N64" s="324">
        <v>0</v>
      </c>
      <c r="O64" s="324">
        <v>0</v>
      </c>
      <c r="P64" s="324">
        <v>0</v>
      </c>
      <c r="Q64" s="324">
        <v>0</v>
      </c>
      <c r="R64" s="324">
        <v>0</v>
      </c>
      <c r="S64" s="324"/>
      <c r="T64" s="324">
        <v>0</v>
      </c>
      <c r="U64" s="324">
        <v>3</v>
      </c>
      <c r="V64" s="324">
        <f>+U64</f>
        <v>3</v>
      </c>
      <c r="W64" s="324"/>
      <c r="X64" s="324"/>
      <c r="Y64" s="324"/>
      <c r="Z64" s="105"/>
      <c r="AA64" s="324"/>
      <c r="AB64" s="324"/>
      <c r="AC64" s="324"/>
      <c r="AD64" s="324"/>
      <c r="AE64" s="105"/>
      <c r="AF64" s="324"/>
      <c r="AG64" s="361" t="s">
        <v>493</v>
      </c>
      <c r="AH64" s="361" t="s">
        <v>329</v>
      </c>
      <c r="AI64" s="361" t="s">
        <v>329</v>
      </c>
      <c r="AJ64" s="361" t="s">
        <v>493</v>
      </c>
      <c r="AK64" s="361" t="s">
        <v>331</v>
      </c>
      <c r="AL64" s="361" t="s">
        <v>329</v>
      </c>
      <c r="AM64" s="361" t="s">
        <v>329</v>
      </c>
      <c r="AN64" s="361" t="s">
        <v>329</v>
      </c>
      <c r="AO64" s="463">
        <v>306776</v>
      </c>
      <c r="AP64" s="465">
        <v>32750</v>
      </c>
      <c r="AQ64" s="361" t="s">
        <v>329</v>
      </c>
      <c r="AR64" s="361" t="s">
        <v>329</v>
      </c>
      <c r="AS64" s="361" t="s">
        <v>329</v>
      </c>
      <c r="AT64" s="361" t="s">
        <v>329</v>
      </c>
      <c r="AU64" s="361" t="s">
        <v>329</v>
      </c>
      <c r="AV64" s="361" t="s">
        <v>329</v>
      </c>
      <c r="AW64" s="361" t="s">
        <v>329</v>
      </c>
      <c r="AX64" s="459">
        <f>+AO64+AP64</f>
        <v>339526</v>
      </c>
      <c r="AY64" s="461"/>
    </row>
    <row r="65" spans="1:51" ht="29.25" customHeight="1" x14ac:dyDescent="0.25">
      <c r="A65" s="467"/>
      <c r="B65" s="469"/>
      <c r="C65" s="469"/>
      <c r="D65" s="158" t="s">
        <v>3</v>
      </c>
      <c r="E65" s="124">
        <v>0</v>
      </c>
      <c r="F65" s="124">
        <v>0</v>
      </c>
      <c r="G65" s="124">
        <v>0</v>
      </c>
      <c r="H65" s="124">
        <v>0</v>
      </c>
      <c r="I65" s="124">
        <v>0</v>
      </c>
      <c r="J65" s="124">
        <v>0</v>
      </c>
      <c r="K65" s="124">
        <v>0</v>
      </c>
      <c r="L65" s="124">
        <v>0</v>
      </c>
      <c r="M65" s="124">
        <v>0</v>
      </c>
      <c r="N65" s="124">
        <v>0</v>
      </c>
      <c r="O65" s="124">
        <v>0</v>
      </c>
      <c r="P65" s="124">
        <v>0</v>
      </c>
      <c r="Q65" s="124">
        <v>0</v>
      </c>
      <c r="R65" s="124">
        <v>0</v>
      </c>
      <c r="S65" s="137"/>
      <c r="T65" s="124">
        <v>0</v>
      </c>
      <c r="U65" s="124">
        <v>0</v>
      </c>
      <c r="V65" s="124">
        <v>0</v>
      </c>
      <c r="W65" s="124"/>
      <c r="X65" s="124"/>
      <c r="Y65" s="124"/>
      <c r="Z65" s="124"/>
      <c r="AA65" s="124"/>
      <c r="AB65" s="124"/>
      <c r="AC65" s="124"/>
      <c r="AD65" s="124"/>
      <c r="AE65" s="105"/>
      <c r="AF65" s="137"/>
      <c r="AG65" s="361"/>
      <c r="AH65" s="361"/>
      <c r="AI65" s="361"/>
      <c r="AJ65" s="361"/>
      <c r="AK65" s="361"/>
      <c r="AL65" s="361"/>
      <c r="AM65" s="361"/>
      <c r="AN65" s="361"/>
      <c r="AO65" s="463"/>
      <c r="AP65" s="465"/>
      <c r="AQ65" s="361"/>
      <c r="AR65" s="361"/>
      <c r="AS65" s="361"/>
      <c r="AT65" s="361"/>
      <c r="AU65" s="361"/>
      <c r="AV65" s="361"/>
      <c r="AW65" s="361"/>
      <c r="AX65" s="459"/>
      <c r="AY65" s="461"/>
    </row>
    <row r="66" spans="1:51" ht="29.25" customHeight="1" x14ac:dyDescent="0.25">
      <c r="A66" s="467"/>
      <c r="B66" s="469"/>
      <c r="C66" s="469"/>
      <c r="D66" s="159" t="s">
        <v>41</v>
      </c>
      <c r="E66" s="324">
        <v>0</v>
      </c>
      <c r="F66" s="209">
        <v>0</v>
      </c>
      <c r="G66" s="209">
        <v>0</v>
      </c>
      <c r="H66" s="209">
        <v>0</v>
      </c>
      <c r="I66" s="209">
        <v>0</v>
      </c>
      <c r="J66" s="209">
        <v>0</v>
      </c>
      <c r="K66" s="209">
        <v>0</v>
      </c>
      <c r="L66" s="209">
        <v>0</v>
      </c>
      <c r="M66" s="209">
        <v>0</v>
      </c>
      <c r="N66" s="209">
        <v>0</v>
      </c>
      <c r="O66" s="209">
        <v>0</v>
      </c>
      <c r="P66" s="209">
        <v>0</v>
      </c>
      <c r="Q66" s="209">
        <v>0</v>
      </c>
      <c r="R66" s="209">
        <v>0</v>
      </c>
      <c r="S66" s="209"/>
      <c r="T66" s="324">
        <v>0</v>
      </c>
      <c r="U66" s="324">
        <v>0</v>
      </c>
      <c r="V66" s="324">
        <v>0</v>
      </c>
      <c r="W66" s="324"/>
      <c r="X66" s="324"/>
      <c r="Y66" s="324"/>
      <c r="Z66" s="160"/>
      <c r="AA66" s="209"/>
      <c r="AB66" s="209"/>
      <c r="AC66" s="209"/>
      <c r="AD66" s="209"/>
      <c r="AE66" s="105"/>
      <c r="AF66" s="209"/>
      <c r="AG66" s="361"/>
      <c r="AH66" s="361"/>
      <c r="AI66" s="361"/>
      <c r="AJ66" s="361"/>
      <c r="AK66" s="361"/>
      <c r="AL66" s="361"/>
      <c r="AM66" s="361"/>
      <c r="AN66" s="361"/>
      <c r="AO66" s="463"/>
      <c r="AP66" s="465"/>
      <c r="AQ66" s="361"/>
      <c r="AR66" s="361"/>
      <c r="AS66" s="361"/>
      <c r="AT66" s="361"/>
      <c r="AU66" s="361"/>
      <c r="AV66" s="361"/>
      <c r="AW66" s="361"/>
      <c r="AX66" s="459"/>
      <c r="AY66" s="461"/>
    </row>
    <row r="67" spans="1:51" s="60" customFormat="1" ht="29.25" customHeight="1" x14ac:dyDescent="0.25">
      <c r="A67" s="467"/>
      <c r="B67" s="469"/>
      <c r="C67" s="469"/>
      <c r="D67" s="158" t="s">
        <v>4</v>
      </c>
      <c r="E67" s="124">
        <v>0</v>
      </c>
      <c r="F67" s="137">
        <v>0</v>
      </c>
      <c r="G67" s="137">
        <v>0</v>
      </c>
      <c r="H67" s="137">
        <v>0</v>
      </c>
      <c r="I67" s="137">
        <v>0</v>
      </c>
      <c r="J67" s="137">
        <v>0</v>
      </c>
      <c r="K67" s="137">
        <v>0</v>
      </c>
      <c r="L67" s="137">
        <v>0</v>
      </c>
      <c r="M67" s="137">
        <v>0</v>
      </c>
      <c r="N67" s="137">
        <v>0</v>
      </c>
      <c r="O67" s="137">
        <v>0</v>
      </c>
      <c r="P67" s="137">
        <v>0</v>
      </c>
      <c r="Q67" s="137">
        <v>0</v>
      </c>
      <c r="R67" s="137">
        <v>0</v>
      </c>
      <c r="S67" s="137"/>
      <c r="T67" s="124">
        <v>0</v>
      </c>
      <c r="U67" s="124">
        <v>0</v>
      </c>
      <c r="V67" s="124">
        <v>0</v>
      </c>
      <c r="W67" s="124"/>
      <c r="X67" s="124"/>
      <c r="Y67" s="124"/>
      <c r="Z67" s="124"/>
      <c r="AA67" s="137"/>
      <c r="AB67" s="137"/>
      <c r="AC67" s="137"/>
      <c r="AD67" s="137"/>
      <c r="AE67" s="105"/>
      <c r="AF67" s="137"/>
      <c r="AG67" s="361"/>
      <c r="AH67" s="361"/>
      <c r="AI67" s="361"/>
      <c r="AJ67" s="361"/>
      <c r="AK67" s="361"/>
      <c r="AL67" s="361"/>
      <c r="AM67" s="361"/>
      <c r="AN67" s="361"/>
      <c r="AO67" s="463"/>
      <c r="AP67" s="465"/>
      <c r="AQ67" s="361"/>
      <c r="AR67" s="361"/>
      <c r="AS67" s="361"/>
      <c r="AT67" s="361"/>
      <c r="AU67" s="361"/>
      <c r="AV67" s="361"/>
      <c r="AW67" s="361"/>
      <c r="AX67" s="459"/>
      <c r="AY67" s="461"/>
    </row>
    <row r="68" spans="1:51" ht="29.25" customHeight="1" x14ac:dyDescent="0.25">
      <c r="A68" s="467"/>
      <c r="B68" s="469"/>
      <c r="C68" s="469"/>
      <c r="D68" s="159" t="s">
        <v>42</v>
      </c>
      <c r="E68" s="105">
        <v>0</v>
      </c>
      <c r="F68" s="105">
        <f t="shared" ref="F68:R69" si="61">+F64+F66</f>
        <v>0</v>
      </c>
      <c r="G68" s="105">
        <f t="shared" si="61"/>
        <v>0</v>
      </c>
      <c r="H68" s="105">
        <f t="shared" si="61"/>
        <v>0</v>
      </c>
      <c r="I68" s="105">
        <f t="shared" si="61"/>
        <v>0</v>
      </c>
      <c r="J68" s="105">
        <f t="shared" si="61"/>
        <v>0</v>
      </c>
      <c r="K68" s="105">
        <f t="shared" si="61"/>
        <v>0</v>
      </c>
      <c r="L68" s="105">
        <f t="shared" si="61"/>
        <v>0</v>
      </c>
      <c r="M68" s="105">
        <f t="shared" si="61"/>
        <v>0</v>
      </c>
      <c r="N68" s="105">
        <f t="shared" si="61"/>
        <v>0</v>
      </c>
      <c r="O68" s="105">
        <f t="shared" si="61"/>
        <v>0</v>
      </c>
      <c r="P68" s="105">
        <f t="shared" si="61"/>
        <v>0</v>
      </c>
      <c r="Q68" s="105">
        <f t="shared" si="61"/>
        <v>0</v>
      </c>
      <c r="R68" s="105">
        <f t="shared" si="61"/>
        <v>0</v>
      </c>
      <c r="S68" s="105"/>
      <c r="T68" s="105">
        <f t="shared" ref="T68:AE69" si="62">+T64+T66</f>
        <v>0</v>
      </c>
      <c r="U68" s="105">
        <f t="shared" ref="U68" si="63">+U64+U66</f>
        <v>3</v>
      </c>
      <c r="V68" s="105">
        <f t="shared" ref="V68" si="64">+V64+V66</f>
        <v>3</v>
      </c>
      <c r="W68" s="105">
        <f t="shared" si="62"/>
        <v>0</v>
      </c>
      <c r="X68" s="105">
        <f t="shared" si="62"/>
        <v>0</v>
      </c>
      <c r="Y68" s="105">
        <f t="shared" si="62"/>
        <v>0</v>
      </c>
      <c r="Z68" s="105">
        <f t="shared" si="62"/>
        <v>0</v>
      </c>
      <c r="AA68" s="105">
        <f t="shared" si="62"/>
        <v>0</v>
      </c>
      <c r="AB68" s="105">
        <f t="shared" si="62"/>
        <v>0</v>
      </c>
      <c r="AC68" s="105">
        <f t="shared" si="62"/>
        <v>0</v>
      </c>
      <c r="AD68" s="105">
        <f t="shared" si="62"/>
        <v>0</v>
      </c>
      <c r="AE68" s="105">
        <f t="shared" si="62"/>
        <v>0</v>
      </c>
      <c r="AF68" s="209"/>
      <c r="AG68" s="361"/>
      <c r="AH68" s="361"/>
      <c r="AI68" s="361"/>
      <c r="AJ68" s="361"/>
      <c r="AK68" s="361"/>
      <c r="AL68" s="361"/>
      <c r="AM68" s="361"/>
      <c r="AN68" s="361"/>
      <c r="AO68" s="463"/>
      <c r="AP68" s="465"/>
      <c r="AQ68" s="361"/>
      <c r="AR68" s="361"/>
      <c r="AS68" s="361"/>
      <c r="AT68" s="361"/>
      <c r="AU68" s="361"/>
      <c r="AV68" s="361"/>
      <c r="AW68" s="361"/>
      <c r="AX68" s="459"/>
      <c r="AY68" s="461"/>
    </row>
    <row r="69" spans="1:51" s="60" customFormat="1" ht="29.25" customHeight="1" x14ac:dyDescent="0.25">
      <c r="A69" s="467"/>
      <c r="B69" s="469"/>
      <c r="C69" s="453"/>
      <c r="D69" s="158" t="s">
        <v>44</v>
      </c>
      <c r="E69" s="137">
        <v>0</v>
      </c>
      <c r="F69" s="137">
        <f t="shared" si="61"/>
        <v>0</v>
      </c>
      <c r="G69" s="137">
        <f t="shared" si="61"/>
        <v>0</v>
      </c>
      <c r="H69" s="137">
        <f t="shared" si="61"/>
        <v>0</v>
      </c>
      <c r="I69" s="137">
        <f t="shared" si="61"/>
        <v>0</v>
      </c>
      <c r="J69" s="137">
        <f t="shared" si="61"/>
        <v>0</v>
      </c>
      <c r="K69" s="137">
        <f t="shared" si="61"/>
        <v>0</v>
      </c>
      <c r="L69" s="137">
        <f t="shared" si="61"/>
        <v>0</v>
      </c>
      <c r="M69" s="137">
        <f t="shared" si="61"/>
        <v>0</v>
      </c>
      <c r="N69" s="137">
        <f t="shared" si="61"/>
        <v>0</v>
      </c>
      <c r="O69" s="137">
        <f t="shared" si="61"/>
        <v>0</v>
      </c>
      <c r="P69" s="137">
        <f t="shared" si="61"/>
        <v>0</v>
      </c>
      <c r="Q69" s="137">
        <f t="shared" si="61"/>
        <v>0</v>
      </c>
      <c r="R69" s="137">
        <f t="shared" si="61"/>
        <v>0</v>
      </c>
      <c r="S69" s="137"/>
      <c r="T69" s="137">
        <f t="shared" si="62"/>
        <v>0</v>
      </c>
      <c r="U69" s="137">
        <f t="shared" ref="U69" si="65">+U65+U67</f>
        <v>0</v>
      </c>
      <c r="V69" s="137">
        <f t="shared" ref="V69" si="66">+V65+V67</f>
        <v>0</v>
      </c>
      <c r="W69" s="137">
        <f t="shared" si="62"/>
        <v>0</v>
      </c>
      <c r="X69" s="137">
        <f t="shared" si="62"/>
        <v>0</v>
      </c>
      <c r="Y69" s="137">
        <f t="shared" si="62"/>
        <v>0</v>
      </c>
      <c r="Z69" s="137">
        <f t="shared" si="62"/>
        <v>0</v>
      </c>
      <c r="AA69" s="137">
        <f t="shared" si="62"/>
        <v>0</v>
      </c>
      <c r="AB69" s="137">
        <f t="shared" si="62"/>
        <v>0</v>
      </c>
      <c r="AC69" s="137">
        <f t="shared" si="62"/>
        <v>0</v>
      </c>
      <c r="AD69" s="137">
        <f t="shared" si="62"/>
        <v>0</v>
      </c>
      <c r="AE69" s="105">
        <f t="shared" si="62"/>
        <v>0</v>
      </c>
      <c r="AF69" s="124"/>
      <c r="AG69" s="361"/>
      <c r="AH69" s="361"/>
      <c r="AI69" s="361"/>
      <c r="AJ69" s="361"/>
      <c r="AK69" s="361"/>
      <c r="AL69" s="361"/>
      <c r="AM69" s="361"/>
      <c r="AN69" s="361"/>
      <c r="AO69" s="463"/>
      <c r="AP69" s="465"/>
      <c r="AQ69" s="361"/>
      <c r="AR69" s="361"/>
      <c r="AS69" s="361"/>
      <c r="AT69" s="361"/>
      <c r="AU69" s="361"/>
      <c r="AV69" s="361"/>
      <c r="AW69" s="361"/>
      <c r="AX69" s="459"/>
      <c r="AY69" s="461"/>
    </row>
    <row r="70" spans="1:51" ht="29.25" customHeight="1" x14ac:dyDescent="0.25">
      <c r="A70" s="467"/>
      <c r="B70" s="469"/>
      <c r="C70" s="468" t="s">
        <v>494</v>
      </c>
      <c r="D70" s="159" t="s">
        <v>40</v>
      </c>
      <c r="E70" s="324">
        <v>0</v>
      </c>
      <c r="F70" s="324">
        <v>0</v>
      </c>
      <c r="G70" s="324">
        <v>0</v>
      </c>
      <c r="H70" s="324">
        <v>0</v>
      </c>
      <c r="I70" s="324">
        <v>0</v>
      </c>
      <c r="J70" s="324">
        <v>0</v>
      </c>
      <c r="K70" s="324">
        <v>0</v>
      </c>
      <c r="L70" s="324">
        <v>0</v>
      </c>
      <c r="M70" s="324">
        <v>0</v>
      </c>
      <c r="N70" s="324">
        <v>0</v>
      </c>
      <c r="O70" s="324">
        <v>0</v>
      </c>
      <c r="P70" s="324">
        <v>0</v>
      </c>
      <c r="Q70" s="324">
        <v>0</v>
      </c>
      <c r="R70" s="324">
        <v>0</v>
      </c>
      <c r="S70" s="324"/>
      <c r="T70" s="324">
        <v>0</v>
      </c>
      <c r="U70" s="324">
        <v>9</v>
      </c>
      <c r="V70" s="324">
        <f>+U70+11</f>
        <v>20</v>
      </c>
      <c r="W70" s="324"/>
      <c r="X70" s="324"/>
      <c r="Y70" s="324"/>
      <c r="Z70" s="105"/>
      <c r="AA70" s="324"/>
      <c r="AB70" s="324"/>
      <c r="AC70" s="324"/>
      <c r="AD70" s="324"/>
      <c r="AE70" s="105"/>
      <c r="AF70" s="324"/>
      <c r="AG70" s="361" t="s">
        <v>495</v>
      </c>
      <c r="AH70" s="361" t="s">
        <v>329</v>
      </c>
      <c r="AI70" s="361" t="s">
        <v>329</v>
      </c>
      <c r="AJ70" s="361" t="s">
        <v>495</v>
      </c>
      <c r="AK70" s="361" t="s">
        <v>331</v>
      </c>
      <c r="AL70" s="361" t="s">
        <v>329</v>
      </c>
      <c r="AM70" s="361" t="s">
        <v>329</v>
      </c>
      <c r="AN70" s="361" t="s">
        <v>329</v>
      </c>
      <c r="AO70" s="463">
        <v>396682</v>
      </c>
      <c r="AP70" s="465">
        <v>444273</v>
      </c>
      <c r="AQ70" s="361" t="s">
        <v>329</v>
      </c>
      <c r="AR70" s="361" t="s">
        <v>329</v>
      </c>
      <c r="AS70" s="361" t="s">
        <v>329</v>
      </c>
      <c r="AT70" s="361" t="s">
        <v>329</v>
      </c>
      <c r="AU70" s="361" t="s">
        <v>329</v>
      </c>
      <c r="AV70" s="361" t="s">
        <v>329</v>
      </c>
      <c r="AW70" s="361" t="s">
        <v>329</v>
      </c>
      <c r="AX70" s="459">
        <f>+AO70+AP70</f>
        <v>840955</v>
      </c>
      <c r="AY70" s="461"/>
    </row>
    <row r="71" spans="1:51" s="60" customFormat="1" ht="29.25" customHeight="1" x14ac:dyDescent="0.25">
      <c r="A71" s="467"/>
      <c r="B71" s="469"/>
      <c r="C71" s="469"/>
      <c r="D71" s="158" t="s">
        <v>3</v>
      </c>
      <c r="E71" s="124">
        <v>0</v>
      </c>
      <c r="F71" s="124">
        <v>0</v>
      </c>
      <c r="G71" s="124">
        <v>0</v>
      </c>
      <c r="H71" s="124">
        <v>0</v>
      </c>
      <c r="I71" s="124">
        <v>0</v>
      </c>
      <c r="J71" s="124">
        <v>0</v>
      </c>
      <c r="K71" s="124">
        <v>0</v>
      </c>
      <c r="L71" s="124">
        <v>0</v>
      </c>
      <c r="M71" s="124">
        <v>0</v>
      </c>
      <c r="N71" s="124">
        <v>0</v>
      </c>
      <c r="O71" s="124">
        <v>0</v>
      </c>
      <c r="P71" s="124">
        <v>0</v>
      </c>
      <c r="Q71" s="124">
        <v>0</v>
      </c>
      <c r="R71" s="124">
        <v>0</v>
      </c>
      <c r="S71" s="137"/>
      <c r="T71" s="124">
        <v>0</v>
      </c>
      <c r="U71" s="124">
        <v>0</v>
      </c>
      <c r="V71" s="124">
        <v>0</v>
      </c>
      <c r="W71" s="124"/>
      <c r="X71" s="124"/>
      <c r="Y71" s="124"/>
      <c r="Z71" s="124"/>
      <c r="AA71" s="124"/>
      <c r="AB71" s="124"/>
      <c r="AC71" s="124"/>
      <c r="AD71" s="124"/>
      <c r="AE71" s="105"/>
      <c r="AF71" s="137"/>
      <c r="AG71" s="361"/>
      <c r="AH71" s="361"/>
      <c r="AI71" s="361"/>
      <c r="AJ71" s="361"/>
      <c r="AK71" s="361"/>
      <c r="AL71" s="361"/>
      <c r="AM71" s="361"/>
      <c r="AN71" s="361"/>
      <c r="AO71" s="463"/>
      <c r="AP71" s="465"/>
      <c r="AQ71" s="361"/>
      <c r="AR71" s="361"/>
      <c r="AS71" s="361"/>
      <c r="AT71" s="361"/>
      <c r="AU71" s="361"/>
      <c r="AV71" s="361"/>
      <c r="AW71" s="361"/>
      <c r="AX71" s="459"/>
      <c r="AY71" s="461"/>
    </row>
    <row r="72" spans="1:51" ht="29.25" customHeight="1" x14ac:dyDescent="0.25">
      <c r="A72" s="467"/>
      <c r="B72" s="469"/>
      <c r="C72" s="469"/>
      <c r="D72" s="159" t="s">
        <v>41</v>
      </c>
      <c r="E72" s="324">
        <v>0</v>
      </c>
      <c r="F72" s="209">
        <v>0</v>
      </c>
      <c r="G72" s="209">
        <v>0</v>
      </c>
      <c r="H72" s="209">
        <v>0</v>
      </c>
      <c r="I72" s="209">
        <v>0</v>
      </c>
      <c r="J72" s="209">
        <v>0</v>
      </c>
      <c r="K72" s="209">
        <v>0</v>
      </c>
      <c r="L72" s="209">
        <v>0</v>
      </c>
      <c r="M72" s="209">
        <v>0</v>
      </c>
      <c r="N72" s="209">
        <v>0</v>
      </c>
      <c r="O72" s="209">
        <v>0</v>
      </c>
      <c r="P72" s="209">
        <v>0</v>
      </c>
      <c r="Q72" s="209">
        <v>0</v>
      </c>
      <c r="R72" s="209">
        <v>0</v>
      </c>
      <c r="S72" s="209"/>
      <c r="T72" s="324">
        <v>0</v>
      </c>
      <c r="U72" s="324">
        <v>0</v>
      </c>
      <c r="V72" s="324">
        <v>0</v>
      </c>
      <c r="W72" s="324"/>
      <c r="X72" s="324"/>
      <c r="Y72" s="324"/>
      <c r="Z72" s="160"/>
      <c r="AA72" s="209"/>
      <c r="AB72" s="209"/>
      <c r="AC72" s="209"/>
      <c r="AD72" s="209"/>
      <c r="AE72" s="105"/>
      <c r="AF72" s="209"/>
      <c r="AG72" s="361"/>
      <c r="AH72" s="361"/>
      <c r="AI72" s="361"/>
      <c r="AJ72" s="361"/>
      <c r="AK72" s="361"/>
      <c r="AL72" s="361"/>
      <c r="AM72" s="361"/>
      <c r="AN72" s="361"/>
      <c r="AO72" s="463"/>
      <c r="AP72" s="465"/>
      <c r="AQ72" s="361"/>
      <c r="AR72" s="361"/>
      <c r="AS72" s="361"/>
      <c r="AT72" s="361"/>
      <c r="AU72" s="361"/>
      <c r="AV72" s="361"/>
      <c r="AW72" s="361"/>
      <c r="AX72" s="459"/>
      <c r="AY72" s="461"/>
    </row>
    <row r="73" spans="1:51" s="60" customFormat="1" ht="29.25" customHeight="1" x14ac:dyDescent="0.25">
      <c r="A73" s="467"/>
      <c r="B73" s="469"/>
      <c r="C73" s="469"/>
      <c r="D73" s="158" t="s">
        <v>4</v>
      </c>
      <c r="E73" s="124">
        <v>0</v>
      </c>
      <c r="F73" s="137">
        <v>0</v>
      </c>
      <c r="G73" s="137">
        <v>0</v>
      </c>
      <c r="H73" s="137">
        <v>0</v>
      </c>
      <c r="I73" s="137">
        <v>0</v>
      </c>
      <c r="J73" s="137">
        <v>0</v>
      </c>
      <c r="K73" s="137">
        <v>0</v>
      </c>
      <c r="L73" s="137">
        <v>0</v>
      </c>
      <c r="M73" s="137">
        <v>0</v>
      </c>
      <c r="N73" s="137">
        <v>0</v>
      </c>
      <c r="O73" s="137">
        <v>0</v>
      </c>
      <c r="P73" s="137">
        <v>0</v>
      </c>
      <c r="Q73" s="137">
        <v>0</v>
      </c>
      <c r="R73" s="137">
        <v>0</v>
      </c>
      <c r="S73" s="137"/>
      <c r="T73" s="124">
        <v>0</v>
      </c>
      <c r="U73" s="124">
        <v>0</v>
      </c>
      <c r="V73" s="124">
        <v>0</v>
      </c>
      <c r="W73" s="124"/>
      <c r="X73" s="124"/>
      <c r="Y73" s="124"/>
      <c r="Z73" s="124"/>
      <c r="AA73" s="137"/>
      <c r="AB73" s="137"/>
      <c r="AC73" s="137"/>
      <c r="AD73" s="137"/>
      <c r="AE73" s="105"/>
      <c r="AF73" s="137"/>
      <c r="AG73" s="361"/>
      <c r="AH73" s="361"/>
      <c r="AI73" s="361"/>
      <c r="AJ73" s="361"/>
      <c r="AK73" s="361"/>
      <c r="AL73" s="361"/>
      <c r="AM73" s="361"/>
      <c r="AN73" s="361"/>
      <c r="AO73" s="463"/>
      <c r="AP73" s="465"/>
      <c r="AQ73" s="361"/>
      <c r="AR73" s="361"/>
      <c r="AS73" s="361"/>
      <c r="AT73" s="361"/>
      <c r="AU73" s="361"/>
      <c r="AV73" s="361"/>
      <c r="AW73" s="361"/>
      <c r="AX73" s="459"/>
      <c r="AY73" s="461"/>
    </row>
    <row r="74" spans="1:51" ht="29.25" customHeight="1" x14ac:dyDescent="0.25">
      <c r="A74" s="467"/>
      <c r="B74" s="469"/>
      <c r="C74" s="469"/>
      <c r="D74" s="159" t="s">
        <v>42</v>
      </c>
      <c r="E74" s="105">
        <v>0</v>
      </c>
      <c r="F74" s="105">
        <f t="shared" ref="F74:R75" si="67">+F70+F72</f>
        <v>0</v>
      </c>
      <c r="G74" s="105">
        <f t="shared" si="67"/>
        <v>0</v>
      </c>
      <c r="H74" s="105">
        <f t="shared" si="67"/>
        <v>0</v>
      </c>
      <c r="I74" s="105">
        <f t="shared" si="67"/>
        <v>0</v>
      </c>
      <c r="J74" s="105">
        <f t="shared" si="67"/>
        <v>0</v>
      </c>
      <c r="K74" s="105">
        <f t="shared" si="67"/>
        <v>0</v>
      </c>
      <c r="L74" s="105">
        <f t="shared" si="67"/>
        <v>0</v>
      </c>
      <c r="M74" s="105">
        <f t="shared" si="67"/>
        <v>0</v>
      </c>
      <c r="N74" s="105">
        <f t="shared" si="67"/>
        <v>0</v>
      </c>
      <c r="O74" s="105">
        <f t="shared" si="67"/>
        <v>0</v>
      </c>
      <c r="P74" s="105">
        <f t="shared" si="67"/>
        <v>0</v>
      </c>
      <c r="Q74" s="105">
        <f t="shared" si="67"/>
        <v>0</v>
      </c>
      <c r="R74" s="105">
        <f t="shared" si="67"/>
        <v>0</v>
      </c>
      <c r="S74" s="105"/>
      <c r="T74" s="105">
        <f t="shared" ref="T74:AE75" si="68">+T70+T72</f>
        <v>0</v>
      </c>
      <c r="U74" s="105">
        <f t="shared" ref="U74" si="69">+U70+U72</f>
        <v>9</v>
      </c>
      <c r="V74" s="105">
        <f t="shared" ref="V74" si="70">+V70+V72</f>
        <v>20</v>
      </c>
      <c r="W74" s="105">
        <f t="shared" si="68"/>
        <v>0</v>
      </c>
      <c r="X74" s="105">
        <f t="shared" si="68"/>
        <v>0</v>
      </c>
      <c r="Y74" s="105">
        <f t="shared" si="68"/>
        <v>0</v>
      </c>
      <c r="Z74" s="105">
        <f t="shared" si="68"/>
        <v>0</v>
      </c>
      <c r="AA74" s="105">
        <f t="shared" si="68"/>
        <v>0</v>
      </c>
      <c r="AB74" s="105">
        <f t="shared" si="68"/>
        <v>0</v>
      </c>
      <c r="AC74" s="105">
        <f t="shared" si="68"/>
        <v>0</v>
      </c>
      <c r="AD74" s="105">
        <f t="shared" si="68"/>
        <v>0</v>
      </c>
      <c r="AE74" s="105">
        <f t="shared" si="68"/>
        <v>0</v>
      </c>
      <c r="AF74" s="209"/>
      <c r="AG74" s="361"/>
      <c r="AH74" s="361"/>
      <c r="AI74" s="361"/>
      <c r="AJ74" s="361"/>
      <c r="AK74" s="361"/>
      <c r="AL74" s="361"/>
      <c r="AM74" s="361"/>
      <c r="AN74" s="361"/>
      <c r="AO74" s="463"/>
      <c r="AP74" s="465"/>
      <c r="AQ74" s="361"/>
      <c r="AR74" s="361"/>
      <c r="AS74" s="361"/>
      <c r="AT74" s="361"/>
      <c r="AU74" s="361"/>
      <c r="AV74" s="361"/>
      <c r="AW74" s="361"/>
      <c r="AX74" s="459"/>
      <c r="AY74" s="461"/>
    </row>
    <row r="75" spans="1:51" s="60" customFormat="1" ht="29.25" customHeight="1" x14ac:dyDescent="0.25">
      <c r="A75" s="467"/>
      <c r="B75" s="469"/>
      <c r="C75" s="453"/>
      <c r="D75" s="158" t="s">
        <v>44</v>
      </c>
      <c r="E75" s="137">
        <v>0</v>
      </c>
      <c r="F75" s="137">
        <f t="shared" si="67"/>
        <v>0</v>
      </c>
      <c r="G75" s="137">
        <f t="shared" si="67"/>
        <v>0</v>
      </c>
      <c r="H75" s="137">
        <f t="shared" si="67"/>
        <v>0</v>
      </c>
      <c r="I75" s="137">
        <f t="shared" si="67"/>
        <v>0</v>
      </c>
      <c r="J75" s="137">
        <f t="shared" si="67"/>
        <v>0</v>
      </c>
      <c r="K75" s="137">
        <f t="shared" si="67"/>
        <v>0</v>
      </c>
      <c r="L75" s="137">
        <f t="shared" si="67"/>
        <v>0</v>
      </c>
      <c r="M75" s="137">
        <f t="shared" si="67"/>
        <v>0</v>
      </c>
      <c r="N75" s="137">
        <f t="shared" si="67"/>
        <v>0</v>
      </c>
      <c r="O75" s="137">
        <f t="shared" si="67"/>
        <v>0</v>
      </c>
      <c r="P75" s="137">
        <f t="shared" si="67"/>
        <v>0</v>
      </c>
      <c r="Q75" s="137">
        <f t="shared" si="67"/>
        <v>0</v>
      </c>
      <c r="R75" s="137">
        <f t="shared" si="67"/>
        <v>0</v>
      </c>
      <c r="S75" s="137"/>
      <c r="T75" s="137">
        <f t="shared" si="68"/>
        <v>0</v>
      </c>
      <c r="U75" s="137">
        <f t="shared" ref="U75" si="71">+U71+U73</f>
        <v>0</v>
      </c>
      <c r="V75" s="137">
        <f t="shared" ref="V75" si="72">+V71+V73</f>
        <v>0</v>
      </c>
      <c r="W75" s="137">
        <f t="shared" si="68"/>
        <v>0</v>
      </c>
      <c r="X75" s="137">
        <f t="shared" si="68"/>
        <v>0</v>
      </c>
      <c r="Y75" s="137">
        <f t="shared" si="68"/>
        <v>0</v>
      </c>
      <c r="Z75" s="137">
        <f t="shared" si="68"/>
        <v>0</v>
      </c>
      <c r="AA75" s="137">
        <f t="shared" si="68"/>
        <v>0</v>
      </c>
      <c r="AB75" s="137">
        <f t="shared" si="68"/>
        <v>0</v>
      </c>
      <c r="AC75" s="137">
        <f t="shared" si="68"/>
        <v>0</v>
      </c>
      <c r="AD75" s="137">
        <f t="shared" si="68"/>
        <v>0</v>
      </c>
      <c r="AE75" s="105">
        <f t="shared" si="68"/>
        <v>0</v>
      </c>
      <c r="AF75" s="124"/>
      <c r="AG75" s="361"/>
      <c r="AH75" s="361"/>
      <c r="AI75" s="361"/>
      <c r="AJ75" s="361"/>
      <c r="AK75" s="361"/>
      <c r="AL75" s="361"/>
      <c r="AM75" s="361"/>
      <c r="AN75" s="361"/>
      <c r="AO75" s="463"/>
      <c r="AP75" s="465"/>
      <c r="AQ75" s="361"/>
      <c r="AR75" s="361"/>
      <c r="AS75" s="361"/>
      <c r="AT75" s="361"/>
      <c r="AU75" s="361"/>
      <c r="AV75" s="361"/>
      <c r="AW75" s="361"/>
      <c r="AX75" s="459"/>
      <c r="AY75" s="461"/>
    </row>
    <row r="76" spans="1:51" s="34" customFormat="1" ht="29.25" customHeight="1" x14ac:dyDescent="0.25">
      <c r="A76" s="467"/>
      <c r="B76" s="469"/>
      <c r="C76" s="468" t="s">
        <v>496</v>
      </c>
      <c r="D76" s="159" t="s">
        <v>40</v>
      </c>
      <c r="E76" s="324">
        <v>0</v>
      </c>
      <c r="F76" s="324">
        <v>0</v>
      </c>
      <c r="G76" s="324">
        <v>0</v>
      </c>
      <c r="H76" s="324">
        <v>0</v>
      </c>
      <c r="I76" s="324">
        <v>0</v>
      </c>
      <c r="J76" s="324">
        <v>0</v>
      </c>
      <c r="K76" s="324">
        <v>0</v>
      </c>
      <c r="L76" s="324">
        <v>0</v>
      </c>
      <c r="M76" s="324">
        <v>0</v>
      </c>
      <c r="N76" s="324">
        <v>0</v>
      </c>
      <c r="O76" s="324">
        <v>0</v>
      </c>
      <c r="P76" s="324">
        <v>0</v>
      </c>
      <c r="Q76" s="324">
        <v>0</v>
      </c>
      <c r="R76" s="324">
        <v>0</v>
      </c>
      <c r="S76" s="324"/>
      <c r="T76" s="324">
        <v>0</v>
      </c>
      <c r="U76" s="324">
        <v>17</v>
      </c>
      <c r="V76" s="324">
        <f>+U76+7</f>
        <v>24</v>
      </c>
      <c r="W76" s="324"/>
      <c r="X76" s="324"/>
      <c r="Y76" s="324"/>
      <c r="Z76" s="105"/>
      <c r="AA76" s="324"/>
      <c r="AB76" s="324"/>
      <c r="AC76" s="324"/>
      <c r="AD76" s="324"/>
      <c r="AE76" s="105"/>
      <c r="AF76" s="324"/>
      <c r="AG76" s="361" t="s">
        <v>497</v>
      </c>
      <c r="AH76" s="361" t="s">
        <v>329</v>
      </c>
      <c r="AI76" s="361" t="s">
        <v>329</v>
      </c>
      <c r="AJ76" s="361" t="s">
        <v>497</v>
      </c>
      <c r="AK76" s="361" t="s">
        <v>331</v>
      </c>
      <c r="AL76" s="361" t="s">
        <v>329</v>
      </c>
      <c r="AM76" s="361" t="s">
        <v>329</v>
      </c>
      <c r="AN76" s="361" t="s">
        <v>329</v>
      </c>
      <c r="AO76" s="463">
        <v>183971</v>
      </c>
      <c r="AP76" s="465">
        <v>204184</v>
      </c>
      <c r="AQ76" s="361" t="s">
        <v>329</v>
      </c>
      <c r="AR76" s="361" t="s">
        <v>329</v>
      </c>
      <c r="AS76" s="361" t="s">
        <v>329</v>
      </c>
      <c r="AT76" s="361" t="s">
        <v>329</v>
      </c>
      <c r="AU76" s="361" t="s">
        <v>329</v>
      </c>
      <c r="AV76" s="361" t="s">
        <v>329</v>
      </c>
      <c r="AW76" s="361" t="s">
        <v>329</v>
      </c>
      <c r="AX76" s="459">
        <f>+AO76+AP76</f>
        <v>388155</v>
      </c>
      <c r="AY76" s="461"/>
    </row>
    <row r="77" spans="1:51" ht="29.25" customHeight="1" x14ac:dyDescent="0.25">
      <c r="A77" s="467"/>
      <c r="B77" s="469"/>
      <c r="C77" s="469"/>
      <c r="D77" s="158" t="s">
        <v>3</v>
      </c>
      <c r="E77" s="124">
        <v>0</v>
      </c>
      <c r="F77" s="124">
        <v>0</v>
      </c>
      <c r="G77" s="124">
        <v>0</v>
      </c>
      <c r="H77" s="124">
        <v>0</v>
      </c>
      <c r="I77" s="124">
        <v>0</v>
      </c>
      <c r="J77" s="124">
        <v>0</v>
      </c>
      <c r="K77" s="124">
        <v>0</v>
      </c>
      <c r="L77" s="124">
        <v>0</v>
      </c>
      <c r="M77" s="124">
        <v>0</v>
      </c>
      <c r="N77" s="124">
        <v>0</v>
      </c>
      <c r="O77" s="124">
        <v>0</v>
      </c>
      <c r="P77" s="124">
        <v>0</v>
      </c>
      <c r="Q77" s="124">
        <v>0</v>
      </c>
      <c r="R77" s="124">
        <v>0</v>
      </c>
      <c r="S77" s="137"/>
      <c r="T77" s="124">
        <v>0</v>
      </c>
      <c r="U77" s="124">
        <v>0</v>
      </c>
      <c r="V77" s="124">
        <v>0</v>
      </c>
      <c r="W77" s="124"/>
      <c r="X77" s="124"/>
      <c r="Y77" s="124"/>
      <c r="Z77" s="124"/>
      <c r="AA77" s="124"/>
      <c r="AB77" s="124"/>
      <c r="AC77" s="124"/>
      <c r="AD77" s="124"/>
      <c r="AE77" s="105"/>
      <c r="AF77" s="137"/>
      <c r="AG77" s="361"/>
      <c r="AH77" s="361"/>
      <c r="AI77" s="361"/>
      <c r="AJ77" s="361"/>
      <c r="AK77" s="361"/>
      <c r="AL77" s="361"/>
      <c r="AM77" s="361"/>
      <c r="AN77" s="361"/>
      <c r="AO77" s="463"/>
      <c r="AP77" s="465"/>
      <c r="AQ77" s="361"/>
      <c r="AR77" s="361"/>
      <c r="AS77" s="361"/>
      <c r="AT77" s="361"/>
      <c r="AU77" s="361"/>
      <c r="AV77" s="361"/>
      <c r="AW77" s="361"/>
      <c r="AX77" s="459"/>
      <c r="AY77" s="461"/>
    </row>
    <row r="78" spans="1:51" s="34" customFormat="1" ht="29.25" customHeight="1" x14ac:dyDescent="0.25">
      <c r="A78" s="467"/>
      <c r="B78" s="469"/>
      <c r="C78" s="469"/>
      <c r="D78" s="159" t="s">
        <v>41</v>
      </c>
      <c r="E78" s="324">
        <v>0</v>
      </c>
      <c r="F78" s="209">
        <v>0</v>
      </c>
      <c r="G78" s="209">
        <v>0</v>
      </c>
      <c r="H78" s="209">
        <v>0</v>
      </c>
      <c r="I78" s="209">
        <v>0</v>
      </c>
      <c r="J78" s="209">
        <v>0</v>
      </c>
      <c r="K78" s="209">
        <v>0</v>
      </c>
      <c r="L78" s="209">
        <v>0</v>
      </c>
      <c r="M78" s="209">
        <v>0</v>
      </c>
      <c r="N78" s="209">
        <v>0</v>
      </c>
      <c r="O78" s="209">
        <v>0</v>
      </c>
      <c r="P78" s="209">
        <v>0</v>
      </c>
      <c r="Q78" s="209">
        <v>0</v>
      </c>
      <c r="R78" s="209">
        <v>0</v>
      </c>
      <c r="S78" s="209"/>
      <c r="T78" s="324">
        <v>0</v>
      </c>
      <c r="U78" s="324">
        <v>0</v>
      </c>
      <c r="V78" s="324">
        <v>0</v>
      </c>
      <c r="W78" s="324"/>
      <c r="X78" s="324"/>
      <c r="Y78" s="324"/>
      <c r="Z78" s="160"/>
      <c r="AA78" s="209"/>
      <c r="AB78" s="209"/>
      <c r="AC78" s="209"/>
      <c r="AD78" s="209"/>
      <c r="AE78" s="105"/>
      <c r="AF78" s="209"/>
      <c r="AG78" s="361"/>
      <c r="AH78" s="361"/>
      <c r="AI78" s="361"/>
      <c r="AJ78" s="361"/>
      <c r="AK78" s="361"/>
      <c r="AL78" s="361"/>
      <c r="AM78" s="361"/>
      <c r="AN78" s="361"/>
      <c r="AO78" s="463"/>
      <c r="AP78" s="465"/>
      <c r="AQ78" s="361"/>
      <c r="AR78" s="361"/>
      <c r="AS78" s="361"/>
      <c r="AT78" s="361"/>
      <c r="AU78" s="361"/>
      <c r="AV78" s="361"/>
      <c r="AW78" s="361"/>
      <c r="AX78" s="459"/>
      <c r="AY78" s="461"/>
    </row>
    <row r="79" spans="1:51" ht="29.25" customHeight="1" x14ac:dyDescent="0.25">
      <c r="A79" s="467"/>
      <c r="B79" s="469"/>
      <c r="C79" s="469"/>
      <c r="D79" s="158" t="s">
        <v>4</v>
      </c>
      <c r="E79" s="124">
        <v>0</v>
      </c>
      <c r="F79" s="137">
        <v>0</v>
      </c>
      <c r="G79" s="137">
        <v>0</v>
      </c>
      <c r="H79" s="137">
        <v>0</v>
      </c>
      <c r="I79" s="137">
        <v>0</v>
      </c>
      <c r="J79" s="137">
        <v>0</v>
      </c>
      <c r="K79" s="137">
        <v>0</v>
      </c>
      <c r="L79" s="137">
        <v>0</v>
      </c>
      <c r="M79" s="137">
        <v>0</v>
      </c>
      <c r="N79" s="137">
        <v>0</v>
      </c>
      <c r="O79" s="137">
        <v>0</v>
      </c>
      <c r="P79" s="137">
        <v>0</v>
      </c>
      <c r="Q79" s="137">
        <v>0</v>
      </c>
      <c r="R79" s="137">
        <v>0</v>
      </c>
      <c r="S79" s="137"/>
      <c r="T79" s="124">
        <v>0</v>
      </c>
      <c r="U79" s="124">
        <v>0</v>
      </c>
      <c r="V79" s="124">
        <v>0</v>
      </c>
      <c r="W79" s="124"/>
      <c r="X79" s="124"/>
      <c r="Y79" s="124"/>
      <c r="Z79" s="124"/>
      <c r="AA79" s="137"/>
      <c r="AB79" s="137"/>
      <c r="AC79" s="137"/>
      <c r="AD79" s="137"/>
      <c r="AE79" s="105"/>
      <c r="AF79" s="137"/>
      <c r="AG79" s="361"/>
      <c r="AH79" s="361"/>
      <c r="AI79" s="361"/>
      <c r="AJ79" s="361"/>
      <c r="AK79" s="361"/>
      <c r="AL79" s="361"/>
      <c r="AM79" s="361"/>
      <c r="AN79" s="361"/>
      <c r="AO79" s="463"/>
      <c r="AP79" s="465"/>
      <c r="AQ79" s="361"/>
      <c r="AR79" s="361"/>
      <c r="AS79" s="361"/>
      <c r="AT79" s="361"/>
      <c r="AU79" s="361"/>
      <c r="AV79" s="361"/>
      <c r="AW79" s="361"/>
      <c r="AX79" s="459"/>
      <c r="AY79" s="461"/>
    </row>
    <row r="80" spans="1:51" ht="29.25" customHeight="1" x14ac:dyDescent="0.25">
      <c r="A80" s="467"/>
      <c r="B80" s="469"/>
      <c r="C80" s="469"/>
      <c r="D80" s="159" t="s">
        <v>42</v>
      </c>
      <c r="E80" s="105">
        <v>0</v>
      </c>
      <c r="F80" s="105">
        <f t="shared" ref="F80:R81" si="73">+F76+F78</f>
        <v>0</v>
      </c>
      <c r="G80" s="105">
        <f t="shared" si="73"/>
        <v>0</v>
      </c>
      <c r="H80" s="105">
        <f t="shared" si="73"/>
        <v>0</v>
      </c>
      <c r="I80" s="105">
        <f t="shared" si="73"/>
        <v>0</v>
      </c>
      <c r="J80" s="105">
        <f t="shared" si="73"/>
        <v>0</v>
      </c>
      <c r="K80" s="105">
        <f t="shared" si="73"/>
        <v>0</v>
      </c>
      <c r="L80" s="105">
        <f t="shared" si="73"/>
        <v>0</v>
      </c>
      <c r="M80" s="105">
        <f t="shared" si="73"/>
        <v>0</v>
      </c>
      <c r="N80" s="105">
        <f t="shared" si="73"/>
        <v>0</v>
      </c>
      <c r="O80" s="105">
        <f t="shared" si="73"/>
        <v>0</v>
      </c>
      <c r="P80" s="105">
        <f t="shared" si="73"/>
        <v>0</v>
      </c>
      <c r="Q80" s="105">
        <f t="shared" si="73"/>
        <v>0</v>
      </c>
      <c r="R80" s="105">
        <f t="shared" si="73"/>
        <v>0</v>
      </c>
      <c r="S80" s="105"/>
      <c r="T80" s="105">
        <f t="shared" ref="T80:AE81" si="74">+T76+T78</f>
        <v>0</v>
      </c>
      <c r="U80" s="105">
        <f t="shared" ref="U80" si="75">+U76+U78</f>
        <v>17</v>
      </c>
      <c r="V80" s="105">
        <f t="shared" ref="V80" si="76">+V76+V78</f>
        <v>24</v>
      </c>
      <c r="W80" s="105">
        <f t="shared" si="74"/>
        <v>0</v>
      </c>
      <c r="X80" s="105">
        <f t="shared" si="74"/>
        <v>0</v>
      </c>
      <c r="Y80" s="105">
        <f t="shared" si="74"/>
        <v>0</v>
      </c>
      <c r="Z80" s="105">
        <f t="shared" si="74"/>
        <v>0</v>
      </c>
      <c r="AA80" s="105">
        <f t="shared" si="74"/>
        <v>0</v>
      </c>
      <c r="AB80" s="105">
        <f t="shared" si="74"/>
        <v>0</v>
      </c>
      <c r="AC80" s="105">
        <f t="shared" si="74"/>
        <v>0</v>
      </c>
      <c r="AD80" s="105">
        <f t="shared" si="74"/>
        <v>0</v>
      </c>
      <c r="AE80" s="105">
        <f t="shared" si="74"/>
        <v>0</v>
      </c>
      <c r="AF80" s="209"/>
      <c r="AG80" s="361"/>
      <c r="AH80" s="361"/>
      <c r="AI80" s="361"/>
      <c r="AJ80" s="361"/>
      <c r="AK80" s="361"/>
      <c r="AL80" s="361"/>
      <c r="AM80" s="361"/>
      <c r="AN80" s="361"/>
      <c r="AO80" s="463"/>
      <c r="AP80" s="465"/>
      <c r="AQ80" s="361"/>
      <c r="AR80" s="361"/>
      <c r="AS80" s="361"/>
      <c r="AT80" s="361"/>
      <c r="AU80" s="361"/>
      <c r="AV80" s="361"/>
      <c r="AW80" s="361"/>
      <c r="AX80" s="459"/>
      <c r="AY80" s="461"/>
    </row>
    <row r="81" spans="1:51" ht="29.25" customHeight="1" x14ac:dyDescent="0.25">
      <c r="A81" s="467"/>
      <c r="B81" s="469"/>
      <c r="C81" s="453"/>
      <c r="D81" s="158" t="s">
        <v>44</v>
      </c>
      <c r="E81" s="137">
        <v>0</v>
      </c>
      <c r="F81" s="137">
        <f t="shared" si="73"/>
        <v>0</v>
      </c>
      <c r="G81" s="137">
        <f t="shared" si="73"/>
        <v>0</v>
      </c>
      <c r="H81" s="137">
        <f t="shared" si="73"/>
        <v>0</v>
      </c>
      <c r="I81" s="137">
        <f t="shared" si="73"/>
        <v>0</v>
      </c>
      <c r="J81" s="137">
        <f t="shared" si="73"/>
        <v>0</v>
      </c>
      <c r="K81" s="137">
        <f t="shared" si="73"/>
        <v>0</v>
      </c>
      <c r="L81" s="137">
        <f t="shared" si="73"/>
        <v>0</v>
      </c>
      <c r="M81" s="137">
        <f t="shared" si="73"/>
        <v>0</v>
      </c>
      <c r="N81" s="137">
        <f t="shared" si="73"/>
        <v>0</v>
      </c>
      <c r="O81" s="137">
        <f t="shared" si="73"/>
        <v>0</v>
      </c>
      <c r="P81" s="137">
        <f t="shared" si="73"/>
        <v>0</v>
      </c>
      <c r="Q81" s="137">
        <f t="shared" si="73"/>
        <v>0</v>
      </c>
      <c r="R81" s="137">
        <f t="shared" si="73"/>
        <v>0</v>
      </c>
      <c r="S81" s="137"/>
      <c r="T81" s="137">
        <f t="shared" si="74"/>
        <v>0</v>
      </c>
      <c r="U81" s="137">
        <f t="shared" ref="U81" si="77">+U77+U79</f>
        <v>0</v>
      </c>
      <c r="V81" s="137">
        <f t="shared" ref="V81" si="78">+V77+V79</f>
        <v>0</v>
      </c>
      <c r="W81" s="137">
        <f t="shared" si="74"/>
        <v>0</v>
      </c>
      <c r="X81" s="137">
        <f t="shared" si="74"/>
        <v>0</v>
      </c>
      <c r="Y81" s="137">
        <f t="shared" si="74"/>
        <v>0</v>
      </c>
      <c r="Z81" s="137">
        <f t="shared" si="74"/>
        <v>0</v>
      </c>
      <c r="AA81" s="137">
        <f t="shared" si="74"/>
        <v>0</v>
      </c>
      <c r="AB81" s="137">
        <f t="shared" si="74"/>
        <v>0</v>
      </c>
      <c r="AC81" s="137">
        <f t="shared" si="74"/>
        <v>0</v>
      </c>
      <c r="AD81" s="137">
        <f t="shared" si="74"/>
        <v>0</v>
      </c>
      <c r="AE81" s="105">
        <f t="shared" si="74"/>
        <v>0</v>
      </c>
      <c r="AF81" s="124"/>
      <c r="AG81" s="361"/>
      <c r="AH81" s="361"/>
      <c r="AI81" s="361"/>
      <c r="AJ81" s="361"/>
      <c r="AK81" s="361"/>
      <c r="AL81" s="361"/>
      <c r="AM81" s="361"/>
      <c r="AN81" s="361"/>
      <c r="AO81" s="463"/>
      <c r="AP81" s="465"/>
      <c r="AQ81" s="361"/>
      <c r="AR81" s="361"/>
      <c r="AS81" s="361"/>
      <c r="AT81" s="361"/>
      <c r="AU81" s="361"/>
      <c r="AV81" s="361"/>
      <c r="AW81" s="361"/>
      <c r="AX81" s="459"/>
      <c r="AY81" s="461"/>
    </row>
    <row r="82" spans="1:51" ht="29.25" customHeight="1" x14ac:dyDescent="0.25">
      <c r="A82" s="467"/>
      <c r="B82" s="469"/>
      <c r="C82" s="468" t="s">
        <v>498</v>
      </c>
      <c r="D82" s="159" t="s">
        <v>40</v>
      </c>
      <c r="E82" s="324">
        <v>0</v>
      </c>
      <c r="F82" s="324">
        <v>0</v>
      </c>
      <c r="G82" s="324">
        <v>0</v>
      </c>
      <c r="H82" s="324">
        <v>0</v>
      </c>
      <c r="I82" s="324">
        <v>0</v>
      </c>
      <c r="J82" s="324">
        <v>0</v>
      </c>
      <c r="K82" s="324">
        <v>0</v>
      </c>
      <c r="L82" s="324">
        <v>0</v>
      </c>
      <c r="M82" s="324">
        <v>0</v>
      </c>
      <c r="N82" s="324">
        <v>0</v>
      </c>
      <c r="O82" s="324">
        <v>0</v>
      </c>
      <c r="P82" s="324">
        <v>0</v>
      </c>
      <c r="Q82" s="324">
        <v>0</v>
      </c>
      <c r="R82" s="324">
        <v>0</v>
      </c>
      <c r="S82" s="324"/>
      <c r="T82" s="324">
        <v>0</v>
      </c>
      <c r="U82" s="324">
        <v>5</v>
      </c>
      <c r="V82" s="324">
        <f>+U82+6</f>
        <v>11</v>
      </c>
      <c r="W82" s="324"/>
      <c r="X82" s="324"/>
      <c r="Y82" s="324"/>
      <c r="Z82" s="105"/>
      <c r="AA82" s="324"/>
      <c r="AB82" s="324"/>
      <c r="AC82" s="324"/>
      <c r="AD82" s="324"/>
      <c r="AE82" s="105"/>
      <c r="AF82" s="324"/>
      <c r="AG82" s="361" t="s">
        <v>499</v>
      </c>
      <c r="AH82" s="361" t="s">
        <v>329</v>
      </c>
      <c r="AI82" s="361" t="s">
        <v>329</v>
      </c>
      <c r="AJ82" s="361" t="s">
        <v>499</v>
      </c>
      <c r="AK82" s="361" t="s">
        <v>331</v>
      </c>
      <c r="AL82" s="361" t="s">
        <v>329</v>
      </c>
      <c r="AM82" s="361" t="s">
        <v>329</v>
      </c>
      <c r="AN82" s="361" t="s">
        <v>329</v>
      </c>
      <c r="AO82" s="463">
        <v>517025</v>
      </c>
      <c r="AP82" s="465">
        <v>563175</v>
      </c>
      <c r="AQ82" s="361" t="s">
        <v>329</v>
      </c>
      <c r="AR82" s="361" t="s">
        <v>329</v>
      </c>
      <c r="AS82" s="361" t="s">
        <v>329</v>
      </c>
      <c r="AT82" s="361" t="s">
        <v>329</v>
      </c>
      <c r="AU82" s="361" t="s">
        <v>329</v>
      </c>
      <c r="AV82" s="361" t="s">
        <v>329</v>
      </c>
      <c r="AW82" s="361" t="s">
        <v>329</v>
      </c>
      <c r="AX82" s="459">
        <f>+AO82+AP82</f>
        <v>1080200</v>
      </c>
      <c r="AY82" s="461"/>
    </row>
    <row r="83" spans="1:51" ht="29.25" customHeight="1" x14ac:dyDescent="0.25">
      <c r="A83" s="467"/>
      <c r="B83" s="469"/>
      <c r="C83" s="469"/>
      <c r="D83" s="158" t="s">
        <v>3</v>
      </c>
      <c r="E83" s="124">
        <v>0</v>
      </c>
      <c r="F83" s="124">
        <v>0</v>
      </c>
      <c r="G83" s="124">
        <v>0</v>
      </c>
      <c r="H83" s="124">
        <v>0</v>
      </c>
      <c r="I83" s="124">
        <v>0</v>
      </c>
      <c r="J83" s="124">
        <v>0</v>
      </c>
      <c r="K83" s="124">
        <v>0</v>
      </c>
      <c r="L83" s="124">
        <v>0</v>
      </c>
      <c r="M83" s="124">
        <v>0</v>
      </c>
      <c r="N83" s="124">
        <v>0</v>
      </c>
      <c r="O83" s="124">
        <v>0</v>
      </c>
      <c r="P83" s="124">
        <v>0</v>
      </c>
      <c r="Q83" s="124">
        <v>0</v>
      </c>
      <c r="R83" s="124">
        <v>0</v>
      </c>
      <c r="S83" s="137"/>
      <c r="T83" s="124">
        <v>0</v>
      </c>
      <c r="U83" s="124">
        <v>0</v>
      </c>
      <c r="V83" s="124">
        <v>0</v>
      </c>
      <c r="W83" s="124"/>
      <c r="X83" s="124"/>
      <c r="Y83" s="124"/>
      <c r="Z83" s="124"/>
      <c r="AA83" s="124"/>
      <c r="AB83" s="124"/>
      <c r="AC83" s="124"/>
      <c r="AD83" s="124"/>
      <c r="AE83" s="105"/>
      <c r="AF83" s="137"/>
      <c r="AG83" s="361"/>
      <c r="AH83" s="361"/>
      <c r="AI83" s="361"/>
      <c r="AJ83" s="361"/>
      <c r="AK83" s="361"/>
      <c r="AL83" s="361"/>
      <c r="AM83" s="361"/>
      <c r="AN83" s="361"/>
      <c r="AO83" s="463"/>
      <c r="AP83" s="465"/>
      <c r="AQ83" s="361"/>
      <c r="AR83" s="361"/>
      <c r="AS83" s="361"/>
      <c r="AT83" s="361"/>
      <c r="AU83" s="361"/>
      <c r="AV83" s="361"/>
      <c r="AW83" s="361"/>
      <c r="AX83" s="459"/>
      <c r="AY83" s="461"/>
    </row>
    <row r="84" spans="1:51" ht="29.25" customHeight="1" x14ac:dyDescent="0.25">
      <c r="A84" s="467"/>
      <c r="B84" s="469"/>
      <c r="C84" s="469"/>
      <c r="D84" s="159" t="s">
        <v>41</v>
      </c>
      <c r="E84" s="324">
        <v>0</v>
      </c>
      <c r="F84" s="209">
        <v>0</v>
      </c>
      <c r="G84" s="209">
        <v>0</v>
      </c>
      <c r="H84" s="209">
        <v>0</v>
      </c>
      <c r="I84" s="209">
        <v>0</v>
      </c>
      <c r="J84" s="209">
        <v>0</v>
      </c>
      <c r="K84" s="209">
        <v>0</v>
      </c>
      <c r="L84" s="209">
        <v>0</v>
      </c>
      <c r="M84" s="209">
        <v>0</v>
      </c>
      <c r="N84" s="209">
        <v>0</v>
      </c>
      <c r="O84" s="209">
        <v>0</v>
      </c>
      <c r="P84" s="209">
        <v>0</v>
      </c>
      <c r="Q84" s="209">
        <v>0</v>
      </c>
      <c r="R84" s="209">
        <v>0</v>
      </c>
      <c r="S84" s="209"/>
      <c r="T84" s="324">
        <v>0</v>
      </c>
      <c r="U84" s="324">
        <v>0</v>
      </c>
      <c r="V84" s="324">
        <v>0</v>
      </c>
      <c r="W84" s="324"/>
      <c r="X84" s="324"/>
      <c r="Y84" s="324"/>
      <c r="Z84" s="160"/>
      <c r="AA84" s="209"/>
      <c r="AB84" s="209"/>
      <c r="AC84" s="209"/>
      <c r="AD84" s="209"/>
      <c r="AE84" s="105"/>
      <c r="AF84" s="209"/>
      <c r="AG84" s="361"/>
      <c r="AH84" s="361"/>
      <c r="AI84" s="361"/>
      <c r="AJ84" s="361"/>
      <c r="AK84" s="361"/>
      <c r="AL84" s="361"/>
      <c r="AM84" s="361"/>
      <c r="AN84" s="361"/>
      <c r="AO84" s="463"/>
      <c r="AP84" s="465"/>
      <c r="AQ84" s="361"/>
      <c r="AR84" s="361"/>
      <c r="AS84" s="361"/>
      <c r="AT84" s="361"/>
      <c r="AU84" s="361"/>
      <c r="AV84" s="361"/>
      <c r="AW84" s="361"/>
      <c r="AX84" s="459"/>
      <c r="AY84" s="461"/>
    </row>
    <row r="85" spans="1:51" ht="29.25" customHeight="1" x14ac:dyDescent="0.25">
      <c r="A85" s="467"/>
      <c r="B85" s="469"/>
      <c r="C85" s="469"/>
      <c r="D85" s="158" t="s">
        <v>4</v>
      </c>
      <c r="E85" s="124">
        <v>0</v>
      </c>
      <c r="F85" s="137">
        <v>0</v>
      </c>
      <c r="G85" s="137">
        <v>0</v>
      </c>
      <c r="H85" s="137">
        <v>0</v>
      </c>
      <c r="I85" s="137">
        <v>0</v>
      </c>
      <c r="J85" s="137">
        <v>0</v>
      </c>
      <c r="K85" s="137">
        <v>0</v>
      </c>
      <c r="L85" s="137">
        <v>0</v>
      </c>
      <c r="M85" s="137">
        <v>0</v>
      </c>
      <c r="N85" s="137">
        <v>0</v>
      </c>
      <c r="O85" s="137">
        <v>0</v>
      </c>
      <c r="P85" s="137">
        <v>0</v>
      </c>
      <c r="Q85" s="137">
        <v>0</v>
      </c>
      <c r="R85" s="137">
        <v>0</v>
      </c>
      <c r="S85" s="137"/>
      <c r="T85" s="124">
        <v>0</v>
      </c>
      <c r="U85" s="124">
        <v>0</v>
      </c>
      <c r="V85" s="124">
        <v>0</v>
      </c>
      <c r="W85" s="124"/>
      <c r="X85" s="124"/>
      <c r="Y85" s="124"/>
      <c r="Z85" s="124"/>
      <c r="AA85" s="137"/>
      <c r="AB85" s="137"/>
      <c r="AC85" s="137"/>
      <c r="AD85" s="137"/>
      <c r="AE85" s="105"/>
      <c r="AF85" s="137"/>
      <c r="AG85" s="361"/>
      <c r="AH85" s="361"/>
      <c r="AI85" s="361"/>
      <c r="AJ85" s="361"/>
      <c r="AK85" s="361"/>
      <c r="AL85" s="361"/>
      <c r="AM85" s="361"/>
      <c r="AN85" s="361"/>
      <c r="AO85" s="463"/>
      <c r="AP85" s="465"/>
      <c r="AQ85" s="361"/>
      <c r="AR85" s="361"/>
      <c r="AS85" s="361"/>
      <c r="AT85" s="361"/>
      <c r="AU85" s="361"/>
      <c r="AV85" s="361"/>
      <c r="AW85" s="361"/>
      <c r="AX85" s="459"/>
      <c r="AY85" s="461"/>
    </row>
    <row r="86" spans="1:51" ht="29.25" customHeight="1" x14ac:dyDescent="0.25">
      <c r="A86" s="467"/>
      <c r="B86" s="469"/>
      <c r="C86" s="469"/>
      <c r="D86" s="159" t="s">
        <v>42</v>
      </c>
      <c r="E86" s="105">
        <v>0</v>
      </c>
      <c r="F86" s="105">
        <f t="shared" ref="F86:R87" si="79">+F82+F84</f>
        <v>0</v>
      </c>
      <c r="G86" s="105">
        <f t="shared" si="79"/>
        <v>0</v>
      </c>
      <c r="H86" s="105">
        <f t="shared" si="79"/>
        <v>0</v>
      </c>
      <c r="I86" s="105">
        <f t="shared" si="79"/>
        <v>0</v>
      </c>
      <c r="J86" s="105">
        <f t="shared" si="79"/>
        <v>0</v>
      </c>
      <c r="K86" s="105">
        <f t="shared" si="79"/>
        <v>0</v>
      </c>
      <c r="L86" s="105">
        <f t="shared" si="79"/>
        <v>0</v>
      </c>
      <c r="M86" s="105">
        <f t="shared" si="79"/>
        <v>0</v>
      </c>
      <c r="N86" s="105">
        <f t="shared" si="79"/>
        <v>0</v>
      </c>
      <c r="O86" s="105">
        <f t="shared" si="79"/>
        <v>0</v>
      </c>
      <c r="P86" s="105">
        <f t="shared" si="79"/>
        <v>0</v>
      </c>
      <c r="Q86" s="105">
        <f t="shared" si="79"/>
        <v>0</v>
      </c>
      <c r="R86" s="105">
        <f t="shared" si="79"/>
        <v>0</v>
      </c>
      <c r="S86" s="105"/>
      <c r="T86" s="105">
        <f t="shared" ref="T86:AE87" si="80">+T82+T84</f>
        <v>0</v>
      </c>
      <c r="U86" s="105">
        <f t="shared" ref="U86" si="81">+U82+U84</f>
        <v>5</v>
      </c>
      <c r="V86" s="105">
        <f t="shared" ref="V86" si="82">+V82+V84</f>
        <v>11</v>
      </c>
      <c r="W86" s="105">
        <f t="shared" si="80"/>
        <v>0</v>
      </c>
      <c r="X86" s="105">
        <f t="shared" si="80"/>
        <v>0</v>
      </c>
      <c r="Y86" s="105">
        <f t="shared" si="80"/>
        <v>0</v>
      </c>
      <c r="Z86" s="105">
        <f t="shared" si="80"/>
        <v>0</v>
      </c>
      <c r="AA86" s="105">
        <f t="shared" si="80"/>
        <v>0</v>
      </c>
      <c r="AB86" s="105">
        <f t="shared" si="80"/>
        <v>0</v>
      </c>
      <c r="AC86" s="105">
        <f t="shared" si="80"/>
        <v>0</v>
      </c>
      <c r="AD86" s="105">
        <f t="shared" si="80"/>
        <v>0</v>
      </c>
      <c r="AE86" s="105">
        <f t="shared" si="80"/>
        <v>0</v>
      </c>
      <c r="AF86" s="209"/>
      <c r="AG86" s="361"/>
      <c r="AH86" s="361"/>
      <c r="AI86" s="361"/>
      <c r="AJ86" s="361"/>
      <c r="AK86" s="361"/>
      <c r="AL86" s="361"/>
      <c r="AM86" s="361"/>
      <c r="AN86" s="361"/>
      <c r="AO86" s="463"/>
      <c r="AP86" s="465"/>
      <c r="AQ86" s="361"/>
      <c r="AR86" s="361"/>
      <c r="AS86" s="361"/>
      <c r="AT86" s="361"/>
      <c r="AU86" s="361"/>
      <c r="AV86" s="361"/>
      <c r="AW86" s="361"/>
      <c r="AX86" s="459"/>
      <c r="AY86" s="461"/>
    </row>
    <row r="87" spans="1:51" ht="29.25" customHeight="1" x14ac:dyDescent="0.25">
      <c r="A87" s="467"/>
      <c r="B87" s="469"/>
      <c r="C87" s="453"/>
      <c r="D87" s="158" t="s">
        <v>44</v>
      </c>
      <c r="E87" s="137">
        <v>0</v>
      </c>
      <c r="F87" s="137">
        <f t="shared" si="79"/>
        <v>0</v>
      </c>
      <c r="G87" s="137">
        <f t="shared" si="79"/>
        <v>0</v>
      </c>
      <c r="H87" s="137">
        <f t="shared" si="79"/>
        <v>0</v>
      </c>
      <c r="I87" s="137">
        <f t="shared" si="79"/>
        <v>0</v>
      </c>
      <c r="J87" s="137">
        <f t="shared" si="79"/>
        <v>0</v>
      </c>
      <c r="K87" s="137">
        <f t="shared" si="79"/>
        <v>0</v>
      </c>
      <c r="L87" s="137">
        <f t="shared" si="79"/>
        <v>0</v>
      </c>
      <c r="M87" s="137">
        <f t="shared" si="79"/>
        <v>0</v>
      </c>
      <c r="N87" s="137">
        <f t="shared" si="79"/>
        <v>0</v>
      </c>
      <c r="O87" s="137">
        <f t="shared" si="79"/>
        <v>0</v>
      </c>
      <c r="P87" s="137">
        <f t="shared" si="79"/>
        <v>0</v>
      </c>
      <c r="Q87" s="137">
        <f t="shared" si="79"/>
        <v>0</v>
      </c>
      <c r="R87" s="137">
        <f t="shared" si="79"/>
        <v>0</v>
      </c>
      <c r="S87" s="137"/>
      <c r="T87" s="137">
        <f t="shared" si="80"/>
        <v>0</v>
      </c>
      <c r="U87" s="137">
        <f t="shared" ref="U87" si="83">+U83+U85</f>
        <v>0</v>
      </c>
      <c r="V87" s="137">
        <f t="shared" ref="V87" si="84">+V83+V85</f>
        <v>0</v>
      </c>
      <c r="W87" s="137">
        <f t="shared" si="80"/>
        <v>0</v>
      </c>
      <c r="X87" s="137">
        <f t="shared" si="80"/>
        <v>0</v>
      </c>
      <c r="Y87" s="137">
        <f t="shared" si="80"/>
        <v>0</v>
      </c>
      <c r="Z87" s="137">
        <f t="shared" si="80"/>
        <v>0</v>
      </c>
      <c r="AA87" s="137">
        <f t="shared" si="80"/>
        <v>0</v>
      </c>
      <c r="AB87" s="137">
        <f t="shared" si="80"/>
        <v>0</v>
      </c>
      <c r="AC87" s="137">
        <f t="shared" si="80"/>
        <v>0</v>
      </c>
      <c r="AD87" s="137">
        <f t="shared" si="80"/>
        <v>0</v>
      </c>
      <c r="AE87" s="105">
        <f t="shared" si="80"/>
        <v>0</v>
      </c>
      <c r="AF87" s="124"/>
      <c r="AG87" s="361"/>
      <c r="AH87" s="361"/>
      <c r="AI87" s="361"/>
      <c r="AJ87" s="361"/>
      <c r="AK87" s="361"/>
      <c r="AL87" s="361"/>
      <c r="AM87" s="361"/>
      <c r="AN87" s="361"/>
      <c r="AO87" s="463"/>
      <c r="AP87" s="465"/>
      <c r="AQ87" s="361"/>
      <c r="AR87" s="361"/>
      <c r="AS87" s="361"/>
      <c r="AT87" s="361"/>
      <c r="AU87" s="361"/>
      <c r="AV87" s="361"/>
      <c r="AW87" s="361"/>
      <c r="AX87" s="459"/>
      <c r="AY87" s="461"/>
    </row>
    <row r="88" spans="1:51" ht="29.25" customHeight="1" x14ac:dyDescent="0.25">
      <c r="A88" s="467"/>
      <c r="B88" s="469"/>
      <c r="C88" s="468" t="s">
        <v>500</v>
      </c>
      <c r="D88" s="159" t="s">
        <v>40</v>
      </c>
      <c r="E88" s="324">
        <v>0</v>
      </c>
      <c r="F88" s="324">
        <v>0</v>
      </c>
      <c r="G88" s="324">
        <v>0</v>
      </c>
      <c r="H88" s="324">
        <v>0</v>
      </c>
      <c r="I88" s="324">
        <v>0</v>
      </c>
      <c r="J88" s="324">
        <v>0</v>
      </c>
      <c r="K88" s="324">
        <v>0</v>
      </c>
      <c r="L88" s="324">
        <v>0</v>
      </c>
      <c r="M88" s="324">
        <v>0</v>
      </c>
      <c r="N88" s="324">
        <v>0</v>
      </c>
      <c r="O88" s="324">
        <v>0</v>
      </c>
      <c r="P88" s="324">
        <v>0</v>
      </c>
      <c r="Q88" s="324">
        <v>0</v>
      </c>
      <c r="R88" s="324">
        <v>0</v>
      </c>
      <c r="S88" s="324"/>
      <c r="T88" s="324">
        <v>0</v>
      </c>
      <c r="U88" s="324">
        <v>1</v>
      </c>
      <c r="V88" s="324">
        <f>+U88</f>
        <v>1</v>
      </c>
      <c r="W88" s="324"/>
      <c r="X88" s="324"/>
      <c r="Y88" s="324"/>
      <c r="Z88" s="105"/>
      <c r="AA88" s="324"/>
      <c r="AB88" s="324"/>
      <c r="AC88" s="324"/>
      <c r="AD88" s="324"/>
      <c r="AE88" s="105"/>
      <c r="AF88" s="324"/>
      <c r="AG88" s="471" t="s">
        <v>501</v>
      </c>
      <c r="AH88" s="361" t="s">
        <v>329</v>
      </c>
      <c r="AI88" s="361" t="s">
        <v>329</v>
      </c>
      <c r="AJ88" s="471" t="s">
        <v>501</v>
      </c>
      <c r="AK88" s="361" t="s">
        <v>331</v>
      </c>
      <c r="AL88" s="361" t="s">
        <v>329</v>
      </c>
      <c r="AM88" s="361" t="s">
        <v>329</v>
      </c>
      <c r="AN88" s="361" t="s">
        <v>329</v>
      </c>
      <c r="AO88" s="463">
        <v>37529</v>
      </c>
      <c r="AP88" s="465">
        <v>39120</v>
      </c>
      <c r="AQ88" s="361" t="s">
        <v>329</v>
      </c>
      <c r="AR88" s="361" t="s">
        <v>329</v>
      </c>
      <c r="AS88" s="361" t="s">
        <v>329</v>
      </c>
      <c r="AT88" s="361" t="s">
        <v>329</v>
      </c>
      <c r="AU88" s="361" t="s">
        <v>329</v>
      </c>
      <c r="AV88" s="361" t="s">
        <v>329</v>
      </c>
      <c r="AW88" s="361" t="s">
        <v>329</v>
      </c>
      <c r="AX88" s="459">
        <f>+AO88+AP88</f>
        <v>76649</v>
      </c>
      <c r="AY88" s="461"/>
    </row>
    <row r="89" spans="1:51" ht="29.25" customHeight="1" x14ac:dyDescent="0.25">
      <c r="A89" s="467"/>
      <c r="B89" s="469"/>
      <c r="C89" s="469"/>
      <c r="D89" s="158" t="s">
        <v>3</v>
      </c>
      <c r="E89" s="124">
        <v>0</v>
      </c>
      <c r="F89" s="124">
        <v>0</v>
      </c>
      <c r="G89" s="124">
        <v>0</v>
      </c>
      <c r="H89" s="124">
        <v>0</v>
      </c>
      <c r="I89" s="124">
        <v>0</v>
      </c>
      <c r="J89" s="124">
        <v>0</v>
      </c>
      <c r="K89" s="124">
        <v>0</v>
      </c>
      <c r="L89" s="124">
        <v>0</v>
      </c>
      <c r="M89" s="124">
        <v>0</v>
      </c>
      <c r="N89" s="124">
        <v>0</v>
      </c>
      <c r="O89" s="124">
        <v>0</v>
      </c>
      <c r="P89" s="124">
        <v>0</v>
      </c>
      <c r="Q89" s="124">
        <v>0</v>
      </c>
      <c r="R89" s="124">
        <v>0</v>
      </c>
      <c r="S89" s="137"/>
      <c r="T89" s="124">
        <v>0</v>
      </c>
      <c r="U89" s="124">
        <v>0</v>
      </c>
      <c r="V89" s="124">
        <v>0</v>
      </c>
      <c r="W89" s="124"/>
      <c r="X89" s="124"/>
      <c r="Y89" s="124"/>
      <c r="Z89" s="124"/>
      <c r="AA89" s="124"/>
      <c r="AB89" s="124"/>
      <c r="AC89" s="124"/>
      <c r="AD89" s="124"/>
      <c r="AE89" s="105"/>
      <c r="AF89" s="137"/>
      <c r="AG89" s="472"/>
      <c r="AH89" s="361"/>
      <c r="AI89" s="361"/>
      <c r="AJ89" s="472"/>
      <c r="AK89" s="361"/>
      <c r="AL89" s="361"/>
      <c r="AM89" s="361"/>
      <c r="AN89" s="361"/>
      <c r="AO89" s="463"/>
      <c r="AP89" s="465"/>
      <c r="AQ89" s="361"/>
      <c r="AR89" s="361"/>
      <c r="AS89" s="361"/>
      <c r="AT89" s="361"/>
      <c r="AU89" s="361"/>
      <c r="AV89" s="361"/>
      <c r="AW89" s="361"/>
      <c r="AX89" s="459"/>
      <c r="AY89" s="461"/>
    </row>
    <row r="90" spans="1:51" ht="29.25" customHeight="1" x14ac:dyDescent="0.25">
      <c r="A90" s="467"/>
      <c r="B90" s="469"/>
      <c r="C90" s="469"/>
      <c r="D90" s="159" t="s">
        <v>41</v>
      </c>
      <c r="E90" s="324">
        <v>0</v>
      </c>
      <c r="F90" s="209">
        <v>0</v>
      </c>
      <c r="G90" s="209">
        <v>0</v>
      </c>
      <c r="H90" s="209">
        <v>0</v>
      </c>
      <c r="I90" s="209">
        <v>0</v>
      </c>
      <c r="J90" s="209">
        <v>0</v>
      </c>
      <c r="K90" s="209">
        <v>0</v>
      </c>
      <c r="L90" s="209">
        <v>0</v>
      </c>
      <c r="M90" s="209">
        <v>0</v>
      </c>
      <c r="N90" s="209">
        <v>0</v>
      </c>
      <c r="O90" s="209">
        <v>0</v>
      </c>
      <c r="P90" s="209">
        <v>0</v>
      </c>
      <c r="Q90" s="209">
        <v>0</v>
      </c>
      <c r="R90" s="209">
        <v>0</v>
      </c>
      <c r="S90" s="209"/>
      <c r="T90" s="324">
        <v>0</v>
      </c>
      <c r="U90" s="324">
        <v>0</v>
      </c>
      <c r="V90" s="324">
        <v>0</v>
      </c>
      <c r="W90" s="324"/>
      <c r="X90" s="324"/>
      <c r="Y90" s="324"/>
      <c r="Z90" s="160"/>
      <c r="AA90" s="209"/>
      <c r="AB90" s="209"/>
      <c r="AC90" s="209"/>
      <c r="AD90" s="209"/>
      <c r="AE90" s="105"/>
      <c r="AF90" s="209"/>
      <c r="AG90" s="472"/>
      <c r="AH90" s="361"/>
      <c r="AI90" s="361"/>
      <c r="AJ90" s="472"/>
      <c r="AK90" s="361"/>
      <c r="AL90" s="361"/>
      <c r="AM90" s="361"/>
      <c r="AN90" s="361"/>
      <c r="AO90" s="463"/>
      <c r="AP90" s="465"/>
      <c r="AQ90" s="361"/>
      <c r="AR90" s="361"/>
      <c r="AS90" s="361"/>
      <c r="AT90" s="361"/>
      <c r="AU90" s="361"/>
      <c r="AV90" s="361"/>
      <c r="AW90" s="361"/>
      <c r="AX90" s="459"/>
      <c r="AY90" s="461"/>
    </row>
    <row r="91" spans="1:51" ht="29.25" customHeight="1" x14ac:dyDescent="0.25">
      <c r="A91" s="467"/>
      <c r="B91" s="469"/>
      <c r="C91" s="469"/>
      <c r="D91" s="158" t="s">
        <v>4</v>
      </c>
      <c r="E91" s="124">
        <v>0</v>
      </c>
      <c r="F91" s="137">
        <v>0</v>
      </c>
      <c r="G91" s="137">
        <v>0</v>
      </c>
      <c r="H91" s="137">
        <v>0</v>
      </c>
      <c r="I91" s="137">
        <v>0</v>
      </c>
      <c r="J91" s="137">
        <v>0</v>
      </c>
      <c r="K91" s="137">
        <v>0</v>
      </c>
      <c r="L91" s="137">
        <v>0</v>
      </c>
      <c r="M91" s="137">
        <v>0</v>
      </c>
      <c r="N91" s="137">
        <v>0</v>
      </c>
      <c r="O91" s="137">
        <v>0</v>
      </c>
      <c r="P91" s="137">
        <v>0</v>
      </c>
      <c r="Q91" s="137">
        <v>0</v>
      </c>
      <c r="R91" s="137">
        <v>0</v>
      </c>
      <c r="S91" s="137"/>
      <c r="T91" s="124">
        <v>0</v>
      </c>
      <c r="U91" s="124">
        <v>0</v>
      </c>
      <c r="V91" s="124">
        <v>0</v>
      </c>
      <c r="W91" s="124"/>
      <c r="X91" s="124"/>
      <c r="Y91" s="124"/>
      <c r="Z91" s="124"/>
      <c r="AA91" s="137"/>
      <c r="AB91" s="137"/>
      <c r="AC91" s="137"/>
      <c r="AD91" s="137"/>
      <c r="AE91" s="105"/>
      <c r="AF91" s="137"/>
      <c r="AG91" s="472"/>
      <c r="AH91" s="361"/>
      <c r="AI91" s="361"/>
      <c r="AJ91" s="472"/>
      <c r="AK91" s="361"/>
      <c r="AL91" s="361"/>
      <c r="AM91" s="361"/>
      <c r="AN91" s="361"/>
      <c r="AO91" s="463"/>
      <c r="AP91" s="465"/>
      <c r="AQ91" s="361"/>
      <c r="AR91" s="361"/>
      <c r="AS91" s="361"/>
      <c r="AT91" s="361"/>
      <c r="AU91" s="361"/>
      <c r="AV91" s="361"/>
      <c r="AW91" s="361"/>
      <c r="AX91" s="459"/>
      <c r="AY91" s="461"/>
    </row>
    <row r="92" spans="1:51" ht="29.25" customHeight="1" x14ac:dyDescent="0.25">
      <c r="A92" s="467"/>
      <c r="B92" s="469"/>
      <c r="C92" s="469"/>
      <c r="D92" s="159" t="s">
        <v>42</v>
      </c>
      <c r="E92" s="105">
        <v>0</v>
      </c>
      <c r="F92" s="105">
        <f t="shared" ref="F92:R93" si="85">+F88+F90</f>
        <v>0</v>
      </c>
      <c r="G92" s="105">
        <f t="shared" si="85"/>
        <v>0</v>
      </c>
      <c r="H92" s="105">
        <f t="shared" si="85"/>
        <v>0</v>
      </c>
      <c r="I92" s="105">
        <f t="shared" si="85"/>
        <v>0</v>
      </c>
      <c r="J92" s="105">
        <f t="shared" si="85"/>
        <v>0</v>
      </c>
      <c r="K92" s="105">
        <f t="shared" si="85"/>
        <v>0</v>
      </c>
      <c r="L92" s="105">
        <f t="shared" si="85"/>
        <v>0</v>
      </c>
      <c r="M92" s="105">
        <f t="shared" si="85"/>
        <v>0</v>
      </c>
      <c r="N92" s="105">
        <f t="shared" si="85"/>
        <v>0</v>
      </c>
      <c r="O92" s="105">
        <f t="shared" si="85"/>
        <v>0</v>
      </c>
      <c r="P92" s="105">
        <f t="shared" si="85"/>
        <v>0</v>
      </c>
      <c r="Q92" s="105">
        <f t="shared" si="85"/>
        <v>0</v>
      </c>
      <c r="R92" s="105">
        <f t="shared" si="85"/>
        <v>0</v>
      </c>
      <c r="S92" s="105"/>
      <c r="T92" s="105">
        <f t="shared" ref="T92:AE93" si="86">+T88+T90</f>
        <v>0</v>
      </c>
      <c r="U92" s="105">
        <f t="shared" ref="U92" si="87">+U88+U90</f>
        <v>1</v>
      </c>
      <c r="V92" s="105">
        <f t="shared" ref="V92" si="88">+V88+V90</f>
        <v>1</v>
      </c>
      <c r="W92" s="105">
        <f t="shared" si="86"/>
        <v>0</v>
      </c>
      <c r="X92" s="105">
        <f t="shared" si="86"/>
        <v>0</v>
      </c>
      <c r="Y92" s="105">
        <f t="shared" si="86"/>
        <v>0</v>
      </c>
      <c r="Z92" s="105">
        <f t="shared" si="86"/>
        <v>0</v>
      </c>
      <c r="AA92" s="105">
        <f t="shared" si="86"/>
        <v>0</v>
      </c>
      <c r="AB92" s="105">
        <f t="shared" si="86"/>
        <v>0</v>
      </c>
      <c r="AC92" s="105">
        <f t="shared" si="86"/>
        <v>0</v>
      </c>
      <c r="AD92" s="105">
        <f t="shared" si="86"/>
        <v>0</v>
      </c>
      <c r="AE92" s="105">
        <f t="shared" si="86"/>
        <v>0</v>
      </c>
      <c r="AF92" s="209"/>
      <c r="AG92" s="472"/>
      <c r="AH92" s="361"/>
      <c r="AI92" s="361"/>
      <c r="AJ92" s="472"/>
      <c r="AK92" s="361"/>
      <c r="AL92" s="361"/>
      <c r="AM92" s="361"/>
      <c r="AN92" s="361"/>
      <c r="AO92" s="463"/>
      <c r="AP92" s="465"/>
      <c r="AQ92" s="361"/>
      <c r="AR92" s="361"/>
      <c r="AS92" s="361"/>
      <c r="AT92" s="361"/>
      <c r="AU92" s="361"/>
      <c r="AV92" s="361"/>
      <c r="AW92" s="361"/>
      <c r="AX92" s="459"/>
      <c r="AY92" s="461"/>
    </row>
    <row r="93" spans="1:51" ht="29.25" customHeight="1" x14ac:dyDescent="0.25">
      <c r="A93" s="467"/>
      <c r="B93" s="469"/>
      <c r="C93" s="453"/>
      <c r="D93" s="158" t="s">
        <v>44</v>
      </c>
      <c r="E93" s="137">
        <v>0</v>
      </c>
      <c r="F93" s="137">
        <f t="shared" si="85"/>
        <v>0</v>
      </c>
      <c r="G93" s="137">
        <f t="shared" si="85"/>
        <v>0</v>
      </c>
      <c r="H93" s="137">
        <f t="shared" si="85"/>
        <v>0</v>
      </c>
      <c r="I93" s="137">
        <f t="shared" si="85"/>
        <v>0</v>
      </c>
      <c r="J93" s="137">
        <f t="shared" si="85"/>
        <v>0</v>
      </c>
      <c r="K93" s="137">
        <f t="shared" si="85"/>
        <v>0</v>
      </c>
      <c r="L93" s="137">
        <f t="shared" si="85"/>
        <v>0</v>
      </c>
      <c r="M93" s="137">
        <f t="shared" si="85"/>
        <v>0</v>
      </c>
      <c r="N93" s="137">
        <f t="shared" si="85"/>
        <v>0</v>
      </c>
      <c r="O93" s="137">
        <f t="shared" si="85"/>
        <v>0</v>
      </c>
      <c r="P93" s="137">
        <f t="shared" si="85"/>
        <v>0</v>
      </c>
      <c r="Q93" s="137">
        <f t="shared" si="85"/>
        <v>0</v>
      </c>
      <c r="R93" s="137">
        <f t="shared" si="85"/>
        <v>0</v>
      </c>
      <c r="S93" s="137"/>
      <c r="T93" s="137">
        <f t="shared" si="86"/>
        <v>0</v>
      </c>
      <c r="U93" s="137">
        <f t="shared" ref="U93" si="89">+U89+U91</f>
        <v>0</v>
      </c>
      <c r="V93" s="137">
        <f t="shared" ref="V93" si="90">+V89+V91</f>
        <v>0</v>
      </c>
      <c r="W93" s="137">
        <f t="shared" si="86"/>
        <v>0</v>
      </c>
      <c r="X93" s="137">
        <f t="shared" si="86"/>
        <v>0</v>
      </c>
      <c r="Y93" s="137">
        <f t="shared" si="86"/>
        <v>0</v>
      </c>
      <c r="Z93" s="137">
        <f t="shared" si="86"/>
        <v>0</v>
      </c>
      <c r="AA93" s="137">
        <f t="shared" si="86"/>
        <v>0</v>
      </c>
      <c r="AB93" s="137">
        <f t="shared" si="86"/>
        <v>0</v>
      </c>
      <c r="AC93" s="137">
        <f t="shared" si="86"/>
        <v>0</v>
      </c>
      <c r="AD93" s="137">
        <f t="shared" si="86"/>
        <v>0</v>
      </c>
      <c r="AE93" s="105">
        <f t="shared" si="86"/>
        <v>0</v>
      </c>
      <c r="AF93" s="124"/>
      <c r="AG93" s="457"/>
      <c r="AH93" s="361"/>
      <c r="AI93" s="361"/>
      <c r="AJ93" s="457"/>
      <c r="AK93" s="361"/>
      <c r="AL93" s="361"/>
      <c r="AM93" s="361"/>
      <c r="AN93" s="361"/>
      <c r="AO93" s="463"/>
      <c r="AP93" s="465"/>
      <c r="AQ93" s="361"/>
      <c r="AR93" s="361"/>
      <c r="AS93" s="361"/>
      <c r="AT93" s="361"/>
      <c r="AU93" s="361"/>
      <c r="AV93" s="361"/>
      <c r="AW93" s="361"/>
      <c r="AX93" s="459"/>
      <c r="AY93" s="461"/>
    </row>
    <row r="94" spans="1:51" ht="29.25" customHeight="1" x14ac:dyDescent="0.25">
      <c r="A94" s="467"/>
      <c r="B94" s="469"/>
      <c r="C94" s="468" t="s">
        <v>502</v>
      </c>
      <c r="D94" s="159" t="s">
        <v>40</v>
      </c>
      <c r="E94" s="324">
        <v>0</v>
      </c>
      <c r="F94" s="324">
        <v>0</v>
      </c>
      <c r="G94" s="324">
        <v>0</v>
      </c>
      <c r="H94" s="324">
        <v>0</v>
      </c>
      <c r="I94" s="324">
        <v>0</v>
      </c>
      <c r="J94" s="324">
        <v>0</v>
      </c>
      <c r="K94" s="324">
        <v>0</v>
      </c>
      <c r="L94" s="324">
        <v>0</v>
      </c>
      <c r="M94" s="324">
        <v>0</v>
      </c>
      <c r="N94" s="324">
        <v>0</v>
      </c>
      <c r="O94" s="324">
        <v>0</v>
      </c>
      <c r="P94" s="324">
        <v>0</v>
      </c>
      <c r="Q94" s="324">
        <v>0</v>
      </c>
      <c r="R94" s="324">
        <v>0</v>
      </c>
      <c r="S94" s="324"/>
      <c r="T94" s="324">
        <v>0</v>
      </c>
      <c r="U94" s="324">
        <v>2</v>
      </c>
      <c r="V94" s="324">
        <f>+U94+2</f>
        <v>4</v>
      </c>
      <c r="W94" s="324"/>
      <c r="X94" s="324"/>
      <c r="Y94" s="324"/>
      <c r="Z94" s="105"/>
      <c r="AA94" s="324"/>
      <c r="AB94" s="324"/>
      <c r="AC94" s="324"/>
      <c r="AD94" s="324"/>
      <c r="AE94" s="105"/>
      <c r="AF94" s="324"/>
      <c r="AG94" s="361" t="s">
        <v>503</v>
      </c>
      <c r="AH94" s="361" t="s">
        <v>329</v>
      </c>
      <c r="AI94" s="361" t="s">
        <v>329</v>
      </c>
      <c r="AJ94" s="361" t="s">
        <v>503</v>
      </c>
      <c r="AK94" s="361" t="s">
        <v>331</v>
      </c>
      <c r="AL94" s="361" t="s">
        <v>329</v>
      </c>
      <c r="AM94" s="361" t="s">
        <v>329</v>
      </c>
      <c r="AN94" s="361" t="s">
        <v>329</v>
      </c>
      <c r="AO94" s="463">
        <v>120116</v>
      </c>
      <c r="AP94" s="465">
        <v>134352</v>
      </c>
      <c r="AQ94" s="361" t="s">
        <v>329</v>
      </c>
      <c r="AR94" s="361" t="s">
        <v>329</v>
      </c>
      <c r="AS94" s="361" t="s">
        <v>329</v>
      </c>
      <c r="AT94" s="361" t="s">
        <v>329</v>
      </c>
      <c r="AU94" s="361" t="s">
        <v>329</v>
      </c>
      <c r="AV94" s="361" t="s">
        <v>329</v>
      </c>
      <c r="AW94" s="361" t="s">
        <v>329</v>
      </c>
      <c r="AX94" s="459">
        <f>+AO94+AP94</f>
        <v>254468</v>
      </c>
      <c r="AY94" s="461"/>
    </row>
    <row r="95" spans="1:51" ht="29.25" customHeight="1" x14ac:dyDescent="0.25">
      <c r="A95" s="467"/>
      <c r="B95" s="469"/>
      <c r="C95" s="469"/>
      <c r="D95" s="158" t="s">
        <v>3</v>
      </c>
      <c r="E95" s="124">
        <v>0</v>
      </c>
      <c r="F95" s="124">
        <v>0</v>
      </c>
      <c r="G95" s="124">
        <v>0</v>
      </c>
      <c r="H95" s="124">
        <v>0</v>
      </c>
      <c r="I95" s="124">
        <v>0</v>
      </c>
      <c r="J95" s="124">
        <v>0</v>
      </c>
      <c r="K95" s="124">
        <v>0</v>
      </c>
      <c r="L95" s="124">
        <v>0</v>
      </c>
      <c r="M95" s="124">
        <v>0</v>
      </c>
      <c r="N95" s="124">
        <v>0</v>
      </c>
      <c r="O95" s="124">
        <v>0</v>
      </c>
      <c r="P95" s="124">
        <v>0</v>
      </c>
      <c r="Q95" s="124">
        <v>0</v>
      </c>
      <c r="R95" s="124">
        <v>0</v>
      </c>
      <c r="S95" s="137"/>
      <c r="T95" s="124">
        <v>0</v>
      </c>
      <c r="U95" s="124">
        <v>0</v>
      </c>
      <c r="V95" s="124">
        <v>0</v>
      </c>
      <c r="W95" s="124"/>
      <c r="X95" s="124"/>
      <c r="Y95" s="124"/>
      <c r="Z95" s="124"/>
      <c r="AA95" s="124"/>
      <c r="AB95" s="124"/>
      <c r="AC95" s="124"/>
      <c r="AD95" s="124"/>
      <c r="AE95" s="105"/>
      <c r="AF95" s="137"/>
      <c r="AG95" s="361"/>
      <c r="AH95" s="361"/>
      <c r="AI95" s="361"/>
      <c r="AJ95" s="361"/>
      <c r="AK95" s="361"/>
      <c r="AL95" s="361"/>
      <c r="AM95" s="361"/>
      <c r="AN95" s="361"/>
      <c r="AO95" s="463"/>
      <c r="AP95" s="465"/>
      <c r="AQ95" s="361"/>
      <c r="AR95" s="361"/>
      <c r="AS95" s="361"/>
      <c r="AT95" s="361"/>
      <c r="AU95" s="361"/>
      <c r="AV95" s="361"/>
      <c r="AW95" s="361"/>
      <c r="AX95" s="459"/>
      <c r="AY95" s="461"/>
    </row>
    <row r="96" spans="1:51" ht="29.25" customHeight="1" x14ac:dyDescent="0.25">
      <c r="A96" s="467"/>
      <c r="B96" s="469"/>
      <c r="C96" s="469"/>
      <c r="D96" s="159" t="s">
        <v>41</v>
      </c>
      <c r="E96" s="324">
        <v>0</v>
      </c>
      <c r="F96" s="209">
        <v>0</v>
      </c>
      <c r="G96" s="209">
        <v>0</v>
      </c>
      <c r="H96" s="209">
        <v>0</v>
      </c>
      <c r="I96" s="209">
        <v>0</v>
      </c>
      <c r="J96" s="209">
        <v>0</v>
      </c>
      <c r="K96" s="209">
        <v>0</v>
      </c>
      <c r="L96" s="209">
        <v>0</v>
      </c>
      <c r="M96" s="209">
        <v>0</v>
      </c>
      <c r="N96" s="209">
        <v>0</v>
      </c>
      <c r="O96" s="209">
        <v>0</v>
      </c>
      <c r="P96" s="209">
        <v>0</v>
      </c>
      <c r="Q96" s="209">
        <v>0</v>
      </c>
      <c r="R96" s="209">
        <v>0</v>
      </c>
      <c r="S96" s="209"/>
      <c r="T96" s="324">
        <v>0</v>
      </c>
      <c r="U96" s="324">
        <v>0</v>
      </c>
      <c r="V96" s="324">
        <v>0</v>
      </c>
      <c r="W96" s="324"/>
      <c r="X96" s="324"/>
      <c r="Y96" s="324"/>
      <c r="Z96" s="160"/>
      <c r="AA96" s="209"/>
      <c r="AB96" s="209"/>
      <c r="AC96" s="209"/>
      <c r="AD96" s="209"/>
      <c r="AE96" s="105"/>
      <c r="AF96" s="209"/>
      <c r="AG96" s="361"/>
      <c r="AH96" s="361"/>
      <c r="AI96" s="361"/>
      <c r="AJ96" s="361"/>
      <c r="AK96" s="361"/>
      <c r="AL96" s="361"/>
      <c r="AM96" s="361"/>
      <c r="AN96" s="361"/>
      <c r="AO96" s="463"/>
      <c r="AP96" s="465"/>
      <c r="AQ96" s="361"/>
      <c r="AR96" s="361"/>
      <c r="AS96" s="361"/>
      <c r="AT96" s="361"/>
      <c r="AU96" s="361"/>
      <c r="AV96" s="361"/>
      <c r="AW96" s="361"/>
      <c r="AX96" s="459"/>
      <c r="AY96" s="461"/>
    </row>
    <row r="97" spans="1:51" ht="29.25" customHeight="1" x14ac:dyDescent="0.25">
      <c r="A97" s="467"/>
      <c r="B97" s="469"/>
      <c r="C97" s="469"/>
      <c r="D97" s="158" t="s">
        <v>4</v>
      </c>
      <c r="E97" s="124">
        <v>0</v>
      </c>
      <c r="F97" s="137">
        <v>0</v>
      </c>
      <c r="G97" s="137">
        <v>0</v>
      </c>
      <c r="H97" s="137">
        <v>0</v>
      </c>
      <c r="I97" s="137">
        <v>0</v>
      </c>
      <c r="J97" s="137">
        <v>0</v>
      </c>
      <c r="K97" s="137">
        <v>0</v>
      </c>
      <c r="L97" s="137">
        <v>0</v>
      </c>
      <c r="M97" s="137">
        <v>0</v>
      </c>
      <c r="N97" s="137">
        <v>0</v>
      </c>
      <c r="O97" s="137">
        <v>0</v>
      </c>
      <c r="P97" s="137">
        <v>0</v>
      </c>
      <c r="Q97" s="137">
        <v>0</v>
      </c>
      <c r="R97" s="137">
        <v>0</v>
      </c>
      <c r="S97" s="137"/>
      <c r="T97" s="124">
        <v>0</v>
      </c>
      <c r="U97" s="124">
        <v>0</v>
      </c>
      <c r="V97" s="124">
        <v>0</v>
      </c>
      <c r="W97" s="124"/>
      <c r="X97" s="124"/>
      <c r="Y97" s="124"/>
      <c r="Z97" s="124"/>
      <c r="AA97" s="137"/>
      <c r="AB97" s="137"/>
      <c r="AC97" s="137"/>
      <c r="AD97" s="137"/>
      <c r="AE97" s="105"/>
      <c r="AF97" s="137"/>
      <c r="AG97" s="361"/>
      <c r="AH97" s="361"/>
      <c r="AI97" s="361"/>
      <c r="AJ97" s="361"/>
      <c r="AK97" s="361"/>
      <c r="AL97" s="361"/>
      <c r="AM97" s="361"/>
      <c r="AN97" s="361"/>
      <c r="AO97" s="463"/>
      <c r="AP97" s="465"/>
      <c r="AQ97" s="361"/>
      <c r="AR97" s="361"/>
      <c r="AS97" s="361"/>
      <c r="AT97" s="361"/>
      <c r="AU97" s="361"/>
      <c r="AV97" s="361"/>
      <c r="AW97" s="361"/>
      <c r="AX97" s="459"/>
      <c r="AY97" s="461"/>
    </row>
    <row r="98" spans="1:51" ht="29.25" customHeight="1" x14ac:dyDescent="0.25">
      <c r="A98" s="467"/>
      <c r="B98" s="469"/>
      <c r="C98" s="469"/>
      <c r="D98" s="159" t="s">
        <v>42</v>
      </c>
      <c r="E98" s="105">
        <v>0</v>
      </c>
      <c r="F98" s="105">
        <f t="shared" ref="F98:R99" si="91">+F94+F96</f>
        <v>0</v>
      </c>
      <c r="G98" s="105">
        <f t="shared" si="91"/>
        <v>0</v>
      </c>
      <c r="H98" s="105">
        <f t="shared" si="91"/>
        <v>0</v>
      </c>
      <c r="I98" s="105">
        <f t="shared" si="91"/>
        <v>0</v>
      </c>
      <c r="J98" s="105">
        <f t="shared" si="91"/>
        <v>0</v>
      </c>
      <c r="K98" s="105">
        <f t="shared" si="91"/>
        <v>0</v>
      </c>
      <c r="L98" s="105">
        <f t="shared" si="91"/>
        <v>0</v>
      </c>
      <c r="M98" s="105">
        <f t="shared" si="91"/>
        <v>0</v>
      </c>
      <c r="N98" s="105">
        <f t="shared" si="91"/>
        <v>0</v>
      </c>
      <c r="O98" s="105">
        <f t="shared" si="91"/>
        <v>0</v>
      </c>
      <c r="P98" s="105">
        <f t="shared" si="91"/>
        <v>0</v>
      </c>
      <c r="Q98" s="105">
        <f t="shared" si="91"/>
        <v>0</v>
      </c>
      <c r="R98" s="105">
        <f t="shared" si="91"/>
        <v>0</v>
      </c>
      <c r="S98" s="105"/>
      <c r="T98" s="105">
        <f t="shared" ref="T98:AE99" si="92">+T94+T96</f>
        <v>0</v>
      </c>
      <c r="U98" s="105">
        <f t="shared" ref="U98" si="93">+U94+U96</f>
        <v>2</v>
      </c>
      <c r="V98" s="105">
        <f t="shared" ref="V98" si="94">+V94+V96</f>
        <v>4</v>
      </c>
      <c r="W98" s="105">
        <f t="shared" si="92"/>
        <v>0</v>
      </c>
      <c r="X98" s="105">
        <f t="shared" si="92"/>
        <v>0</v>
      </c>
      <c r="Y98" s="105">
        <f t="shared" si="92"/>
        <v>0</v>
      </c>
      <c r="Z98" s="105">
        <f t="shared" si="92"/>
        <v>0</v>
      </c>
      <c r="AA98" s="105">
        <f t="shared" si="92"/>
        <v>0</v>
      </c>
      <c r="AB98" s="105">
        <f t="shared" si="92"/>
        <v>0</v>
      </c>
      <c r="AC98" s="105">
        <f t="shared" si="92"/>
        <v>0</v>
      </c>
      <c r="AD98" s="105">
        <f t="shared" si="92"/>
        <v>0</v>
      </c>
      <c r="AE98" s="105">
        <f t="shared" si="92"/>
        <v>0</v>
      </c>
      <c r="AF98" s="209"/>
      <c r="AG98" s="361"/>
      <c r="AH98" s="361"/>
      <c r="AI98" s="361"/>
      <c r="AJ98" s="361"/>
      <c r="AK98" s="361"/>
      <c r="AL98" s="361"/>
      <c r="AM98" s="361"/>
      <c r="AN98" s="361"/>
      <c r="AO98" s="463"/>
      <c r="AP98" s="465"/>
      <c r="AQ98" s="361"/>
      <c r="AR98" s="361"/>
      <c r="AS98" s="361"/>
      <c r="AT98" s="361"/>
      <c r="AU98" s="361"/>
      <c r="AV98" s="361"/>
      <c r="AW98" s="361"/>
      <c r="AX98" s="459"/>
      <c r="AY98" s="461"/>
    </row>
    <row r="99" spans="1:51" ht="29.25" customHeight="1" x14ac:dyDescent="0.25">
      <c r="A99" s="467"/>
      <c r="B99" s="469"/>
      <c r="C99" s="453"/>
      <c r="D99" s="158" t="s">
        <v>44</v>
      </c>
      <c r="E99" s="137">
        <v>0</v>
      </c>
      <c r="F99" s="137">
        <f t="shared" si="91"/>
        <v>0</v>
      </c>
      <c r="G99" s="137">
        <f t="shared" si="91"/>
        <v>0</v>
      </c>
      <c r="H99" s="137">
        <f t="shared" si="91"/>
        <v>0</v>
      </c>
      <c r="I99" s="137">
        <f t="shared" si="91"/>
        <v>0</v>
      </c>
      <c r="J99" s="137">
        <f t="shared" si="91"/>
        <v>0</v>
      </c>
      <c r="K99" s="137">
        <f t="shared" si="91"/>
        <v>0</v>
      </c>
      <c r="L99" s="137">
        <f t="shared" si="91"/>
        <v>0</v>
      </c>
      <c r="M99" s="137">
        <f t="shared" si="91"/>
        <v>0</v>
      </c>
      <c r="N99" s="137">
        <f t="shared" si="91"/>
        <v>0</v>
      </c>
      <c r="O99" s="137">
        <f t="shared" si="91"/>
        <v>0</v>
      </c>
      <c r="P99" s="137">
        <f t="shared" si="91"/>
        <v>0</v>
      </c>
      <c r="Q99" s="137">
        <f t="shared" si="91"/>
        <v>0</v>
      </c>
      <c r="R99" s="137">
        <f t="shared" si="91"/>
        <v>0</v>
      </c>
      <c r="S99" s="137"/>
      <c r="T99" s="137">
        <f t="shared" si="92"/>
        <v>0</v>
      </c>
      <c r="U99" s="137">
        <f t="shared" ref="U99" si="95">+U95+U97</f>
        <v>0</v>
      </c>
      <c r="V99" s="137">
        <f t="shared" ref="V99" si="96">+V95+V97</f>
        <v>0</v>
      </c>
      <c r="W99" s="137">
        <f t="shared" si="92"/>
        <v>0</v>
      </c>
      <c r="X99" s="137">
        <f t="shared" si="92"/>
        <v>0</v>
      </c>
      <c r="Y99" s="137">
        <f t="shared" si="92"/>
        <v>0</v>
      </c>
      <c r="Z99" s="137">
        <f t="shared" si="92"/>
        <v>0</v>
      </c>
      <c r="AA99" s="137">
        <f t="shared" si="92"/>
        <v>0</v>
      </c>
      <c r="AB99" s="137">
        <f t="shared" si="92"/>
        <v>0</v>
      </c>
      <c r="AC99" s="137">
        <f t="shared" si="92"/>
        <v>0</v>
      </c>
      <c r="AD99" s="137">
        <f t="shared" si="92"/>
        <v>0</v>
      </c>
      <c r="AE99" s="105">
        <f t="shared" si="92"/>
        <v>0</v>
      </c>
      <c r="AF99" s="124"/>
      <c r="AG99" s="361"/>
      <c r="AH99" s="361"/>
      <c r="AI99" s="361"/>
      <c r="AJ99" s="361"/>
      <c r="AK99" s="361"/>
      <c r="AL99" s="361"/>
      <c r="AM99" s="361"/>
      <c r="AN99" s="361"/>
      <c r="AO99" s="463"/>
      <c r="AP99" s="465"/>
      <c r="AQ99" s="361"/>
      <c r="AR99" s="361"/>
      <c r="AS99" s="361"/>
      <c r="AT99" s="361"/>
      <c r="AU99" s="361"/>
      <c r="AV99" s="361"/>
      <c r="AW99" s="361"/>
      <c r="AX99" s="459"/>
      <c r="AY99" s="461"/>
    </row>
    <row r="100" spans="1:51" ht="29.25" customHeight="1" x14ac:dyDescent="0.25">
      <c r="A100" s="467"/>
      <c r="B100" s="469"/>
      <c r="C100" s="468" t="s">
        <v>504</v>
      </c>
      <c r="D100" s="159" t="s">
        <v>40</v>
      </c>
      <c r="E100" s="324">
        <v>0</v>
      </c>
      <c r="F100" s="324">
        <v>0</v>
      </c>
      <c r="G100" s="324">
        <v>0</v>
      </c>
      <c r="H100" s="324">
        <v>0</v>
      </c>
      <c r="I100" s="324">
        <v>0</v>
      </c>
      <c r="J100" s="324">
        <v>0</v>
      </c>
      <c r="K100" s="324">
        <v>0</v>
      </c>
      <c r="L100" s="324">
        <v>0</v>
      </c>
      <c r="M100" s="324">
        <v>0</v>
      </c>
      <c r="N100" s="324">
        <v>0</v>
      </c>
      <c r="O100" s="324">
        <v>0</v>
      </c>
      <c r="P100" s="324">
        <v>0</v>
      </c>
      <c r="Q100" s="324">
        <v>0</v>
      </c>
      <c r="R100" s="324">
        <v>0</v>
      </c>
      <c r="S100" s="324"/>
      <c r="T100" s="324">
        <v>0</v>
      </c>
      <c r="U100" s="324">
        <v>5</v>
      </c>
      <c r="V100" s="324">
        <f>+U100+4</f>
        <v>9</v>
      </c>
      <c r="W100" s="324"/>
      <c r="X100" s="324"/>
      <c r="Y100" s="324"/>
      <c r="Z100" s="105"/>
      <c r="AA100" s="324"/>
      <c r="AB100" s="324"/>
      <c r="AC100" s="324"/>
      <c r="AD100" s="324"/>
      <c r="AE100" s="105"/>
      <c r="AF100" s="324"/>
      <c r="AG100" s="361" t="s">
        <v>505</v>
      </c>
      <c r="AH100" s="361" t="s">
        <v>329</v>
      </c>
      <c r="AI100" s="361" t="s">
        <v>329</v>
      </c>
      <c r="AJ100" s="361" t="s">
        <v>505</v>
      </c>
      <c r="AK100" s="361" t="s">
        <v>331</v>
      </c>
      <c r="AL100" s="361" t="s">
        <v>329</v>
      </c>
      <c r="AM100" s="361" t="s">
        <v>329</v>
      </c>
      <c r="AN100" s="361" t="s">
        <v>329</v>
      </c>
      <c r="AO100" s="463">
        <v>181938</v>
      </c>
      <c r="AP100" s="465">
        <v>194972</v>
      </c>
      <c r="AQ100" s="361" t="s">
        <v>329</v>
      </c>
      <c r="AR100" s="361" t="s">
        <v>329</v>
      </c>
      <c r="AS100" s="361" t="s">
        <v>329</v>
      </c>
      <c r="AT100" s="361" t="s">
        <v>329</v>
      </c>
      <c r="AU100" s="361" t="s">
        <v>329</v>
      </c>
      <c r="AV100" s="361" t="s">
        <v>329</v>
      </c>
      <c r="AW100" s="361" t="s">
        <v>329</v>
      </c>
      <c r="AX100" s="459">
        <f>+AO100+AP100</f>
        <v>376910</v>
      </c>
      <c r="AY100" s="461"/>
    </row>
    <row r="101" spans="1:51" ht="29.25" customHeight="1" x14ac:dyDescent="0.25">
      <c r="A101" s="467"/>
      <c r="B101" s="469"/>
      <c r="C101" s="469"/>
      <c r="D101" s="158" t="s">
        <v>3</v>
      </c>
      <c r="E101" s="124">
        <v>0</v>
      </c>
      <c r="F101" s="124">
        <v>0</v>
      </c>
      <c r="G101" s="124">
        <v>0</v>
      </c>
      <c r="H101" s="124">
        <v>0</v>
      </c>
      <c r="I101" s="124">
        <v>0</v>
      </c>
      <c r="J101" s="124">
        <v>0</v>
      </c>
      <c r="K101" s="124">
        <v>0</v>
      </c>
      <c r="L101" s="124">
        <v>0</v>
      </c>
      <c r="M101" s="124">
        <v>0</v>
      </c>
      <c r="N101" s="124">
        <v>0</v>
      </c>
      <c r="O101" s="124">
        <v>0</v>
      </c>
      <c r="P101" s="124">
        <v>0</v>
      </c>
      <c r="Q101" s="124">
        <v>0</v>
      </c>
      <c r="R101" s="124">
        <v>0</v>
      </c>
      <c r="S101" s="137"/>
      <c r="T101" s="124">
        <v>0</v>
      </c>
      <c r="U101" s="124">
        <v>0</v>
      </c>
      <c r="V101" s="124">
        <v>0</v>
      </c>
      <c r="W101" s="124"/>
      <c r="X101" s="124"/>
      <c r="Y101" s="124"/>
      <c r="Z101" s="124"/>
      <c r="AA101" s="124"/>
      <c r="AB101" s="124"/>
      <c r="AC101" s="124"/>
      <c r="AD101" s="124"/>
      <c r="AE101" s="105"/>
      <c r="AF101" s="137"/>
      <c r="AG101" s="361"/>
      <c r="AH101" s="361"/>
      <c r="AI101" s="361"/>
      <c r="AJ101" s="361"/>
      <c r="AK101" s="361"/>
      <c r="AL101" s="361"/>
      <c r="AM101" s="361"/>
      <c r="AN101" s="361"/>
      <c r="AO101" s="463"/>
      <c r="AP101" s="465"/>
      <c r="AQ101" s="361"/>
      <c r="AR101" s="361"/>
      <c r="AS101" s="361"/>
      <c r="AT101" s="361"/>
      <c r="AU101" s="361"/>
      <c r="AV101" s="361"/>
      <c r="AW101" s="361"/>
      <c r="AX101" s="459"/>
      <c r="AY101" s="461"/>
    </row>
    <row r="102" spans="1:51" ht="29.25" customHeight="1" x14ac:dyDescent="0.25">
      <c r="A102" s="467"/>
      <c r="B102" s="469"/>
      <c r="C102" s="469"/>
      <c r="D102" s="159" t="s">
        <v>41</v>
      </c>
      <c r="E102" s="324">
        <v>0</v>
      </c>
      <c r="F102" s="209">
        <v>0</v>
      </c>
      <c r="G102" s="209">
        <v>0</v>
      </c>
      <c r="H102" s="209">
        <v>0</v>
      </c>
      <c r="I102" s="209">
        <v>0</v>
      </c>
      <c r="J102" s="209">
        <v>0</v>
      </c>
      <c r="K102" s="209">
        <v>0</v>
      </c>
      <c r="L102" s="209">
        <v>0</v>
      </c>
      <c r="M102" s="209">
        <v>0</v>
      </c>
      <c r="N102" s="209">
        <v>0</v>
      </c>
      <c r="O102" s="209">
        <v>0</v>
      </c>
      <c r="P102" s="209">
        <v>0</v>
      </c>
      <c r="Q102" s="209">
        <v>0</v>
      </c>
      <c r="R102" s="209">
        <v>0</v>
      </c>
      <c r="S102" s="209"/>
      <c r="T102" s="324">
        <v>0</v>
      </c>
      <c r="U102" s="324">
        <v>0</v>
      </c>
      <c r="V102" s="324">
        <v>0</v>
      </c>
      <c r="W102" s="324"/>
      <c r="X102" s="324"/>
      <c r="Y102" s="324"/>
      <c r="Z102" s="160"/>
      <c r="AA102" s="209"/>
      <c r="AB102" s="209"/>
      <c r="AC102" s="209"/>
      <c r="AD102" s="209"/>
      <c r="AE102" s="105"/>
      <c r="AF102" s="209"/>
      <c r="AG102" s="361"/>
      <c r="AH102" s="361"/>
      <c r="AI102" s="361"/>
      <c r="AJ102" s="361"/>
      <c r="AK102" s="361"/>
      <c r="AL102" s="361"/>
      <c r="AM102" s="361"/>
      <c r="AN102" s="361"/>
      <c r="AO102" s="463"/>
      <c r="AP102" s="465"/>
      <c r="AQ102" s="361"/>
      <c r="AR102" s="361"/>
      <c r="AS102" s="361"/>
      <c r="AT102" s="361"/>
      <c r="AU102" s="361"/>
      <c r="AV102" s="361"/>
      <c r="AW102" s="361"/>
      <c r="AX102" s="459"/>
      <c r="AY102" s="461"/>
    </row>
    <row r="103" spans="1:51" ht="29.25" customHeight="1" x14ac:dyDescent="0.25">
      <c r="A103" s="467"/>
      <c r="B103" s="469"/>
      <c r="C103" s="469"/>
      <c r="D103" s="158" t="s">
        <v>4</v>
      </c>
      <c r="E103" s="124">
        <v>0</v>
      </c>
      <c r="F103" s="137">
        <v>0</v>
      </c>
      <c r="G103" s="137">
        <v>0</v>
      </c>
      <c r="H103" s="137">
        <v>0</v>
      </c>
      <c r="I103" s="137">
        <v>0</v>
      </c>
      <c r="J103" s="137">
        <v>0</v>
      </c>
      <c r="K103" s="137">
        <v>0</v>
      </c>
      <c r="L103" s="137">
        <v>0</v>
      </c>
      <c r="M103" s="137">
        <v>0</v>
      </c>
      <c r="N103" s="137">
        <v>0</v>
      </c>
      <c r="O103" s="137">
        <v>0</v>
      </c>
      <c r="P103" s="137">
        <v>0</v>
      </c>
      <c r="Q103" s="137">
        <v>0</v>
      </c>
      <c r="R103" s="137">
        <v>0</v>
      </c>
      <c r="S103" s="137"/>
      <c r="T103" s="124">
        <v>0</v>
      </c>
      <c r="U103" s="124">
        <v>0</v>
      </c>
      <c r="V103" s="124">
        <v>0</v>
      </c>
      <c r="W103" s="124"/>
      <c r="X103" s="124"/>
      <c r="Y103" s="124"/>
      <c r="Z103" s="124"/>
      <c r="AA103" s="137"/>
      <c r="AB103" s="137"/>
      <c r="AC103" s="137"/>
      <c r="AD103" s="137"/>
      <c r="AE103" s="105"/>
      <c r="AF103" s="137"/>
      <c r="AG103" s="361"/>
      <c r="AH103" s="361"/>
      <c r="AI103" s="361"/>
      <c r="AJ103" s="361"/>
      <c r="AK103" s="361"/>
      <c r="AL103" s="361"/>
      <c r="AM103" s="361"/>
      <c r="AN103" s="361"/>
      <c r="AO103" s="463"/>
      <c r="AP103" s="465"/>
      <c r="AQ103" s="361"/>
      <c r="AR103" s="361"/>
      <c r="AS103" s="361"/>
      <c r="AT103" s="361"/>
      <c r="AU103" s="361"/>
      <c r="AV103" s="361"/>
      <c r="AW103" s="361"/>
      <c r="AX103" s="459"/>
      <c r="AY103" s="461"/>
    </row>
    <row r="104" spans="1:51" ht="29.25" customHeight="1" x14ac:dyDescent="0.25">
      <c r="A104" s="467"/>
      <c r="B104" s="469"/>
      <c r="C104" s="469"/>
      <c r="D104" s="159" t="s">
        <v>42</v>
      </c>
      <c r="E104" s="105">
        <v>0</v>
      </c>
      <c r="F104" s="105">
        <f t="shared" ref="F104:R105" si="97">+F100+F102</f>
        <v>0</v>
      </c>
      <c r="G104" s="105">
        <f t="shared" si="97"/>
        <v>0</v>
      </c>
      <c r="H104" s="105">
        <f t="shared" si="97"/>
        <v>0</v>
      </c>
      <c r="I104" s="105">
        <f t="shared" si="97"/>
        <v>0</v>
      </c>
      <c r="J104" s="105">
        <f t="shared" si="97"/>
        <v>0</v>
      </c>
      <c r="K104" s="105">
        <f t="shared" si="97"/>
        <v>0</v>
      </c>
      <c r="L104" s="105">
        <f t="shared" si="97"/>
        <v>0</v>
      </c>
      <c r="M104" s="105">
        <f t="shared" si="97"/>
        <v>0</v>
      </c>
      <c r="N104" s="105">
        <f t="shared" si="97"/>
        <v>0</v>
      </c>
      <c r="O104" s="105">
        <f t="shared" si="97"/>
        <v>0</v>
      </c>
      <c r="P104" s="105">
        <f t="shared" si="97"/>
        <v>0</v>
      </c>
      <c r="Q104" s="105">
        <f t="shared" si="97"/>
        <v>0</v>
      </c>
      <c r="R104" s="105">
        <f t="shared" si="97"/>
        <v>0</v>
      </c>
      <c r="S104" s="105"/>
      <c r="T104" s="105">
        <f t="shared" ref="T104:AE105" si="98">+T100+T102</f>
        <v>0</v>
      </c>
      <c r="U104" s="105">
        <f t="shared" ref="U104" si="99">+U100+U102</f>
        <v>5</v>
      </c>
      <c r="V104" s="105">
        <f t="shared" ref="V104" si="100">+V100+V102</f>
        <v>9</v>
      </c>
      <c r="W104" s="105">
        <f t="shared" si="98"/>
        <v>0</v>
      </c>
      <c r="X104" s="105">
        <f t="shared" si="98"/>
        <v>0</v>
      </c>
      <c r="Y104" s="105">
        <f t="shared" si="98"/>
        <v>0</v>
      </c>
      <c r="Z104" s="105">
        <f t="shared" si="98"/>
        <v>0</v>
      </c>
      <c r="AA104" s="105">
        <f t="shared" si="98"/>
        <v>0</v>
      </c>
      <c r="AB104" s="105">
        <f t="shared" si="98"/>
        <v>0</v>
      </c>
      <c r="AC104" s="105">
        <f t="shared" si="98"/>
        <v>0</v>
      </c>
      <c r="AD104" s="105">
        <f t="shared" si="98"/>
        <v>0</v>
      </c>
      <c r="AE104" s="105">
        <f t="shared" si="98"/>
        <v>0</v>
      </c>
      <c r="AF104" s="209"/>
      <c r="AG104" s="361"/>
      <c r="AH104" s="361"/>
      <c r="AI104" s="361"/>
      <c r="AJ104" s="361"/>
      <c r="AK104" s="361"/>
      <c r="AL104" s="361"/>
      <c r="AM104" s="361"/>
      <c r="AN104" s="361"/>
      <c r="AO104" s="463"/>
      <c r="AP104" s="465"/>
      <c r="AQ104" s="361"/>
      <c r="AR104" s="361"/>
      <c r="AS104" s="361"/>
      <c r="AT104" s="361"/>
      <c r="AU104" s="361"/>
      <c r="AV104" s="361"/>
      <c r="AW104" s="361"/>
      <c r="AX104" s="459"/>
      <c r="AY104" s="461"/>
    </row>
    <row r="105" spans="1:51" ht="29.25" customHeight="1" x14ac:dyDescent="0.25">
      <c r="A105" s="467"/>
      <c r="B105" s="469"/>
      <c r="C105" s="453"/>
      <c r="D105" s="158" t="s">
        <v>44</v>
      </c>
      <c r="E105" s="137">
        <v>0</v>
      </c>
      <c r="F105" s="137">
        <f t="shared" si="97"/>
        <v>0</v>
      </c>
      <c r="G105" s="137">
        <f t="shared" si="97"/>
        <v>0</v>
      </c>
      <c r="H105" s="137">
        <f t="shared" si="97"/>
        <v>0</v>
      </c>
      <c r="I105" s="137">
        <f t="shared" si="97"/>
        <v>0</v>
      </c>
      <c r="J105" s="137">
        <f t="shared" si="97"/>
        <v>0</v>
      </c>
      <c r="K105" s="137">
        <f t="shared" si="97"/>
        <v>0</v>
      </c>
      <c r="L105" s="137">
        <f t="shared" si="97"/>
        <v>0</v>
      </c>
      <c r="M105" s="137">
        <f t="shared" si="97"/>
        <v>0</v>
      </c>
      <c r="N105" s="137">
        <f t="shared" si="97"/>
        <v>0</v>
      </c>
      <c r="O105" s="137">
        <f t="shared" si="97"/>
        <v>0</v>
      </c>
      <c r="P105" s="137">
        <f t="shared" si="97"/>
        <v>0</v>
      </c>
      <c r="Q105" s="137">
        <f t="shared" si="97"/>
        <v>0</v>
      </c>
      <c r="R105" s="137">
        <f t="shared" si="97"/>
        <v>0</v>
      </c>
      <c r="S105" s="137"/>
      <c r="T105" s="137">
        <f t="shared" si="98"/>
        <v>0</v>
      </c>
      <c r="U105" s="137">
        <f t="shared" ref="U105" si="101">+U101+U103</f>
        <v>0</v>
      </c>
      <c r="V105" s="137">
        <f t="shared" ref="V105" si="102">+V101+V103</f>
        <v>0</v>
      </c>
      <c r="W105" s="137">
        <f t="shared" si="98"/>
        <v>0</v>
      </c>
      <c r="X105" s="137">
        <f t="shared" si="98"/>
        <v>0</v>
      </c>
      <c r="Y105" s="137">
        <f t="shared" si="98"/>
        <v>0</v>
      </c>
      <c r="Z105" s="137">
        <f t="shared" si="98"/>
        <v>0</v>
      </c>
      <c r="AA105" s="137">
        <f t="shared" si="98"/>
        <v>0</v>
      </c>
      <c r="AB105" s="137">
        <f t="shared" si="98"/>
        <v>0</v>
      </c>
      <c r="AC105" s="137">
        <f t="shared" si="98"/>
        <v>0</v>
      </c>
      <c r="AD105" s="137">
        <f t="shared" si="98"/>
        <v>0</v>
      </c>
      <c r="AE105" s="105">
        <f t="shared" si="98"/>
        <v>0</v>
      </c>
      <c r="AF105" s="124"/>
      <c r="AG105" s="361"/>
      <c r="AH105" s="361"/>
      <c r="AI105" s="361"/>
      <c r="AJ105" s="361"/>
      <c r="AK105" s="361"/>
      <c r="AL105" s="361"/>
      <c r="AM105" s="361"/>
      <c r="AN105" s="361"/>
      <c r="AO105" s="463"/>
      <c r="AP105" s="465"/>
      <c r="AQ105" s="361"/>
      <c r="AR105" s="361"/>
      <c r="AS105" s="361"/>
      <c r="AT105" s="361"/>
      <c r="AU105" s="361"/>
      <c r="AV105" s="361"/>
      <c r="AW105" s="361"/>
      <c r="AX105" s="459"/>
      <c r="AY105" s="461"/>
    </row>
    <row r="106" spans="1:51" ht="29.25" customHeight="1" x14ac:dyDescent="0.25">
      <c r="A106" s="467"/>
      <c r="B106" s="469"/>
      <c r="C106" s="468" t="s">
        <v>506</v>
      </c>
      <c r="D106" s="159" t="s">
        <v>40</v>
      </c>
      <c r="E106" s="324">
        <v>0</v>
      </c>
      <c r="F106" s="324">
        <v>0</v>
      </c>
      <c r="G106" s="324">
        <v>0</v>
      </c>
      <c r="H106" s="324">
        <v>0</v>
      </c>
      <c r="I106" s="324">
        <v>0</v>
      </c>
      <c r="J106" s="324">
        <v>0</v>
      </c>
      <c r="K106" s="324">
        <v>0</v>
      </c>
      <c r="L106" s="324">
        <v>0</v>
      </c>
      <c r="M106" s="324">
        <v>0</v>
      </c>
      <c r="N106" s="324">
        <v>0</v>
      </c>
      <c r="O106" s="324">
        <v>0</v>
      </c>
      <c r="P106" s="324">
        <v>0</v>
      </c>
      <c r="Q106" s="324">
        <v>0</v>
      </c>
      <c r="R106" s="324">
        <v>0</v>
      </c>
      <c r="S106" s="324"/>
      <c r="T106" s="324">
        <v>0</v>
      </c>
      <c r="U106" s="324">
        <v>0</v>
      </c>
      <c r="V106" s="324">
        <v>0</v>
      </c>
      <c r="W106" s="324"/>
      <c r="X106" s="324"/>
      <c r="Y106" s="324"/>
      <c r="Z106" s="105"/>
      <c r="AA106" s="324"/>
      <c r="AB106" s="324"/>
      <c r="AC106" s="324"/>
      <c r="AD106" s="324"/>
      <c r="AE106" s="105"/>
      <c r="AF106" s="324"/>
      <c r="AG106" s="361" t="s">
        <v>507</v>
      </c>
      <c r="AH106" s="361" t="s">
        <v>329</v>
      </c>
      <c r="AI106" s="361" t="s">
        <v>329</v>
      </c>
      <c r="AJ106" s="361" t="s">
        <v>507</v>
      </c>
      <c r="AK106" s="361" t="s">
        <v>331</v>
      </c>
      <c r="AL106" s="361" t="s">
        <v>329</v>
      </c>
      <c r="AM106" s="361" t="s">
        <v>329</v>
      </c>
      <c r="AN106" s="361" t="s">
        <v>329</v>
      </c>
      <c r="AO106" s="463">
        <v>196557</v>
      </c>
      <c r="AP106" s="465">
        <v>210017</v>
      </c>
      <c r="AQ106" s="361" t="s">
        <v>329</v>
      </c>
      <c r="AR106" s="361" t="s">
        <v>329</v>
      </c>
      <c r="AS106" s="361" t="s">
        <v>329</v>
      </c>
      <c r="AT106" s="361" t="s">
        <v>329</v>
      </c>
      <c r="AU106" s="361" t="s">
        <v>329</v>
      </c>
      <c r="AV106" s="361" t="s">
        <v>329</v>
      </c>
      <c r="AW106" s="361" t="s">
        <v>329</v>
      </c>
      <c r="AX106" s="459">
        <f>+AO106+AP106</f>
        <v>406574</v>
      </c>
      <c r="AY106" s="461"/>
    </row>
    <row r="107" spans="1:51" ht="29.25" customHeight="1" x14ac:dyDescent="0.25">
      <c r="A107" s="467"/>
      <c r="B107" s="469"/>
      <c r="C107" s="469"/>
      <c r="D107" s="158" t="s">
        <v>3</v>
      </c>
      <c r="E107" s="124">
        <v>0</v>
      </c>
      <c r="F107" s="124">
        <v>0</v>
      </c>
      <c r="G107" s="124">
        <v>0</v>
      </c>
      <c r="H107" s="124">
        <v>0</v>
      </c>
      <c r="I107" s="124">
        <v>0</v>
      </c>
      <c r="J107" s="124">
        <v>0</v>
      </c>
      <c r="K107" s="124">
        <v>0</v>
      </c>
      <c r="L107" s="124">
        <v>0</v>
      </c>
      <c r="M107" s="124">
        <v>0</v>
      </c>
      <c r="N107" s="124">
        <v>0</v>
      </c>
      <c r="O107" s="124">
        <v>0</v>
      </c>
      <c r="P107" s="124">
        <v>0</v>
      </c>
      <c r="Q107" s="124">
        <v>0</v>
      </c>
      <c r="R107" s="124">
        <v>0</v>
      </c>
      <c r="S107" s="137"/>
      <c r="T107" s="124">
        <v>0</v>
      </c>
      <c r="U107" s="124">
        <v>0</v>
      </c>
      <c r="V107" s="124">
        <v>0</v>
      </c>
      <c r="W107" s="124"/>
      <c r="X107" s="124"/>
      <c r="Y107" s="124"/>
      <c r="Z107" s="124"/>
      <c r="AA107" s="124"/>
      <c r="AB107" s="124"/>
      <c r="AC107" s="124"/>
      <c r="AD107" s="124"/>
      <c r="AE107" s="105"/>
      <c r="AF107" s="137"/>
      <c r="AG107" s="361"/>
      <c r="AH107" s="361"/>
      <c r="AI107" s="361"/>
      <c r="AJ107" s="361"/>
      <c r="AK107" s="361"/>
      <c r="AL107" s="361"/>
      <c r="AM107" s="361"/>
      <c r="AN107" s="361"/>
      <c r="AO107" s="463"/>
      <c r="AP107" s="465"/>
      <c r="AQ107" s="361"/>
      <c r="AR107" s="361"/>
      <c r="AS107" s="361"/>
      <c r="AT107" s="361"/>
      <c r="AU107" s="361"/>
      <c r="AV107" s="361"/>
      <c r="AW107" s="361"/>
      <c r="AX107" s="459"/>
      <c r="AY107" s="461"/>
    </row>
    <row r="108" spans="1:51" ht="29.25" customHeight="1" x14ac:dyDescent="0.25">
      <c r="A108" s="467"/>
      <c r="B108" s="469"/>
      <c r="C108" s="469"/>
      <c r="D108" s="159" t="s">
        <v>41</v>
      </c>
      <c r="E108" s="324">
        <v>0</v>
      </c>
      <c r="F108" s="209">
        <v>0</v>
      </c>
      <c r="G108" s="209">
        <v>0</v>
      </c>
      <c r="H108" s="209">
        <v>0</v>
      </c>
      <c r="I108" s="209">
        <v>0</v>
      </c>
      <c r="J108" s="209">
        <v>0</v>
      </c>
      <c r="K108" s="209">
        <v>0</v>
      </c>
      <c r="L108" s="209">
        <v>0</v>
      </c>
      <c r="M108" s="209">
        <v>0</v>
      </c>
      <c r="N108" s="209">
        <v>0</v>
      </c>
      <c r="O108" s="209">
        <v>0</v>
      </c>
      <c r="P108" s="209">
        <v>0</v>
      </c>
      <c r="Q108" s="209">
        <v>0</v>
      </c>
      <c r="R108" s="209">
        <v>0</v>
      </c>
      <c r="S108" s="209"/>
      <c r="T108" s="324">
        <v>0</v>
      </c>
      <c r="U108" s="324">
        <v>0</v>
      </c>
      <c r="V108" s="324">
        <v>0</v>
      </c>
      <c r="W108" s="324"/>
      <c r="X108" s="324"/>
      <c r="Y108" s="324"/>
      <c r="Z108" s="160"/>
      <c r="AA108" s="209"/>
      <c r="AB108" s="209"/>
      <c r="AC108" s="209"/>
      <c r="AD108" s="209"/>
      <c r="AE108" s="105"/>
      <c r="AF108" s="209"/>
      <c r="AG108" s="361"/>
      <c r="AH108" s="361"/>
      <c r="AI108" s="361"/>
      <c r="AJ108" s="361"/>
      <c r="AK108" s="361"/>
      <c r="AL108" s="361"/>
      <c r="AM108" s="361"/>
      <c r="AN108" s="361"/>
      <c r="AO108" s="463"/>
      <c r="AP108" s="465"/>
      <c r="AQ108" s="361"/>
      <c r="AR108" s="361"/>
      <c r="AS108" s="361"/>
      <c r="AT108" s="361"/>
      <c r="AU108" s="361"/>
      <c r="AV108" s="361"/>
      <c r="AW108" s="361"/>
      <c r="AX108" s="459"/>
      <c r="AY108" s="461"/>
    </row>
    <row r="109" spans="1:51" ht="29.25" customHeight="1" x14ac:dyDescent="0.25">
      <c r="A109" s="467"/>
      <c r="B109" s="469"/>
      <c r="C109" s="469"/>
      <c r="D109" s="158" t="s">
        <v>4</v>
      </c>
      <c r="E109" s="124">
        <v>0</v>
      </c>
      <c r="F109" s="137">
        <v>0</v>
      </c>
      <c r="G109" s="137">
        <v>0</v>
      </c>
      <c r="H109" s="137">
        <v>0</v>
      </c>
      <c r="I109" s="137">
        <v>0</v>
      </c>
      <c r="J109" s="137">
        <v>0</v>
      </c>
      <c r="K109" s="137">
        <v>0</v>
      </c>
      <c r="L109" s="137">
        <v>0</v>
      </c>
      <c r="M109" s="137">
        <v>0</v>
      </c>
      <c r="N109" s="137">
        <v>0</v>
      </c>
      <c r="O109" s="137">
        <v>0</v>
      </c>
      <c r="P109" s="137">
        <v>0</v>
      </c>
      <c r="Q109" s="137">
        <v>0</v>
      </c>
      <c r="R109" s="137">
        <v>0</v>
      </c>
      <c r="S109" s="137"/>
      <c r="T109" s="124">
        <v>0</v>
      </c>
      <c r="U109" s="124">
        <v>0</v>
      </c>
      <c r="V109" s="124">
        <v>0</v>
      </c>
      <c r="W109" s="124"/>
      <c r="X109" s="124"/>
      <c r="Y109" s="124"/>
      <c r="Z109" s="124"/>
      <c r="AA109" s="137"/>
      <c r="AB109" s="137"/>
      <c r="AC109" s="137"/>
      <c r="AD109" s="137"/>
      <c r="AE109" s="105"/>
      <c r="AF109" s="137"/>
      <c r="AG109" s="361"/>
      <c r="AH109" s="361"/>
      <c r="AI109" s="361"/>
      <c r="AJ109" s="361"/>
      <c r="AK109" s="361"/>
      <c r="AL109" s="361"/>
      <c r="AM109" s="361"/>
      <c r="AN109" s="361"/>
      <c r="AO109" s="463"/>
      <c r="AP109" s="465"/>
      <c r="AQ109" s="361"/>
      <c r="AR109" s="361"/>
      <c r="AS109" s="361"/>
      <c r="AT109" s="361"/>
      <c r="AU109" s="361"/>
      <c r="AV109" s="361"/>
      <c r="AW109" s="361"/>
      <c r="AX109" s="459"/>
      <c r="AY109" s="461"/>
    </row>
    <row r="110" spans="1:51" ht="29.25" customHeight="1" x14ac:dyDescent="0.25">
      <c r="A110" s="467"/>
      <c r="B110" s="469"/>
      <c r="C110" s="469"/>
      <c r="D110" s="159" t="s">
        <v>42</v>
      </c>
      <c r="E110" s="105">
        <v>0</v>
      </c>
      <c r="F110" s="105">
        <f t="shared" ref="F110:R111" si="103">+F106+F108</f>
        <v>0</v>
      </c>
      <c r="G110" s="105">
        <f t="shared" si="103"/>
        <v>0</v>
      </c>
      <c r="H110" s="105">
        <f t="shared" si="103"/>
        <v>0</v>
      </c>
      <c r="I110" s="105">
        <f t="shared" si="103"/>
        <v>0</v>
      </c>
      <c r="J110" s="105">
        <f t="shared" si="103"/>
        <v>0</v>
      </c>
      <c r="K110" s="105">
        <f t="shared" si="103"/>
        <v>0</v>
      </c>
      <c r="L110" s="105">
        <f t="shared" si="103"/>
        <v>0</v>
      </c>
      <c r="M110" s="105">
        <f t="shared" si="103"/>
        <v>0</v>
      </c>
      <c r="N110" s="105">
        <f t="shared" si="103"/>
        <v>0</v>
      </c>
      <c r="O110" s="105">
        <f t="shared" si="103"/>
        <v>0</v>
      </c>
      <c r="P110" s="105">
        <f t="shared" si="103"/>
        <v>0</v>
      </c>
      <c r="Q110" s="105">
        <f t="shared" si="103"/>
        <v>0</v>
      </c>
      <c r="R110" s="105">
        <f t="shared" si="103"/>
        <v>0</v>
      </c>
      <c r="S110" s="105"/>
      <c r="T110" s="105">
        <f t="shared" ref="T110:AE111" si="104">+T106+T108</f>
        <v>0</v>
      </c>
      <c r="U110" s="105">
        <f t="shared" ref="U110" si="105">+U106+U108</f>
        <v>0</v>
      </c>
      <c r="V110" s="105">
        <f t="shared" ref="V110" si="106">+V106+V108</f>
        <v>0</v>
      </c>
      <c r="W110" s="105">
        <f t="shared" si="104"/>
        <v>0</v>
      </c>
      <c r="X110" s="105">
        <f t="shared" si="104"/>
        <v>0</v>
      </c>
      <c r="Y110" s="105">
        <f t="shared" si="104"/>
        <v>0</v>
      </c>
      <c r="Z110" s="105">
        <f t="shared" si="104"/>
        <v>0</v>
      </c>
      <c r="AA110" s="105">
        <f t="shared" si="104"/>
        <v>0</v>
      </c>
      <c r="AB110" s="105">
        <f t="shared" si="104"/>
        <v>0</v>
      </c>
      <c r="AC110" s="105">
        <f t="shared" si="104"/>
        <v>0</v>
      </c>
      <c r="AD110" s="105">
        <f t="shared" si="104"/>
        <v>0</v>
      </c>
      <c r="AE110" s="105">
        <f t="shared" si="104"/>
        <v>0</v>
      </c>
      <c r="AF110" s="209"/>
      <c r="AG110" s="361"/>
      <c r="AH110" s="361"/>
      <c r="AI110" s="361"/>
      <c r="AJ110" s="361"/>
      <c r="AK110" s="361"/>
      <c r="AL110" s="361"/>
      <c r="AM110" s="361"/>
      <c r="AN110" s="361"/>
      <c r="AO110" s="463"/>
      <c r="AP110" s="465"/>
      <c r="AQ110" s="361"/>
      <c r="AR110" s="361"/>
      <c r="AS110" s="361"/>
      <c r="AT110" s="361"/>
      <c r="AU110" s="361"/>
      <c r="AV110" s="361"/>
      <c r="AW110" s="361"/>
      <c r="AX110" s="459"/>
      <c r="AY110" s="461"/>
    </row>
    <row r="111" spans="1:51" ht="29.25" customHeight="1" x14ac:dyDescent="0.25">
      <c r="A111" s="467"/>
      <c r="B111" s="469"/>
      <c r="C111" s="453"/>
      <c r="D111" s="158" t="s">
        <v>44</v>
      </c>
      <c r="E111" s="137">
        <v>0</v>
      </c>
      <c r="F111" s="137">
        <f t="shared" si="103"/>
        <v>0</v>
      </c>
      <c r="G111" s="137">
        <f t="shared" si="103"/>
        <v>0</v>
      </c>
      <c r="H111" s="137">
        <f t="shared" si="103"/>
        <v>0</v>
      </c>
      <c r="I111" s="137">
        <f t="shared" si="103"/>
        <v>0</v>
      </c>
      <c r="J111" s="137">
        <f t="shared" si="103"/>
        <v>0</v>
      </c>
      <c r="K111" s="137">
        <f t="shared" si="103"/>
        <v>0</v>
      </c>
      <c r="L111" s="137">
        <f t="shared" si="103"/>
        <v>0</v>
      </c>
      <c r="M111" s="137">
        <f t="shared" si="103"/>
        <v>0</v>
      </c>
      <c r="N111" s="137">
        <f t="shared" si="103"/>
        <v>0</v>
      </c>
      <c r="O111" s="137">
        <f t="shared" si="103"/>
        <v>0</v>
      </c>
      <c r="P111" s="137">
        <f t="shared" si="103"/>
        <v>0</v>
      </c>
      <c r="Q111" s="137">
        <f t="shared" si="103"/>
        <v>0</v>
      </c>
      <c r="R111" s="137">
        <f t="shared" si="103"/>
        <v>0</v>
      </c>
      <c r="S111" s="137"/>
      <c r="T111" s="137">
        <f t="shared" si="104"/>
        <v>0</v>
      </c>
      <c r="U111" s="137">
        <f t="shared" ref="U111" si="107">+U107+U109</f>
        <v>0</v>
      </c>
      <c r="V111" s="137">
        <f t="shared" ref="V111" si="108">+V107+V109</f>
        <v>0</v>
      </c>
      <c r="W111" s="137">
        <f t="shared" si="104"/>
        <v>0</v>
      </c>
      <c r="X111" s="137">
        <f t="shared" si="104"/>
        <v>0</v>
      </c>
      <c r="Y111" s="137">
        <f t="shared" si="104"/>
        <v>0</v>
      </c>
      <c r="Z111" s="137">
        <f t="shared" si="104"/>
        <v>0</v>
      </c>
      <c r="AA111" s="137">
        <f t="shared" si="104"/>
        <v>0</v>
      </c>
      <c r="AB111" s="137">
        <f t="shared" si="104"/>
        <v>0</v>
      </c>
      <c r="AC111" s="137">
        <f t="shared" si="104"/>
        <v>0</v>
      </c>
      <c r="AD111" s="137">
        <f t="shared" si="104"/>
        <v>0</v>
      </c>
      <c r="AE111" s="105">
        <f t="shared" si="104"/>
        <v>0</v>
      </c>
      <c r="AF111" s="124"/>
      <c r="AG111" s="361"/>
      <c r="AH111" s="361"/>
      <c r="AI111" s="361"/>
      <c r="AJ111" s="361"/>
      <c r="AK111" s="361"/>
      <c r="AL111" s="361"/>
      <c r="AM111" s="361"/>
      <c r="AN111" s="361"/>
      <c r="AO111" s="463"/>
      <c r="AP111" s="465"/>
      <c r="AQ111" s="361"/>
      <c r="AR111" s="361"/>
      <c r="AS111" s="361"/>
      <c r="AT111" s="361"/>
      <c r="AU111" s="361"/>
      <c r="AV111" s="361"/>
      <c r="AW111" s="361"/>
      <c r="AX111" s="459"/>
      <c r="AY111" s="461"/>
    </row>
    <row r="112" spans="1:51" ht="29.25" customHeight="1" x14ac:dyDescent="0.25">
      <c r="A112" s="467"/>
      <c r="B112" s="469"/>
      <c r="C112" s="468" t="s">
        <v>508</v>
      </c>
      <c r="D112" s="159" t="s">
        <v>40</v>
      </c>
      <c r="E112" s="324">
        <v>0</v>
      </c>
      <c r="F112" s="324">
        <v>0</v>
      </c>
      <c r="G112" s="324">
        <v>0</v>
      </c>
      <c r="H112" s="324">
        <v>0</v>
      </c>
      <c r="I112" s="324">
        <v>0</v>
      </c>
      <c r="J112" s="324">
        <v>0</v>
      </c>
      <c r="K112" s="324">
        <v>0</v>
      </c>
      <c r="L112" s="324">
        <v>0</v>
      </c>
      <c r="M112" s="324">
        <v>0</v>
      </c>
      <c r="N112" s="324">
        <v>0</v>
      </c>
      <c r="O112" s="324">
        <v>0</v>
      </c>
      <c r="P112" s="324">
        <v>0</v>
      </c>
      <c r="Q112" s="324">
        <v>0</v>
      </c>
      <c r="R112" s="324">
        <v>0</v>
      </c>
      <c r="S112" s="324"/>
      <c r="T112" s="324">
        <v>0</v>
      </c>
      <c r="U112" s="324">
        <v>0</v>
      </c>
      <c r="V112" s="324">
        <v>2</v>
      </c>
      <c r="W112" s="324"/>
      <c r="X112" s="324"/>
      <c r="Y112" s="324"/>
      <c r="Z112" s="105"/>
      <c r="AA112" s="324"/>
      <c r="AB112" s="324"/>
      <c r="AC112" s="324"/>
      <c r="AD112" s="324"/>
      <c r="AE112" s="105"/>
      <c r="AF112" s="324"/>
      <c r="AG112" s="361" t="s">
        <v>509</v>
      </c>
      <c r="AH112" s="361" t="s">
        <v>329</v>
      </c>
      <c r="AI112" s="361" t="s">
        <v>329</v>
      </c>
      <c r="AJ112" s="361" t="s">
        <v>509</v>
      </c>
      <c r="AK112" s="361" t="s">
        <v>331</v>
      </c>
      <c r="AL112" s="361" t="s">
        <v>329</v>
      </c>
      <c r="AM112" s="361" t="s">
        <v>329</v>
      </c>
      <c r="AN112" s="361" t="s">
        <v>329</v>
      </c>
      <c r="AO112" s="463">
        <v>53687</v>
      </c>
      <c r="AP112" s="465">
        <v>54100</v>
      </c>
      <c r="AQ112" s="361" t="s">
        <v>329</v>
      </c>
      <c r="AR112" s="361" t="s">
        <v>329</v>
      </c>
      <c r="AS112" s="361" t="s">
        <v>329</v>
      </c>
      <c r="AT112" s="361" t="s">
        <v>329</v>
      </c>
      <c r="AU112" s="361" t="s">
        <v>329</v>
      </c>
      <c r="AV112" s="361" t="s">
        <v>329</v>
      </c>
      <c r="AW112" s="361" t="s">
        <v>329</v>
      </c>
      <c r="AX112" s="459">
        <f>+AO112+AP112</f>
        <v>107787</v>
      </c>
      <c r="AY112" s="461"/>
    </row>
    <row r="113" spans="1:51" ht="29.25" customHeight="1" x14ac:dyDescent="0.25">
      <c r="A113" s="467"/>
      <c r="B113" s="469"/>
      <c r="C113" s="469"/>
      <c r="D113" s="158" t="s">
        <v>3</v>
      </c>
      <c r="E113" s="124">
        <v>0</v>
      </c>
      <c r="F113" s="124">
        <v>0</v>
      </c>
      <c r="G113" s="124">
        <v>0</v>
      </c>
      <c r="H113" s="124">
        <v>0</v>
      </c>
      <c r="I113" s="124">
        <v>0</v>
      </c>
      <c r="J113" s="124">
        <v>0</v>
      </c>
      <c r="K113" s="124">
        <v>0</v>
      </c>
      <c r="L113" s="124">
        <v>0</v>
      </c>
      <c r="M113" s="124">
        <v>0</v>
      </c>
      <c r="N113" s="124">
        <v>0</v>
      </c>
      <c r="O113" s="124">
        <v>0</v>
      </c>
      <c r="P113" s="124">
        <v>0</v>
      </c>
      <c r="Q113" s="124">
        <v>0</v>
      </c>
      <c r="R113" s="124">
        <v>0</v>
      </c>
      <c r="S113" s="137"/>
      <c r="T113" s="124">
        <v>0</v>
      </c>
      <c r="U113" s="124">
        <v>0</v>
      </c>
      <c r="V113" s="124">
        <v>0</v>
      </c>
      <c r="W113" s="124"/>
      <c r="X113" s="124"/>
      <c r="Y113" s="124"/>
      <c r="Z113" s="124"/>
      <c r="AA113" s="124"/>
      <c r="AB113" s="124"/>
      <c r="AC113" s="124"/>
      <c r="AD113" s="324"/>
      <c r="AE113" s="105"/>
      <c r="AF113" s="137"/>
      <c r="AG113" s="361"/>
      <c r="AH113" s="361"/>
      <c r="AI113" s="361"/>
      <c r="AJ113" s="361"/>
      <c r="AK113" s="361"/>
      <c r="AL113" s="361"/>
      <c r="AM113" s="361"/>
      <c r="AN113" s="361"/>
      <c r="AO113" s="463"/>
      <c r="AP113" s="465"/>
      <c r="AQ113" s="361"/>
      <c r="AR113" s="361"/>
      <c r="AS113" s="361"/>
      <c r="AT113" s="361"/>
      <c r="AU113" s="361"/>
      <c r="AV113" s="361"/>
      <c r="AW113" s="361"/>
      <c r="AX113" s="459"/>
      <c r="AY113" s="461"/>
    </row>
    <row r="114" spans="1:51" ht="29.25" customHeight="1" x14ac:dyDescent="0.25">
      <c r="A114" s="467"/>
      <c r="B114" s="469"/>
      <c r="C114" s="469"/>
      <c r="D114" s="159" t="s">
        <v>41</v>
      </c>
      <c r="E114" s="324">
        <v>0</v>
      </c>
      <c r="F114" s="209">
        <v>0</v>
      </c>
      <c r="G114" s="209">
        <v>0</v>
      </c>
      <c r="H114" s="209">
        <v>0</v>
      </c>
      <c r="I114" s="209">
        <v>0</v>
      </c>
      <c r="J114" s="209">
        <v>0</v>
      </c>
      <c r="K114" s="209">
        <v>0</v>
      </c>
      <c r="L114" s="209">
        <v>0</v>
      </c>
      <c r="M114" s="209">
        <v>0</v>
      </c>
      <c r="N114" s="209">
        <v>0</v>
      </c>
      <c r="O114" s="209">
        <v>0</v>
      </c>
      <c r="P114" s="209">
        <v>0</v>
      </c>
      <c r="Q114" s="209">
        <v>0</v>
      </c>
      <c r="R114" s="209">
        <v>0</v>
      </c>
      <c r="S114" s="209"/>
      <c r="T114" s="324">
        <v>0</v>
      </c>
      <c r="U114" s="324">
        <v>0</v>
      </c>
      <c r="V114" s="324">
        <v>0</v>
      </c>
      <c r="W114" s="324"/>
      <c r="X114" s="324"/>
      <c r="Y114" s="324"/>
      <c r="Z114" s="160"/>
      <c r="AA114" s="209"/>
      <c r="AB114" s="209"/>
      <c r="AC114" s="209"/>
      <c r="AD114" s="209"/>
      <c r="AE114" s="105"/>
      <c r="AF114" s="209"/>
      <c r="AG114" s="361"/>
      <c r="AH114" s="361"/>
      <c r="AI114" s="361"/>
      <c r="AJ114" s="361"/>
      <c r="AK114" s="361"/>
      <c r="AL114" s="361"/>
      <c r="AM114" s="361"/>
      <c r="AN114" s="361"/>
      <c r="AO114" s="463"/>
      <c r="AP114" s="465"/>
      <c r="AQ114" s="361"/>
      <c r="AR114" s="361"/>
      <c r="AS114" s="361"/>
      <c r="AT114" s="361"/>
      <c r="AU114" s="361"/>
      <c r="AV114" s="361"/>
      <c r="AW114" s="361"/>
      <c r="AX114" s="459"/>
      <c r="AY114" s="461"/>
    </row>
    <row r="115" spans="1:51" ht="29.25" customHeight="1" x14ac:dyDescent="0.25">
      <c r="A115" s="467"/>
      <c r="B115" s="469"/>
      <c r="C115" s="469"/>
      <c r="D115" s="158" t="s">
        <v>4</v>
      </c>
      <c r="E115" s="124">
        <v>0</v>
      </c>
      <c r="F115" s="137">
        <v>0</v>
      </c>
      <c r="G115" s="137">
        <v>0</v>
      </c>
      <c r="H115" s="137">
        <v>0</v>
      </c>
      <c r="I115" s="137">
        <v>0</v>
      </c>
      <c r="J115" s="137">
        <v>0</v>
      </c>
      <c r="K115" s="137">
        <v>0</v>
      </c>
      <c r="L115" s="137">
        <v>0</v>
      </c>
      <c r="M115" s="137">
        <v>0</v>
      </c>
      <c r="N115" s="137">
        <v>0</v>
      </c>
      <c r="O115" s="137">
        <v>0</v>
      </c>
      <c r="P115" s="137">
        <v>0</v>
      </c>
      <c r="Q115" s="137">
        <v>0</v>
      </c>
      <c r="R115" s="137">
        <v>0</v>
      </c>
      <c r="S115" s="137"/>
      <c r="T115" s="124">
        <v>0</v>
      </c>
      <c r="U115" s="124">
        <v>0</v>
      </c>
      <c r="V115" s="124">
        <v>0</v>
      </c>
      <c r="W115" s="124"/>
      <c r="X115" s="124"/>
      <c r="Y115" s="124"/>
      <c r="Z115" s="124"/>
      <c r="AA115" s="137"/>
      <c r="AB115" s="137"/>
      <c r="AC115" s="137"/>
      <c r="AD115" s="137"/>
      <c r="AE115" s="105"/>
      <c r="AF115" s="137"/>
      <c r="AG115" s="361"/>
      <c r="AH115" s="361"/>
      <c r="AI115" s="361"/>
      <c r="AJ115" s="361"/>
      <c r="AK115" s="361"/>
      <c r="AL115" s="361"/>
      <c r="AM115" s="361"/>
      <c r="AN115" s="361"/>
      <c r="AO115" s="463"/>
      <c r="AP115" s="465"/>
      <c r="AQ115" s="361"/>
      <c r="AR115" s="361"/>
      <c r="AS115" s="361"/>
      <c r="AT115" s="361"/>
      <c r="AU115" s="361"/>
      <c r="AV115" s="361"/>
      <c r="AW115" s="361"/>
      <c r="AX115" s="459"/>
      <c r="AY115" s="461"/>
    </row>
    <row r="116" spans="1:51" ht="29.25" customHeight="1" x14ac:dyDescent="0.25">
      <c r="A116" s="467"/>
      <c r="B116" s="469"/>
      <c r="C116" s="469"/>
      <c r="D116" s="159" t="s">
        <v>42</v>
      </c>
      <c r="E116" s="105">
        <v>0</v>
      </c>
      <c r="F116" s="105">
        <f t="shared" ref="F116:R117" si="109">+F112+F114</f>
        <v>0</v>
      </c>
      <c r="G116" s="105">
        <f t="shared" si="109"/>
        <v>0</v>
      </c>
      <c r="H116" s="105">
        <f t="shared" si="109"/>
        <v>0</v>
      </c>
      <c r="I116" s="105">
        <f t="shared" si="109"/>
        <v>0</v>
      </c>
      <c r="J116" s="105">
        <f t="shared" si="109"/>
        <v>0</v>
      </c>
      <c r="K116" s="105">
        <f t="shared" si="109"/>
        <v>0</v>
      </c>
      <c r="L116" s="105">
        <f t="shared" si="109"/>
        <v>0</v>
      </c>
      <c r="M116" s="105">
        <f t="shared" si="109"/>
        <v>0</v>
      </c>
      <c r="N116" s="105">
        <f t="shared" si="109"/>
        <v>0</v>
      </c>
      <c r="O116" s="105">
        <f t="shared" si="109"/>
        <v>0</v>
      </c>
      <c r="P116" s="105">
        <f t="shared" si="109"/>
        <v>0</v>
      </c>
      <c r="Q116" s="105">
        <f t="shared" si="109"/>
        <v>0</v>
      </c>
      <c r="R116" s="105">
        <f t="shared" si="109"/>
        <v>0</v>
      </c>
      <c r="S116" s="105"/>
      <c r="T116" s="105">
        <f t="shared" ref="T116:AE117" si="110">+T112+T114</f>
        <v>0</v>
      </c>
      <c r="U116" s="105">
        <f t="shared" ref="U116" si="111">+U112+U114</f>
        <v>0</v>
      </c>
      <c r="V116" s="105">
        <f t="shared" ref="V116" si="112">+V112+V114</f>
        <v>2</v>
      </c>
      <c r="W116" s="105">
        <f t="shared" si="110"/>
        <v>0</v>
      </c>
      <c r="X116" s="105">
        <f t="shared" si="110"/>
        <v>0</v>
      </c>
      <c r="Y116" s="105">
        <f t="shared" si="110"/>
        <v>0</v>
      </c>
      <c r="Z116" s="105">
        <f t="shared" si="110"/>
        <v>0</v>
      </c>
      <c r="AA116" s="105">
        <f t="shared" si="110"/>
        <v>0</v>
      </c>
      <c r="AB116" s="105">
        <f t="shared" si="110"/>
        <v>0</v>
      </c>
      <c r="AC116" s="105">
        <f t="shared" si="110"/>
        <v>0</v>
      </c>
      <c r="AD116" s="105">
        <f t="shared" si="110"/>
        <v>0</v>
      </c>
      <c r="AE116" s="105">
        <f t="shared" si="110"/>
        <v>0</v>
      </c>
      <c r="AF116" s="209"/>
      <c r="AG116" s="361"/>
      <c r="AH116" s="361"/>
      <c r="AI116" s="361"/>
      <c r="AJ116" s="361"/>
      <c r="AK116" s="361"/>
      <c r="AL116" s="361"/>
      <c r="AM116" s="361"/>
      <c r="AN116" s="361"/>
      <c r="AO116" s="463"/>
      <c r="AP116" s="465"/>
      <c r="AQ116" s="361"/>
      <c r="AR116" s="361"/>
      <c r="AS116" s="361"/>
      <c r="AT116" s="361"/>
      <c r="AU116" s="361"/>
      <c r="AV116" s="361"/>
      <c r="AW116" s="361"/>
      <c r="AX116" s="459"/>
      <c r="AY116" s="461"/>
    </row>
    <row r="117" spans="1:51" ht="29.25" customHeight="1" x14ac:dyDescent="0.25">
      <c r="A117" s="467"/>
      <c r="B117" s="469"/>
      <c r="C117" s="453"/>
      <c r="D117" s="158" t="s">
        <v>44</v>
      </c>
      <c r="E117" s="137">
        <v>0</v>
      </c>
      <c r="F117" s="137">
        <f t="shared" si="109"/>
        <v>0</v>
      </c>
      <c r="G117" s="137">
        <f t="shared" si="109"/>
        <v>0</v>
      </c>
      <c r="H117" s="137">
        <f t="shared" si="109"/>
        <v>0</v>
      </c>
      <c r="I117" s="137">
        <f t="shared" si="109"/>
        <v>0</v>
      </c>
      <c r="J117" s="137">
        <f t="shared" si="109"/>
        <v>0</v>
      </c>
      <c r="K117" s="137">
        <f t="shared" si="109"/>
        <v>0</v>
      </c>
      <c r="L117" s="137">
        <f t="shared" si="109"/>
        <v>0</v>
      </c>
      <c r="M117" s="137">
        <f t="shared" si="109"/>
        <v>0</v>
      </c>
      <c r="N117" s="137">
        <f t="shared" si="109"/>
        <v>0</v>
      </c>
      <c r="O117" s="137">
        <f t="shared" si="109"/>
        <v>0</v>
      </c>
      <c r="P117" s="137">
        <f t="shared" si="109"/>
        <v>0</v>
      </c>
      <c r="Q117" s="137">
        <f t="shared" si="109"/>
        <v>0</v>
      </c>
      <c r="R117" s="137">
        <f t="shared" si="109"/>
        <v>0</v>
      </c>
      <c r="S117" s="137"/>
      <c r="T117" s="137">
        <f t="shared" si="110"/>
        <v>0</v>
      </c>
      <c r="U117" s="137">
        <f t="shared" ref="U117" si="113">+U113+U115</f>
        <v>0</v>
      </c>
      <c r="V117" s="137">
        <f t="shared" ref="V117" si="114">+V113+V115</f>
        <v>0</v>
      </c>
      <c r="W117" s="137">
        <f t="shared" si="110"/>
        <v>0</v>
      </c>
      <c r="X117" s="137">
        <f t="shared" si="110"/>
        <v>0</v>
      </c>
      <c r="Y117" s="137">
        <f t="shared" si="110"/>
        <v>0</v>
      </c>
      <c r="Z117" s="137">
        <f t="shared" si="110"/>
        <v>0</v>
      </c>
      <c r="AA117" s="137">
        <f t="shared" si="110"/>
        <v>0</v>
      </c>
      <c r="AB117" s="137">
        <f t="shared" si="110"/>
        <v>0</v>
      </c>
      <c r="AC117" s="137">
        <f t="shared" si="110"/>
        <v>0</v>
      </c>
      <c r="AD117" s="137">
        <f t="shared" si="110"/>
        <v>0</v>
      </c>
      <c r="AE117" s="105">
        <f t="shared" si="110"/>
        <v>0</v>
      </c>
      <c r="AF117" s="124"/>
      <c r="AG117" s="361"/>
      <c r="AH117" s="361"/>
      <c r="AI117" s="361"/>
      <c r="AJ117" s="361"/>
      <c r="AK117" s="361"/>
      <c r="AL117" s="361"/>
      <c r="AM117" s="361"/>
      <c r="AN117" s="361"/>
      <c r="AO117" s="463"/>
      <c r="AP117" s="465"/>
      <c r="AQ117" s="361"/>
      <c r="AR117" s="361"/>
      <c r="AS117" s="361"/>
      <c r="AT117" s="361"/>
      <c r="AU117" s="361"/>
      <c r="AV117" s="361"/>
      <c r="AW117" s="361"/>
      <c r="AX117" s="459"/>
      <c r="AY117" s="461"/>
    </row>
    <row r="118" spans="1:51" ht="29.25" customHeight="1" x14ac:dyDescent="0.25">
      <c r="A118" s="467"/>
      <c r="B118" s="469"/>
      <c r="C118" s="468" t="s">
        <v>510</v>
      </c>
      <c r="D118" s="159" t="s">
        <v>40</v>
      </c>
      <c r="E118" s="324">
        <v>0</v>
      </c>
      <c r="F118" s="324">
        <v>0</v>
      </c>
      <c r="G118" s="324">
        <v>0</v>
      </c>
      <c r="H118" s="324">
        <v>0</v>
      </c>
      <c r="I118" s="324">
        <v>0</v>
      </c>
      <c r="J118" s="324">
        <v>0</v>
      </c>
      <c r="K118" s="324">
        <v>0</v>
      </c>
      <c r="L118" s="324">
        <v>0</v>
      </c>
      <c r="M118" s="324">
        <v>0</v>
      </c>
      <c r="N118" s="324">
        <v>0</v>
      </c>
      <c r="O118" s="324">
        <v>0</v>
      </c>
      <c r="P118" s="324">
        <v>0</v>
      </c>
      <c r="Q118" s="324">
        <v>0</v>
      </c>
      <c r="R118" s="324">
        <v>0</v>
      </c>
      <c r="S118" s="324"/>
      <c r="T118" s="324">
        <v>0</v>
      </c>
      <c r="U118" s="324">
        <v>3</v>
      </c>
      <c r="V118" s="324">
        <f>+U118+10</f>
        <v>13</v>
      </c>
      <c r="W118" s="324"/>
      <c r="X118" s="324"/>
      <c r="Y118" s="324"/>
      <c r="Z118" s="105"/>
      <c r="AA118" s="324"/>
      <c r="AB118" s="324"/>
      <c r="AC118" s="324"/>
      <c r="AD118" s="324"/>
      <c r="AE118" s="105"/>
      <c r="AF118" s="324"/>
      <c r="AG118" s="361" t="s">
        <v>511</v>
      </c>
      <c r="AH118" s="361" t="s">
        <v>329</v>
      </c>
      <c r="AI118" s="361" t="s">
        <v>329</v>
      </c>
      <c r="AJ118" s="361" t="s">
        <v>511</v>
      </c>
      <c r="AK118" s="361" t="s">
        <v>331</v>
      </c>
      <c r="AL118" s="361" t="s">
        <v>329</v>
      </c>
      <c r="AM118" s="361" t="s">
        <v>329</v>
      </c>
      <c r="AN118" s="361" t="s">
        <v>329</v>
      </c>
      <c r="AO118" s="463">
        <v>579046</v>
      </c>
      <c r="AP118" s="465">
        <v>650857</v>
      </c>
      <c r="AQ118" s="361" t="s">
        <v>329</v>
      </c>
      <c r="AR118" s="361" t="s">
        <v>329</v>
      </c>
      <c r="AS118" s="361" t="s">
        <v>329</v>
      </c>
      <c r="AT118" s="361" t="s">
        <v>329</v>
      </c>
      <c r="AU118" s="361" t="s">
        <v>329</v>
      </c>
      <c r="AV118" s="361" t="s">
        <v>329</v>
      </c>
      <c r="AW118" s="361" t="s">
        <v>329</v>
      </c>
      <c r="AX118" s="459">
        <f>+AO118+AP118</f>
        <v>1229903</v>
      </c>
      <c r="AY118" s="461"/>
    </row>
    <row r="119" spans="1:51" ht="29.25" customHeight="1" x14ac:dyDescent="0.25">
      <c r="A119" s="467"/>
      <c r="B119" s="469"/>
      <c r="C119" s="469"/>
      <c r="D119" s="158" t="s">
        <v>3</v>
      </c>
      <c r="E119" s="124">
        <v>0</v>
      </c>
      <c r="F119" s="124">
        <v>0</v>
      </c>
      <c r="G119" s="124">
        <v>0</v>
      </c>
      <c r="H119" s="124">
        <v>0</v>
      </c>
      <c r="I119" s="124">
        <v>0</v>
      </c>
      <c r="J119" s="124">
        <v>0</v>
      </c>
      <c r="K119" s="124">
        <v>0</v>
      </c>
      <c r="L119" s="124">
        <v>0</v>
      </c>
      <c r="M119" s="124">
        <v>0</v>
      </c>
      <c r="N119" s="124">
        <v>0</v>
      </c>
      <c r="O119" s="124">
        <v>0</v>
      </c>
      <c r="P119" s="124">
        <v>0</v>
      </c>
      <c r="Q119" s="124">
        <v>0</v>
      </c>
      <c r="R119" s="124">
        <v>0</v>
      </c>
      <c r="S119" s="137"/>
      <c r="T119" s="124">
        <v>0</v>
      </c>
      <c r="U119" s="124">
        <v>0</v>
      </c>
      <c r="V119" s="124">
        <v>0</v>
      </c>
      <c r="W119" s="124"/>
      <c r="X119" s="124"/>
      <c r="Y119" s="124"/>
      <c r="Z119" s="124"/>
      <c r="AA119" s="124"/>
      <c r="AB119" s="124"/>
      <c r="AC119" s="124"/>
      <c r="AD119" s="124"/>
      <c r="AE119" s="105"/>
      <c r="AF119" s="137"/>
      <c r="AG119" s="361"/>
      <c r="AH119" s="361"/>
      <c r="AI119" s="361"/>
      <c r="AJ119" s="361"/>
      <c r="AK119" s="361"/>
      <c r="AL119" s="361"/>
      <c r="AM119" s="361"/>
      <c r="AN119" s="361"/>
      <c r="AO119" s="463"/>
      <c r="AP119" s="465"/>
      <c r="AQ119" s="361"/>
      <c r="AR119" s="361"/>
      <c r="AS119" s="361"/>
      <c r="AT119" s="361"/>
      <c r="AU119" s="361"/>
      <c r="AV119" s="361"/>
      <c r="AW119" s="361"/>
      <c r="AX119" s="459"/>
      <c r="AY119" s="461"/>
    </row>
    <row r="120" spans="1:51" ht="29.25" customHeight="1" x14ac:dyDescent="0.25">
      <c r="A120" s="467"/>
      <c r="B120" s="469"/>
      <c r="C120" s="469"/>
      <c r="D120" s="159" t="s">
        <v>41</v>
      </c>
      <c r="E120" s="324">
        <v>0</v>
      </c>
      <c r="F120" s="209">
        <v>0</v>
      </c>
      <c r="G120" s="209">
        <v>0</v>
      </c>
      <c r="H120" s="209">
        <v>0</v>
      </c>
      <c r="I120" s="209">
        <v>0</v>
      </c>
      <c r="J120" s="209">
        <v>0</v>
      </c>
      <c r="K120" s="209">
        <v>0</v>
      </c>
      <c r="L120" s="209">
        <v>0</v>
      </c>
      <c r="M120" s="209">
        <v>0</v>
      </c>
      <c r="N120" s="209">
        <v>0</v>
      </c>
      <c r="O120" s="209">
        <v>0</v>
      </c>
      <c r="P120" s="209">
        <v>0</v>
      </c>
      <c r="Q120" s="209">
        <v>0</v>
      </c>
      <c r="R120" s="209">
        <v>0</v>
      </c>
      <c r="S120" s="209"/>
      <c r="T120" s="324">
        <v>0</v>
      </c>
      <c r="U120" s="324">
        <v>0</v>
      </c>
      <c r="V120" s="324">
        <v>0</v>
      </c>
      <c r="W120" s="324"/>
      <c r="X120" s="324"/>
      <c r="Y120" s="324"/>
      <c r="Z120" s="160"/>
      <c r="AA120" s="209"/>
      <c r="AB120" s="209"/>
      <c r="AC120" s="209"/>
      <c r="AD120" s="209"/>
      <c r="AE120" s="105"/>
      <c r="AF120" s="209"/>
      <c r="AG120" s="361"/>
      <c r="AH120" s="361"/>
      <c r="AI120" s="361"/>
      <c r="AJ120" s="361"/>
      <c r="AK120" s="361"/>
      <c r="AL120" s="361"/>
      <c r="AM120" s="361"/>
      <c r="AN120" s="361"/>
      <c r="AO120" s="463"/>
      <c r="AP120" s="465"/>
      <c r="AQ120" s="361"/>
      <c r="AR120" s="361"/>
      <c r="AS120" s="361"/>
      <c r="AT120" s="361"/>
      <c r="AU120" s="361"/>
      <c r="AV120" s="361"/>
      <c r="AW120" s="361"/>
      <c r="AX120" s="459"/>
      <c r="AY120" s="461"/>
    </row>
    <row r="121" spans="1:51" ht="29.25" customHeight="1" x14ac:dyDescent="0.25">
      <c r="A121" s="467"/>
      <c r="B121" s="469"/>
      <c r="C121" s="469"/>
      <c r="D121" s="158" t="s">
        <v>4</v>
      </c>
      <c r="E121" s="124">
        <v>0</v>
      </c>
      <c r="F121" s="137">
        <v>0</v>
      </c>
      <c r="G121" s="137">
        <v>0</v>
      </c>
      <c r="H121" s="137">
        <v>0</v>
      </c>
      <c r="I121" s="137">
        <v>0</v>
      </c>
      <c r="J121" s="137">
        <v>0</v>
      </c>
      <c r="K121" s="137">
        <v>0</v>
      </c>
      <c r="L121" s="137">
        <v>0</v>
      </c>
      <c r="M121" s="137">
        <v>0</v>
      </c>
      <c r="N121" s="137">
        <v>0</v>
      </c>
      <c r="O121" s="137">
        <v>0</v>
      </c>
      <c r="P121" s="137">
        <v>0</v>
      </c>
      <c r="Q121" s="137">
        <v>0</v>
      </c>
      <c r="R121" s="137">
        <v>0</v>
      </c>
      <c r="S121" s="137"/>
      <c r="T121" s="124">
        <v>0</v>
      </c>
      <c r="U121" s="124">
        <v>0</v>
      </c>
      <c r="V121" s="124">
        <v>0</v>
      </c>
      <c r="W121" s="124"/>
      <c r="X121" s="124"/>
      <c r="Y121" s="124"/>
      <c r="Z121" s="124"/>
      <c r="AA121" s="137"/>
      <c r="AB121" s="137"/>
      <c r="AC121" s="137"/>
      <c r="AD121" s="137"/>
      <c r="AE121" s="105"/>
      <c r="AF121" s="137"/>
      <c r="AG121" s="361"/>
      <c r="AH121" s="361"/>
      <c r="AI121" s="361"/>
      <c r="AJ121" s="361"/>
      <c r="AK121" s="361"/>
      <c r="AL121" s="361"/>
      <c r="AM121" s="361"/>
      <c r="AN121" s="361"/>
      <c r="AO121" s="463"/>
      <c r="AP121" s="465"/>
      <c r="AQ121" s="361"/>
      <c r="AR121" s="361"/>
      <c r="AS121" s="361"/>
      <c r="AT121" s="361"/>
      <c r="AU121" s="361"/>
      <c r="AV121" s="361"/>
      <c r="AW121" s="361"/>
      <c r="AX121" s="459"/>
      <c r="AY121" s="461"/>
    </row>
    <row r="122" spans="1:51" ht="29.25" customHeight="1" x14ac:dyDescent="0.25">
      <c r="A122" s="467"/>
      <c r="B122" s="469"/>
      <c r="C122" s="469"/>
      <c r="D122" s="159" t="s">
        <v>42</v>
      </c>
      <c r="E122" s="105">
        <v>0</v>
      </c>
      <c r="F122" s="105">
        <f t="shared" ref="F122:R123" si="115">+F118+F120</f>
        <v>0</v>
      </c>
      <c r="G122" s="105">
        <f t="shared" si="115"/>
        <v>0</v>
      </c>
      <c r="H122" s="105">
        <f t="shared" si="115"/>
        <v>0</v>
      </c>
      <c r="I122" s="105">
        <f t="shared" si="115"/>
        <v>0</v>
      </c>
      <c r="J122" s="105">
        <f t="shared" si="115"/>
        <v>0</v>
      </c>
      <c r="K122" s="105">
        <f t="shared" si="115"/>
        <v>0</v>
      </c>
      <c r="L122" s="105">
        <f t="shared" si="115"/>
        <v>0</v>
      </c>
      <c r="M122" s="105">
        <f t="shared" si="115"/>
        <v>0</v>
      </c>
      <c r="N122" s="105">
        <f t="shared" si="115"/>
        <v>0</v>
      </c>
      <c r="O122" s="105">
        <f t="shared" si="115"/>
        <v>0</v>
      </c>
      <c r="P122" s="105">
        <f t="shared" si="115"/>
        <v>0</v>
      </c>
      <c r="Q122" s="105">
        <f t="shared" si="115"/>
        <v>0</v>
      </c>
      <c r="R122" s="105">
        <f t="shared" si="115"/>
        <v>0</v>
      </c>
      <c r="S122" s="105"/>
      <c r="T122" s="105">
        <f t="shared" ref="T122:AE123" si="116">+T118+T120</f>
        <v>0</v>
      </c>
      <c r="U122" s="105">
        <f t="shared" ref="U122" si="117">+U118+U120</f>
        <v>3</v>
      </c>
      <c r="V122" s="105">
        <f t="shared" ref="V122" si="118">+V118+V120</f>
        <v>13</v>
      </c>
      <c r="W122" s="105">
        <f t="shared" si="116"/>
        <v>0</v>
      </c>
      <c r="X122" s="105">
        <f t="shared" si="116"/>
        <v>0</v>
      </c>
      <c r="Y122" s="105">
        <f t="shared" si="116"/>
        <v>0</v>
      </c>
      <c r="Z122" s="105">
        <f t="shared" si="116"/>
        <v>0</v>
      </c>
      <c r="AA122" s="105">
        <f t="shared" si="116"/>
        <v>0</v>
      </c>
      <c r="AB122" s="105">
        <f t="shared" si="116"/>
        <v>0</v>
      </c>
      <c r="AC122" s="105">
        <f t="shared" si="116"/>
        <v>0</v>
      </c>
      <c r="AD122" s="105">
        <f t="shared" si="116"/>
        <v>0</v>
      </c>
      <c r="AE122" s="105">
        <f t="shared" si="116"/>
        <v>0</v>
      </c>
      <c r="AF122" s="209"/>
      <c r="AG122" s="361"/>
      <c r="AH122" s="361"/>
      <c r="AI122" s="361"/>
      <c r="AJ122" s="361"/>
      <c r="AK122" s="361"/>
      <c r="AL122" s="361"/>
      <c r="AM122" s="361"/>
      <c r="AN122" s="361"/>
      <c r="AO122" s="463"/>
      <c r="AP122" s="465"/>
      <c r="AQ122" s="361"/>
      <c r="AR122" s="361"/>
      <c r="AS122" s="361"/>
      <c r="AT122" s="361"/>
      <c r="AU122" s="361"/>
      <c r="AV122" s="361"/>
      <c r="AW122" s="361"/>
      <c r="AX122" s="459"/>
      <c r="AY122" s="461"/>
    </row>
    <row r="123" spans="1:51" ht="29.25" customHeight="1" x14ac:dyDescent="0.25">
      <c r="A123" s="467"/>
      <c r="B123" s="469"/>
      <c r="C123" s="453"/>
      <c r="D123" s="158" t="s">
        <v>44</v>
      </c>
      <c r="E123" s="137">
        <v>0</v>
      </c>
      <c r="F123" s="137">
        <f t="shared" si="115"/>
        <v>0</v>
      </c>
      <c r="G123" s="137">
        <f t="shared" si="115"/>
        <v>0</v>
      </c>
      <c r="H123" s="137">
        <f t="shared" si="115"/>
        <v>0</v>
      </c>
      <c r="I123" s="137">
        <f t="shared" si="115"/>
        <v>0</v>
      </c>
      <c r="J123" s="137">
        <f t="shared" si="115"/>
        <v>0</v>
      </c>
      <c r="K123" s="137">
        <f t="shared" si="115"/>
        <v>0</v>
      </c>
      <c r="L123" s="137">
        <f t="shared" si="115"/>
        <v>0</v>
      </c>
      <c r="M123" s="137">
        <f t="shared" si="115"/>
        <v>0</v>
      </c>
      <c r="N123" s="137">
        <f t="shared" si="115"/>
        <v>0</v>
      </c>
      <c r="O123" s="137">
        <f t="shared" si="115"/>
        <v>0</v>
      </c>
      <c r="P123" s="137">
        <f t="shared" si="115"/>
        <v>0</v>
      </c>
      <c r="Q123" s="137">
        <f t="shared" si="115"/>
        <v>0</v>
      </c>
      <c r="R123" s="137">
        <f t="shared" si="115"/>
        <v>0</v>
      </c>
      <c r="S123" s="137"/>
      <c r="T123" s="137">
        <f t="shared" si="116"/>
        <v>0</v>
      </c>
      <c r="U123" s="137">
        <f t="shared" ref="U123" si="119">+U119+U121</f>
        <v>0</v>
      </c>
      <c r="V123" s="137">
        <f t="shared" ref="V123" si="120">+V119+V121</f>
        <v>0</v>
      </c>
      <c r="W123" s="137">
        <f t="shared" si="116"/>
        <v>0</v>
      </c>
      <c r="X123" s="137">
        <f t="shared" si="116"/>
        <v>0</v>
      </c>
      <c r="Y123" s="137">
        <f t="shared" si="116"/>
        <v>0</v>
      </c>
      <c r="Z123" s="137">
        <f t="shared" si="116"/>
        <v>0</v>
      </c>
      <c r="AA123" s="137">
        <f t="shared" si="116"/>
        <v>0</v>
      </c>
      <c r="AB123" s="137">
        <f t="shared" si="116"/>
        <v>0</v>
      </c>
      <c r="AC123" s="137">
        <f t="shared" si="116"/>
        <v>0</v>
      </c>
      <c r="AD123" s="137">
        <f t="shared" si="116"/>
        <v>0</v>
      </c>
      <c r="AE123" s="105">
        <f t="shared" si="116"/>
        <v>0</v>
      </c>
      <c r="AF123" s="124"/>
      <c r="AG123" s="361"/>
      <c r="AH123" s="361"/>
      <c r="AI123" s="361"/>
      <c r="AJ123" s="361"/>
      <c r="AK123" s="361"/>
      <c r="AL123" s="361"/>
      <c r="AM123" s="361"/>
      <c r="AN123" s="361"/>
      <c r="AO123" s="463"/>
      <c r="AP123" s="465"/>
      <c r="AQ123" s="361"/>
      <c r="AR123" s="361"/>
      <c r="AS123" s="361"/>
      <c r="AT123" s="361"/>
      <c r="AU123" s="361"/>
      <c r="AV123" s="361"/>
      <c r="AW123" s="361"/>
      <c r="AX123" s="459"/>
      <c r="AY123" s="461"/>
    </row>
    <row r="124" spans="1:51" ht="29.25" customHeight="1" x14ac:dyDescent="0.25">
      <c r="A124" s="467"/>
      <c r="B124" s="469"/>
      <c r="C124" s="468" t="s">
        <v>512</v>
      </c>
      <c r="D124" s="159" t="s">
        <v>40</v>
      </c>
      <c r="E124" s="324">
        <v>0</v>
      </c>
      <c r="F124" s="324">
        <v>0</v>
      </c>
      <c r="G124" s="324">
        <v>0</v>
      </c>
      <c r="H124" s="324">
        <v>0</v>
      </c>
      <c r="I124" s="324">
        <v>0</v>
      </c>
      <c r="J124" s="324">
        <v>0</v>
      </c>
      <c r="K124" s="324">
        <v>0</v>
      </c>
      <c r="L124" s="324">
        <v>0</v>
      </c>
      <c r="M124" s="324">
        <v>0</v>
      </c>
      <c r="N124" s="324">
        <v>0</v>
      </c>
      <c r="O124" s="324">
        <v>0</v>
      </c>
      <c r="P124" s="324">
        <v>0</v>
      </c>
      <c r="Q124" s="324">
        <v>0</v>
      </c>
      <c r="R124" s="324">
        <v>0</v>
      </c>
      <c r="S124" s="324"/>
      <c r="T124" s="324">
        <v>0</v>
      </c>
      <c r="U124" s="324">
        <v>10</v>
      </c>
      <c r="V124" s="324">
        <f>+U124+6</f>
        <v>16</v>
      </c>
      <c r="W124" s="324"/>
      <c r="X124" s="324"/>
      <c r="Y124" s="324"/>
      <c r="Z124" s="105"/>
      <c r="AA124" s="324"/>
      <c r="AB124" s="324"/>
      <c r="AC124" s="324"/>
      <c r="AD124" s="324"/>
      <c r="AE124" s="105"/>
      <c r="AF124" s="324"/>
      <c r="AG124" s="361" t="s">
        <v>513</v>
      </c>
      <c r="AH124" s="361" t="s">
        <v>329</v>
      </c>
      <c r="AI124" s="361" t="s">
        <v>329</v>
      </c>
      <c r="AJ124" s="361" t="s">
        <v>513</v>
      </c>
      <c r="AK124" s="361" t="s">
        <v>331</v>
      </c>
      <c r="AL124" s="361" t="s">
        <v>329</v>
      </c>
      <c r="AM124" s="361" t="s">
        <v>329</v>
      </c>
      <c r="AN124" s="361" t="s">
        <v>329</v>
      </c>
      <c r="AO124" s="463">
        <v>71661</v>
      </c>
      <c r="AP124" s="465">
        <v>81501</v>
      </c>
      <c r="AQ124" s="361" t="s">
        <v>329</v>
      </c>
      <c r="AR124" s="361" t="s">
        <v>329</v>
      </c>
      <c r="AS124" s="361" t="s">
        <v>329</v>
      </c>
      <c r="AT124" s="361" t="s">
        <v>329</v>
      </c>
      <c r="AU124" s="361" t="s">
        <v>329</v>
      </c>
      <c r="AV124" s="361" t="s">
        <v>329</v>
      </c>
      <c r="AW124" s="361" t="s">
        <v>329</v>
      </c>
      <c r="AX124" s="459">
        <f>+AO124+AP124</f>
        <v>153162</v>
      </c>
      <c r="AY124" s="461"/>
    </row>
    <row r="125" spans="1:51" ht="29.25" customHeight="1" x14ac:dyDescent="0.25">
      <c r="A125" s="467"/>
      <c r="B125" s="469"/>
      <c r="C125" s="469"/>
      <c r="D125" s="158" t="s">
        <v>3</v>
      </c>
      <c r="E125" s="124">
        <v>0</v>
      </c>
      <c r="F125" s="124">
        <v>0</v>
      </c>
      <c r="G125" s="124">
        <v>0</v>
      </c>
      <c r="H125" s="124">
        <v>0</v>
      </c>
      <c r="I125" s="124">
        <v>0</v>
      </c>
      <c r="J125" s="124">
        <v>0</v>
      </c>
      <c r="K125" s="124">
        <v>0</v>
      </c>
      <c r="L125" s="124">
        <v>0</v>
      </c>
      <c r="M125" s="124">
        <v>0</v>
      </c>
      <c r="N125" s="124">
        <v>0</v>
      </c>
      <c r="O125" s="124">
        <v>0</v>
      </c>
      <c r="P125" s="124">
        <v>0</v>
      </c>
      <c r="Q125" s="124">
        <v>0</v>
      </c>
      <c r="R125" s="124">
        <v>0</v>
      </c>
      <c r="S125" s="137"/>
      <c r="T125" s="124">
        <v>0</v>
      </c>
      <c r="U125" s="124">
        <v>0</v>
      </c>
      <c r="V125" s="124">
        <v>0</v>
      </c>
      <c r="W125" s="124"/>
      <c r="X125" s="124"/>
      <c r="Y125" s="124"/>
      <c r="Z125" s="124"/>
      <c r="AA125" s="124"/>
      <c r="AB125" s="124"/>
      <c r="AC125" s="124"/>
      <c r="AD125" s="124"/>
      <c r="AE125" s="105"/>
      <c r="AF125" s="137"/>
      <c r="AG125" s="361"/>
      <c r="AH125" s="361"/>
      <c r="AI125" s="361"/>
      <c r="AJ125" s="361"/>
      <c r="AK125" s="361"/>
      <c r="AL125" s="361"/>
      <c r="AM125" s="361"/>
      <c r="AN125" s="361"/>
      <c r="AO125" s="463"/>
      <c r="AP125" s="465"/>
      <c r="AQ125" s="361"/>
      <c r="AR125" s="361"/>
      <c r="AS125" s="361"/>
      <c r="AT125" s="361"/>
      <c r="AU125" s="361"/>
      <c r="AV125" s="361"/>
      <c r="AW125" s="361"/>
      <c r="AX125" s="459"/>
      <c r="AY125" s="461"/>
    </row>
    <row r="126" spans="1:51" ht="29.25" customHeight="1" x14ac:dyDescent="0.25">
      <c r="A126" s="467"/>
      <c r="B126" s="469"/>
      <c r="C126" s="469"/>
      <c r="D126" s="159" t="s">
        <v>41</v>
      </c>
      <c r="E126" s="324">
        <v>0</v>
      </c>
      <c r="F126" s="209">
        <v>0</v>
      </c>
      <c r="G126" s="209">
        <v>0</v>
      </c>
      <c r="H126" s="209">
        <v>0</v>
      </c>
      <c r="I126" s="209">
        <v>0</v>
      </c>
      <c r="J126" s="209">
        <v>0</v>
      </c>
      <c r="K126" s="209">
        <v>0</v>
      </c>
      <c r="L126" s="209">
        <v>0</v>
      </c>
      <c r="M126" s="209">
        <v>0</v>
      </c>
      <c r="N126" s="209">
        <v>0</v>
      </c>
      <c r="O126" s="209">
        <v>0</v>
      </c>
      <c r="P126" s="209">
        <v>0</v>
      </c>
      <c r="Q126" s="209">
        <v>0</v>
      </c>
      <c r="R126" s="209">
        <v>0</v>
      </c>
      <c r="S126" s="209"/>
      <c r="T126" s="324">
        <v>0</v>
      </c>
      <c r="U126" s="324">
        <v>0</v>
      </c>
      <c r="V126" s="324">
        <v>0</v>
      </c>
      <c r="W126" s="324"/>
      <c r="X126" s="324"/>
      <c r="Y126" s="324"/>
      <c r="Z126" s="160"/>
      <c r="AA126" s="209"/>
      <c r="AB126" s="209"/>
      <c r="AC126" s="209"/>
      <c r="AD126" s="209"/>
      <c r="AE126" s="105"/>
      <c r="AF126" s="209"/>
      <c r="AG126" s="361"/>
      <c r="AH126" s="361"/>
      <c r="AI126" s="361"/>
      <c r="AJ126" s="361"/>
      <c r="AK126" s="361"/>
      <c r="AL126" s="361"/>
      <c r="AM126" s="361"/>
      <c r="AN126" s="361"/>
      <c r="AO126" s="463"/>
      <c r="AP126" s="465"/>
      <c r="AQ126" s="361"/>
      <c r="AR126" s="361"/>
      <c r="AS126" s="361"/>
      <c r="AT126" s="361"/>
      <c r="AU126" s="361"/>
      <c r="AV126" s="361"/>
      <c r="AW126" s="361"/>
      <c r="AX126" s="459"/>
      <c r="AY126" s="461"/>
    </row>
    <row r="127" spans="1:51" ht="29.25" customHeight="1" x14ac:dyDescent="0.25">
      <c r="A127" s="467"/>
      <c r="B127" s="469"/>
      <c r="C127" s="469"/>
      <c r="D127" s="158" t="s">
        <v>4</v>
      </c>
      <c r="E127" s="124">
        <v>0</v>
      </c>
      <c r="F127" s="137">
        <v>0</v>
      </c>
      <c r="G127" s="137">
        <v>0</v>
      </c>
      <c r="H127" s="137">
        <v>0</v>
      </c>
      <c r="I127" s="137">
        <v>0</v>
      </c>
      <c r="J127" s="137">
        <v>0</v>
      </c>
      <c r="K127" s="137">
        <v>0</v>
      </c>
      <c r="L127" s="137">
        <v>0</v>
      </c>
      <c r="M127" s="137">
        <v>0</v>
      </c>
      <c r="N127" s="137">
        <v>0</v>
      </c>
      <c r="O127" s="137">
        <v>0</v>
      </c>
      <c r="P127" s="137">
        <v>0</v>
      </c>
      <c r="Q127" s="137">
        <v>0</v>
      </c>
      <c r="R127" s="137">
        <v>0</v>
      </c>
      <c r="S127" s="137"/>
      <c r="T127" s="124">
        <v>0</v>
      </c>
      <c r="U127" s="124">
        <v>0</v>
      </c>
      <c r="V127" s="124">
        <v>0</v>
      </c>
      <c r="W127" s="124"/>
      <c r="X127" s="124"/>
      <c r="Y127" s="124"/>
      <c r="Z127" s="124"/>
      <c r="AA127" s="137"/>
      <c r="AB127" s="137"/>
      <c r="AC127" s="137"/>
      <c r="AD127" s="137"/>
      <c r="AE127" s="105"/>
      <c r="AF127" s="137"/>
      <c r="AG127" s="361"/>
      <c r="AH127" s="361"/>
      <c r="AI127" s="361"/>
      <c r="AJ127" s="361"/>
      <c r="AK127" s="361"/>
      <c r="AL127" s="361"/>
      <c r="AM127" s="361"/>
      <c r="AN127" s="361"/>
      <c r="AO127" s="463"/>
      <c r="AP127" s="465"/>
      <c r="AQ127" s="361"/>
      <c r="AR127" s="361"/>
      <c r="AS127" s="361"/>
      <c r="AT127" s="361"/>
      <c r="AU127" s="361"/>
      <c r="AV127" s="361"/>
      <c r="AW127" s="361"/>
      <c r="AX127" s="459"/>
      <c r="AY127" s="461"/>
    </row>
    <row r="128" spans="1:51" ht="29.25" customHeight="1" x14ac:dyDescent="0.25">
      <c r="A128" s="467"/>
      <c r="B128" s="469"/>
      <c r="C128" s="469"/>
      <c r="D128" s="159" t="s">
        <v>42</v>
      </c>
      <c r="E128" s="105">
        <v>0</v>
      </c>
      <c r="F128" s="105">
        <f t="shared" ref="F128:R129" si="121">+F124+F126</f>
        <v>0</v>
      </c>
      <c r="G128" s="105">
        <f t="shared" si="121"/>
        <v>0</v>
      </c>
      <c r="H128" s="105">
        <f t="shared" si="121"/>
        <v>0</v>
      </c>
      <c r="I128" s="105">
        <f t="shared" si="121"/>
        <v>0</v>
      </c>
      <c r="J128" s="105">
        <f t="shared" si="121"/>
        <v>0</v>
      </c>
      <c r="K128" s="105">
        <f t="shared" si="121"/>
        <v>0</v>
      </c>
      <c r="L128" s="105">
        <f t="shared" si="121"/>
        <v>0</v>
      </c>
      <c r="M128" s="105">
        <f t="shared" si="121"/>
        <v>0</v>
      </c>
      <c r="N128" s="105">
        <f t="shared" si="121"/>
        <v>0</v>
      </c>
      <c r="O128" s="105">
        <f t="shared" si="121"/>
        <v>0</v>
      </c>
      <c r="P128" s="105">
        <f t="shared" si="121"/>
        <v>0</v>
      </c>
      <c r="Q128" s="105">
        <f t="shared" si="121"/>
        <v>0</v>
      </c>
      <c r="R128" s="105">
        <f t="shared" si="121"/>
        <v>0</v>
      </c>
      <c r="S128" s="105"/>
      <c r="T128" s="105">
        <f t="shared" ref="T128:AE129" si="122">+T124+T126</f>
        <v>0</v>
      </c>
      <c r="U128" s="105">
        <f t="shared" ref="U128" si="123">+U124+U126</f>
        <v>10</v>
      </c>
      <c r="V128" s="105">
        <f t="shared" ref="V128" si="124">+V124+V126</f>
        <v>16</v>
      </c>
      <c r="W128" s="105">
        <f t="shared" si="122"/>
        <v>0</v>
      </c>
      <c r="X128" s="105">
        <f t="shared" si="122"/>
        <v>0</v>
      </c>
      <c r="Y128" s="105">
        <f t="shared" si="122"/>
        <v>0</v>
      </c>
      <c r="Z128" s="105">
        <f t="shared" si="122"/>
        <v>0</v>
      </c>
      <c r="AA128" s="105">
        <f t="shared" si="122"/>
        <v>0</v>
      </c>
      <c r="AB128" s="105">
        <f t="shared" si="122"/>
        <v>0</v>
      </c>
      <c r="AC128" s="105">
        <f t="shared" si="122"/>
        <v>0</v>
      </c>
      <c r="AD128" s="105">
        <f t="shared" si="122"/>
        <v>0</v>
      </c>
      <c r="AE128" s="105">
        <f t="shared" si="122"/>
        <v>0</v>
      </c>
      <c r="AF128" s="209"/>
      <c r="AG128" s="361"/>
      <c r="AH128" s="361"/>
      <c r="AI128" s="361"/>
      <c r="AJ128" s="361"/>
      <c r="AK128" s="361"/>
      <c r="AL128" s="361"/>
      <c r="AM128" s="361"/>
      <c r="AN128" s="361"/>
      <c r="AO128" s="463"/>
      <c r="AP128" s="465"/>
      <c r="AQ128" s="361"/>
      <c r="AR128" s="361"/>
      <c r="AS128" s="361"/>
      <c r="AT128" s="361"/>
      <c r="AU128" s="361"/>
      <c r="AV128" s="361"/>
      <c r="AW128" s="361"/>
      <c r="AX128" s="459"/>
      <c r="AY128" s="461"/>
    </row>
    <row r="129" spans="1:51" ht="29.25" customHeight="1" x14ac:dyDescent="0.25">
      <c r="A129" s="467"/>
      <c r="B129" s="469"/>
      <c r="C129" s="453"/>
      <c r="D129" s="158" t="s">
        <v>44</v>
      </c>
      <c r="E129" s="137">
        <v>0</v>
      </c>
      <c r="F129" s="137">
        <f t="shared" si="121"/>
        <v>0</v>
      </c>
      <c r="G129" s="137">
        <f t="shared" si="121"/>
        <v>0</v>
      </c>
      <c r="H129" s="137">
        <f t="shared" si="121"/>
        <v>0</v>
      </c>
      <c r="I129" s="137">
        <f t="shared" si="121"/>
        <v>0</v>
      </c>
      <c r="J129" s="137">
        <f t="shared" si="121"/>
        <v>0</v>
      </c>
      <c r="K129" s="137">
        <f t="shared" si="121"/>
        <v>0</v>
      </c>
      <c r="L129" s="137">
        <f t="shared" si="121"/>
        <v>0</v>
      </c>
      <c r="M129" s="137">
        <f t="shared" si="121"/>
        <v>0</v>
      </c>
      <c r="N129" s="137">
        <f t="shared" si="121"/>
        <v>0</v>
      </c>
      <c r="O129" s="137">
        <f t="shared" si="121"/>
        <v>0</v>
      </c>
      <c r="P129" s="137">
        <f t="shared" si="121"/>
        <v>0</v>
      </c>
      <c r="Q129" s="137">
        <f t="shared" si="121"/>
        <v>0</v>
      </c>
      <c r="R129" s="137">
        <f t="shared" si="121"/>
        <v>0</v>
      </c>
      <c r="S129" s="137"/>
      <c r="T129" s="137">
        <f t="shared" si="122"/>
        <v>0</v>
      </c>
      <c r="U129" s="137">
        <f t="shared" ref="U129" si="125">+U125+U127</f>
        <v>0</v>
      </c>
      <c r="V129" s="137">
        <f t="shared" ref="V129" si="126">+V125+V127</f>
        <v>0</v>
      </c>
      <c r="W129" s="137">
        <f t="shared" si="122"/>
        <v>0</v>
      </c>
      <c r="X129" s="137">
        <f t="shared" si="122"/>
        <v>0</v>
      </c>
      <c r="Y129" s="137">
        <f t="shared" si="122"/>
        <v>0</v>
      </c>
      <c r="Z129" s="137">
        <f t="shared" si="122"/>
        <v>0</v>
      </c>
      <c r="AA129" s="137">
        <f t="shared" si="122"/>
        <v>0</v>
      </c>
      <c r="AB129" s="137">
        <f t="shared" si="122"/>
        <v>0</v>
      </c>
      <c r="AC129" s="137">
        <f t="shared" si="122"/>
        <v>0</v>
      </c>
      <c r="AD129" s="137">
        <f t="shared" si="122"/>
        <v>0</v>
      </c>
      <c r="AE129" s="105">
        <f t="shared" si="122"/>
        <v>0</v>
      </c>
      <c r="AF129" s="124"/>
      <c r="AG129" s="361"/>
      <c r="AH129" s="361"/>
      <c r="AI129" s="361"/>
      <c r="AJ129" s="361"/>
      <c r="AK129" s="361"/>
      <c r="AL129" s="361"/>
      <c r="AM129" s="361"/>
      <c r="AN129" s="361"/>
      <c r="AO129" s="463"/>
      <c r="AP129" s="465"/>
      <c r="AQ129" s="361"/>
      <c r="AR129" s="361"/>
      <c r="AS129" s="361"/>
      <c r="AT129" s="361"/>
      <c r="AU129" s="361"/>
      <c r="AV129" s="361"/>
      <c r="AW129" s="361"/>
      <c r="AX129" s="459"/>
      <c r="AY129" s="461"/>
    </row>
    <row r="130" spans="1:51" ht="29.25" customHeight="1" x14ac:dyDescent="0.25">
      <c r="A130" s="467"/>
      <c r="B130" s="469"/>
      <c r="C130" s="468" t="s">
        <v>514</v>
      </c>
      <c r="D130" s="159" t="s">
        <v>40</v>
      </c>
      <c r="E130" s="324">
        <v>0</v>
      </c>
      <c r="F130" s="324">
        <v>0</v>
      </c>
      <c r="G130" s="324">
        <v>0</v>
      </c>
      <c r="H130" s="324">
        <v>0</v>
      </c>
      <c r="I130" s="324">
        <v>0</v>
      </c>
      <c r="J130" s="324">
        <v>0</v>
      </c>
      <c r="K130" s="324">
        <v>0</v>
      </c>
      <c r="L130" s="324">
        <v>0</v>
      </c>
      <c r="M130" s="324">
        <v>0</v>
      </c>
      <c r="N130" s="324">
        <v>0</v>
      </c>
      <c r="O130" s="324">
        <v>0</v>
      </c>
      <c r="P130" s="324">
        <v>0</v>
      </c>
      <c r="Q130" s="324">
        <v>0</v>
      </c>
      <c r="R130" s="324">
        <v>0</v>
      </c>
      <c r="S130" s="324"/>
      <c r="T130" s="324">
        <v>0</v>
      </c>
      <c r="U130" s="324">
        <v>9</v>
      </c>
      <c r="V130" s="324">
        <f>+U130+8</f>
        <v>17</v>
      </c>
      <c r="W130" s="324"/>
      <c r="X130" s="324"/>
      <c r="Y130" s="324"/>
      <c r="Z130" s="105"/>
      <c r="AA130" s="324"/>
      <c r="AB130" s="324"/>
      <c r="AC130" s="324"/>
      <c r="AD130" s="324"/>
      <c r="AE130" s="105"/>
      <c r="AF130" s="324"/>
      <c r="AG130" s="361" t="s">
        <v>515</v>
      </c>
      <c r="AH130" s="361" t="s">
        <v>329</v>
      </c>
      <c r="AI130" s="361" t="s">
        <v>329</v>
      </c>
      <c r="AJ130" s="361" t="s">
        <v>515</v>
      </c>
      <c r="AK130" s="361" t="s">
        <v>331</v>
      </c>
      <c r="AL130" s="361" t="s">
        <v>329</v>
      </c>
      <c r="AM130" s="361" t="s">
        <v>329</v>
      </c>
      <c r="AN130" s="361" t="s">
        <v>329</v>
      </c>
      <c r="AO130" s="463">
        <v>87610</v>
      </c>
      <c r="AP130" s="465">
        <v>93559</v>
      </c>
      <c r="AQ130" s="361" t="s">
        <v>329</v>
      </c>
      <c r="AR130" s="361" t="s">
        <v>329</v>
      </c>
      <c r="AS130" s="361" t="s">
        <v>329</v>
      </c>
      <c r="AT130" s="361" t="s">
        <v>329</v>
      </c>
      <c r="AU130" s="361" t="s">
        <v>329</v>
      </c>
      <c r="AV130" s="361" t="s">
        <v>329</v>
      </c>
      <c r="AW130" s="361" t="s">
        <v>329</v>
      </c>
      <c r="AX130" s="459">
        <f>+AO130+AP130</f>
        <v>181169</v>
      </c>
      <c r="AY130" s="461"/>
    </row>
    <row r="131" spans="1:51" ht="29.25" customHeight="1" x14ac:dyDescent="0.25">
      <c r="A131" s="467"/>
      <c r="B131" s="469"/>
      <c r="C131" s="469"/>
      <c r="D131" s="158" t="s">
        <v>3</v>
      </c>
      <c r="E131" s="124">
        <v>0</v>
      </c>
      <c r="F131" s="124">
        <v>0</v>
      </c>
      <c r="G131" s="124">
        <v>0</v>
      </c>
      <c r="H131" s="124">
        <v>0</v>
      </c>
      <c r="I131" s="124">
        <v>0</v>
      </c>
      <c r="J131" s="124">
        <v>0</v>
      </c>
      <c r="K131" s="124">
        <v>0</v>
      </c>
      <c r="L131" s="124">
        <v>0</v>
      </c>
      <c r="M131" s="124">
        <v>0</v>
      </c>
      <c r="N131" s="124">
        <v>0</v>
      </c>
      <c r="O131" s="124">
        <v>0</v>
      </c>
      <c r="P131" s="124">
        <v>0</v>
      </c>
      <c r="Q131" s="124">
        <v>0</v>
      </c>
      <c r="R131" s="124">
        <v>0</v>
      </c>
      <c r="S131" s="137"/>
      <c r="T131" s="124">
        <v>0</v>
      </c>
      <c r="U131" s="124">
        <v>0</v>
      </c>
      <c r="V131" s="124">
        <v>0</v>
      </c>
      <c r="W131" s="124"/>
      <c r="X131" s="124"/>
      <c r="Y131" s="124"/>
      <c r="Z131" s="124"/>
      <c r="AA131" s="124"/>
      <c r="AB131" s="124"/>
      <c r="AC131" s="124"/>
      <c r="AD131" s="124"/>
      <c r="AE131" s="105"/>
      <c r="AF131" s="137"/>
      <c r="AG131" s="361"/>
      <c r="AH131" s="361"/>
      <c r="AI131" s="361"/>
      <c r="AJ131" s="361"/>
      <c r="AK131" s="361"/>
      <c r="AL131" s="361"/>
      <c r="AM131" s="361"/>
      <c r="AN131" s="361"/>
      <c r="AO131" s="463"/>
      <c r="AP131" s="465"/>
      <c r="AQ131" s="361"/>
      <c r="AR131" s="361"/>
      <c r="AS131" s="361"/>
      <c r="AT131" s="361"/>
      <c r="AU131" s="361"/>
      <c r="AV131" s="361"/>
      <c r="AW131" s="361"/>
      <c r="AX131" s="459"/>
      <c r="AY131" s="461"/>
    </row>
    <row r="132" spans="1:51" ht="29.25" customHeight="1" x14ac:dyDescent="0.25">
      <c r="A132" s="467"/>
      <c r="B132" s="469"/>
      <c r="C132" s="469"/>
      <c r="D132" s="159" t="s">
        <v>41</v>
      </c>
      <c r="E132" s="324">
        <v>0</v>
      </c>
      <c r="F132" s="209">
        <v>0</v>
      </c>
      <c r="G132" s="209">
        <v>0</v>
      </c>
      <c r="H132" s="209">
        <v>0</v>
      </c>
      <c r="I132" s="209">
        <v>0</v>
      </c>
      <c r="J132" s="209">
        <v>0</v>
      </c>
      <c r="K132" s="209">
        <v>0</v>
      </c>
      <c r="L132" s="209">
        <v>0</v>
      </c>
      <c r="M132" s="209">
        <v>0</v>
      </c>
      <c r="N132" s="209">
        <v>0</v>
      </c>
      <c r="O132" s="209">
        <v>0</v>
      </c>
      <c r="P132" s="209">
        <v>0</v>
      </c>
      <c r="Q132" s="209">
        <v>0</v>
      </c>
      <c r="R132" s="209">
        <v>0</v>
      </c>
      <c r="S132" s="209"/>
      <c r="T132" s="324">
        <v>0</v>
      </c>
      <c r="U132" s="324">
        <v>0</v>
      </c>
      <c r="V132" s="324">
        <v>0</v>
      </c>
      <c r="W132" s="324"/>
      <c r="X132" s="324"/>
      <c r="Y132" s="324"/>
      <c r="Z132" s="160"/>
      <c r="AA132" s="209"/>
      <c r="AB132" s="209"/>
      <c r="AC132" s="209"/>
      <c r="AD132" s="209"/>
      <c r="AE132" s="105"/>
      <c r="AF132" s="209"/>
      <c r="AG132" s="361"/>
      <c r="AH132" s="361"/>
      <c r="AI132" s="361"/>
      <c r="AJ132" s="361"/>
      <c r="AK132" s="361"/>
      <c r="AL132" s="361"/>
      <c r="AM132" s="361"/>
      <c r="AN132" s="361"/>
      <c r="AO132" s="463"/>
      <c r="AP132" s="465"/>
      <c r="AQ132" s="361"/>
      <c r="AR132" s="361"/>
      <c r="AS132" s="361"/>
      <c r="AT132" s="361"/>
      <c r="AU132" s="361"/>
      <c r="AV132" s="361"/>
      <c r="AW132" s="361"/>
      <c r="AX132" s="459"/>
      <c r="AY132" s="461"/>
    </row>
    <row r="133" spans="1:51" ht="29.25" customHeight="1" x14ac:dyDescent="0.25">
      <c r="A133" s="467"/>
      <c r="B133" s="469"/>
      <c r="C133" s="469"/>
      <c r="D133" s="158" t="s">
        <v>4</v>
      </c>
      <c r="E133" s="124">
        <v>0</v>
      </c>
      <c r="F133" s="137">
        <v>0</v>
      </c>
      <c r="G133" s="137">
        <v>0</v>
      </c>
      <c r="H133" s="137">
        <v>0</v>
      </c>
      <c r="I133" s="137">
        <v>0</v>
      </c>
      <c r="J133" s="137">
        <v>0</v>
      </c>
      <c r="K133" s="137">
        <v>0</v>
      </c>
      <c r="L133" s="137">
        <v>0</v>
      </c>
      <c r="M133" s="137">
        <v>0</v>
      </c>
      <c r="N133" s="137">
        <v>0</v>
      </c>
      <c r="O133" s="137">
        <v>0</v>
      </c>
      <c r="P133" s="137">
        <v>0</v>
      </c>
      <c r="Q133" s="137">
        <v>0</v>
      </c>
      <c r="R133" s="137">
        <v>0</v>
      </c>
      <c r="S133" s="137"/>
      <c r="T133" s="124">
        <v>0</v>
      </c>
      <c r="U133" s="124">
        <v>0</v>
      </c>
      <c r="V133" s="124">
        <v>0</v>
      </c>
      <c r="W133" s="124"/>
      <c r="X133" s="124"/>
      <c r="Y133" s="124"/>
      <c r="Z133" s="124"/>
      <c r="AA133" s="137"/>
      <c r="AB133" s="137"/>
      <c r="AC133" s="137"/>
      <c r="AD133" s="137"/>
      <c r="AE133" s="105"/>
      <c r="AF133" s="137"/>
      <c r="AG133" s="361"/>
      <c r="AH133" s="361"/>
      <c r="AI133" s="361"/>
      <c r="AJ133" s="361"/>
      <c r="AK133" s="361"/>
      <c r="AL133" s="361"/>
      <c r="AM133" s="361"/>
      <c r="AN133" s="361"/>
      <c r="AO133" s="463"/>
      <c r="AP133" s="465"/>
      <c r="AQ133" s="361"/>
      <c r="AR133" s="361"/>
      <c r="AS133" s="361"/>
      <c r="AT133" s="361"/>
      <c r="AU133" s="361"/>
      <c r="AV133" s="361"/>
      <c r="AW133" s="361"/>
      <c r="AX133" s="459"/>
      <c r="AY133" s="461"/>
    </row>
    <row r="134" spans="1:51" ht="29.25" customHeight="1" x14ac:dyDescent="0.25">
      <c r="A134" s="467"/>
      <c r="B134" s="469"/>
      <c r="C134" s="469"/>
      <c r="D134" s="159" t="s">
        <v>42</v>
      </c>
      <c r="E134" s="105">
        <v>0</v>
      </c>
      <c r="F134" s="105">
        <f t="shared" ref="F134:R135" si="127">+F130+F132</f>
        <v>0</v>
      </c>
      <c r="G134" s="105">
        <f t="shared" si="127"/>
        <v>0</v>
      </c>
      <c r="H134" s="105">
        <f t="shared" si="127"/>
        <v>0</v>
      </c>
      <c r="I134" s="105">
        <f t="shared" si="127"/>
        <v>0</v>
      </c>
      <c r="J134" s="105">
        <f t="shared" si="127"/>
        <v>0</v>
      </c>
      <c r="K134" s="105">
        <f t="shared" si="127"/>
        <v>0</v>
      </c>
      <c r="L134" s="105">
        <f t="shared" si="127"/>
        <v>0</v>
      </c>
      <c r="M134" s="105">
        <f t="shared" si="127"/>
        <v>0</v>
      </c>
      <c r="N134" s="105">
        <f t="shared" si="127"/>
        <v>0</v>
      </c>
      <c r="O134" s="105">
        <f t="shared" si="127"/>
        <v>0</v>
      </c>
      <c r="P134" s="105">
        <f t="shared" si="127"/>
        <v>0</v>
      </c>
      <c r="Q134" s="105">
        <f t="shared" si="127"/>
        <v>0</v>
      </c>
      <c r="R134" s="105">
        <f t="shared" si="127"/>
        <v>0</v>
      </c>
      <c r="S134" s="105"/>
      <c r="T134" s="105">
        <f t="shared" ref="T134:AE135" si="128">+T130+T132</f>
        <v>0</v>
      </c>
      <c r="U134" s="105">
        <f t="shared" ref="U134" si="129">+U130+U132</f>
        <v>9</v>
      </c>
      <c r="V134" s="105">
        <f t="shared" ref="V134" si="130">+V130+V132</f>
        <v>17</v>
      </c>
      <c r="W134" s="105">
        <f t="shared" si="128"/>
        <v>0</v>
      </c>
      <c r="X134" s="105">
        <f t="shared" si="128"/>
        <v>0</v>
      </c>
      <c r="Y134" s="105">
        <f t="shared" si="128"/>
        <v>0</v>
      </c>
      <c r="Z134" s="105">
        <f t="shared" si="128"/>
        <v>0</v>
      </c>
      <c r="AA134" s="105">
        <f t="shared" si="128"/>
        <v>0</v>
      </c>
      <c r="AB134" s="105">
        <f t="shared" si="128"/>
        <v>0</v>
      </c>
      <c r="AC134" s="105">
        <f t="shared" si="128"/>
        <v>0</v>
      </c>
      <c r="AD134" s="105">
        <f t="shared" si="128"/>
        <v>0</v>
      </c>
      <c r="AE134" s="105">
        <f t="shared" si="128"/>
        <v>0</v>
      </c>
      <c r="AF134" s="209"/>
      <c r="AG134" s="361"/>
      <c r="AH134" s="361"/>
      <c r="AI134" s="361"/>
      <c r="AJ134" s="361"/>
      <c r="AK134" s="361"/>
      <c r="AL134" s="361"/>
      <c r="AM134" s="361"/>
      <c r="AN134" s="361"/>
      <c r="AO134" s="463"/>
      <c r="AP134" s="465"/>
      <c r="AQ134" s="361"/>
      <c r="AR134" s="361"/>
      <c r="AS134" s="361"/>
      <c r="AT134" s="361"/>
      <c r="AU134" s="361"/>
      <c r="AV134" s="361"/>
      <c r="AW134" s="361"/>
      <c r="AX134" s="459"/>
      <c r="AY134" s="461"/>
    </row>
    <row r="135" spans="1:51" ht="29.25" customHeight="1" x14ac:dyDescent="0.25">
      <c r="A135" s="467"/>
      <c r="B135" s="469"/>
      <c r="C135" s="453"/>
      <c r="D135" s="158" t="s">
        <v>44</v>
      </c>
      <c r="E135" s="137">
        <v>0</v>
      </c>
      <c r="F135" s="137">
        <f t="shared" si="127"/>
        <v>0</v>
      </c>
      <c r="G135" s="137">
        <f t="shared" si="127"/>
        <v>0</v>
      </c>
      <c r="H135" s="137">
        <f t="shared" si="127"/>
        <v>0</v>
      </c>
      <c r="I135" s="137">
        <f t="shared" si="127"/>
        <v>0</v>
      </c>
      <c r="J135" s="137">
        <f t="shared" si="127"/>
        <v>0</v>
      </c>
      <c r="K135" s="137">
        <f t="shared" si="127"/>
        <v>0</v>
      </c>
      <c r="L135" s="137">
        <f t="shared" si="127"/>
        <v>0</v>
      </c>
      <c r="M135" s="137">
        <f t="shared" si="127"/>
        <v>0</v>
      </c>
      <c r="N135" s="137">
        <f t="shared" si="127"/>
        <v>0</v>
      </c>
      <c r="O135" s="137">
        <f t="shared" si="127"/>
        <v>0</v>
      </c>
      <c r="P135" s="137">
        <f t="shared" si="127"/>
        <v>0</v>
      </c>
      <c r="Q135" s="137">
        <f t="shared" si="127"/>
        <v>0</v>
      </c>
      <c r="R135" s="137">
        <f t="shared" si="127"/>
        <v>0</v>
      </c>
      <c r="S135" s="137"/>
      <c r="T135" s="137">
        <f t="shared" si="128"/>
        <v>0</v>
      </c>
      <c r="U135" s="137">
        <f t="shared" ref="U135" si="131">+U131+U133</f>
        <v>0</v>
      </c>
      <c r="V135" s="137">
        <f t="shared" ref="V135" si="132">+V131+V133</f>
        <v>0</v>
      </c>
      <c r="W135" s="137">
        <f t="shared" si="128"/>
        <v>0</v>
      </c>
      <c r="X135" s="137">
        <f t="shared" si="128"/>
        <v>0</v>
      </c>
      <c r="Y135" s="137">
        <f t="shared" si="128"/>
        <v>0</v>
      </c>
      <c r="Z135" s="137">
        <f t="shared" si="128"/>
        <v>0</v>
      </c>
      <c r="AA135" s="137">
        <f t="shared" si="128"/>
        <v>0</v>
      </c>
      <c r="AB135" s="137">
        <f t="shared" si="128"/>
        <v>0</v>
      </c>
      <c r="AC135" s="137">
        <f t="shared" si="128"/>
        <v>0</v>
      </c>
      <c r="AD135" s="137">
        <f t="shared" si="128"/>
        <v>0</v>
      </c>
      <c r="AE135" s="105">
        <f t="shared" si="128"/>
        <v>0</v>
      </c>
      <c r="AF135" s="124"/>
      <c r="AG135" s="361"/>
      <c r="AH135" s="361"/>
      <c r="AI135" s="361"/>
      <c r="AJ135" s="361"/>
      <c r="AK135" s="361"/>
      <c r="AL135" s="361"/>
      <c r="AM135" s="361"/>
      <c r="AN135" s="361"/>
      <c r="AO135" s="463"/>
      <c r="AP135" s="465"/>
      <c r="AQ135" s="361"/>
      <c r="AR135" s="361"/>
      <c r="AS135" s="361"/>
      <c r="AT135" s="361"/>
      <c r="AU135" s="361"/>
      <c r="AV135" s="361"/>
      <c r="AW135" s="361"/>
      <c r="AX135" s="459"/>
      <c r="AY135" s="461"/>
    </row>
    <row r="136" spans="1:51" ht="29.25" customHeight="1" x14ac:dyDescent="0.25">
      <c r="A136" s="467"/>
      <c r="B136" s="469"/>
      <c r="C136" s="468" t="s">
        <v>516</v>
      </c>
      <c r="D136" s="159" t="s">
        <v>40</v>
      </c>
      <c r="E136" s="324">
        <v>0</v>
      </c>
      <c r="F136" s="324">
        <v>0</v>
      </c>
      <c r="G136" s="324">
        <v>0</v>
      </c>
      <c r="H136" s="324">
        <v>0</v>
      </c>
      <c r="I136" s="324">
        <v>0</v>
      </c>
      <c r="J136" s="324">
        <v>0</v>
      </c>
      <c r="K136" s="324">
        <v>0</v>
      </c>
      <c r="L136" s="324">
        <v>0</v>
      </c>
      <c r="M136" s="324">
        <v>0</v>
      </c>
      <c r="N136" s="324">
        <v>0</v>
      </c>
      <c r="O136" s="324">
        <v>0</v>
      </c>
      <c r="P136" s="324">
        <v>0</v>
      </c>
      <c r="Q136" s="324">
        <v>0</v>
      </c>
      <c r="R136" s="324">
        <v>0</v>
      </c>
      <c r="S136" s="324"/>
      <c r="T136" s="324">
        <v>0</v>
      </c>
      <c r="U136" s="324">
        <v>7</v>
      </c>
      <c r="V136" s="324">
        <f>+U136+7</f>
        <v>14</v>
      </c>
      <c r="W136" s="324"/>
      <c r="X136" s="324"/>
      <c r="Y136" s="324"/>
      <c r="Z136" s="105"/>
      <c r="AA136" s="324"/>
      <c r="AB136" s="324"/>
      <c r="AC136" s="324"/>
      <c r="AD136" s="324"/>
      <c r="AE136" s="105"/>
      <c r="AF136" s="324"/>
      <c r="AG136" s="361" t="s">
        <v>517</v>
      </c>
      <c r="AH136" s="361" t="s">
        <v>329</v>
      </c>
      <c r="AI136" s="361" t="s">
        <v>329</v>
      </c>
      <c r="AJ136" s="361" t="s">
        <v>517</v>
      </c>
      <c r="AK136" s="361" t="s">
        <v>331</v>
      </c>
      <c r="AL136" s="361" t="s">
        <v>329</v>
      </c>
      <c r="AM136" s="361" t="s">
        <v>329</v>
      </c>
      <c r="AN136" s="361" t="s">
        <v>329</v>
      </c>
      <c r="AO136" s="463">
        <v>258860</v>
      </c>
      <c r="AP136" s="465">
        <v>304313</v>
      </c>
      <c r="AQ136" s="361" t="s">
        <v>329</v>
      </c>
      <c r="AR136" s="361" t="s">
        <v>329</v>
      </c>
      <c r="AS136" s="361" t="s">
        <v>329</v>
      </c>
      <c r="AT136" s="361" t="s">
        <v>329</v>
      </c>
      <c r="AU136" s="361" t="s">
        <v>329</v>
      </c>
      <c r="AV136" s="361" t="s">
        <v>329</v>
      </c>
      <c r="AW136" s="361" t="s">
        <v>329</v>
      </c>
      <c r="AX136" s="459">
        <f>+AO136+AP136</f>
        <v>563173</v>
      </c>
      <c r="AY136" s="461"/>
    </row>
    <row r="137" spans="1:51" ht="29.25" customHeight="1" x14ac:dyDescent="0.25">
      <c r="A137" s="467"/>
      <c r="B137" s="469"/>
      <c r="C137" s="469"/>
      <c r="D137" s="158" t="s">
        <v>3</v>
      </c>
      <c r="E137" s="124">
        <v>0</v>
      </c>
      <c r="F137" s="124">
        <v>0</v>
      </c>
      <c r="G137" s="124">
        <v>0</v>
      </c>
      <c r="H137" s="124">
        <v>0</v>
      </c>
      <c r="I137" s="124">
        <v>0</v>
      </c>
      <c r="J137" s="124">
        <v>0</v>
      </c>
      <c r="K137" s="124">
        <v>0</v>
      </c>
      <c r="L137" s="124">
        <v>0</v>
      </c>
      <c r="M137" s="124">
        <v>0</v>
      </c>
      <c r="N137" s="124">
        <v>0</v>
      </c>
      <c r="O137" s="124">
        <v>0</v>
      </c>
      <c r="P137" s="124">
        <v>0</v>
      </c>
      <c r="Q137" s="124">
        <v>0</v>
      </c>
      <c r="R137" s="124">
        <v>0</v>
      </c>
      <c r="S137" s="137"/>
      <c r="T137" s="124">
        <v>0</v>
      </c>
      <c r="U137" s="124">
        <v>0</v>
      </c>
      <c r="V137" s="124">
        <v>0</v>
      </c>
      <c r="W137" s="124"/>
      <c r="X137" s="124"/>
      <c r="Y137" s="124"/>
      <c r="Z137" s="124"/>
      <c r="AA137" s="124"/>
      <c r="AB137" s="124"/>
      <c r="AC137" s="124"/>
      <c r="AD137" s="124"/>
      <c r="AE137" s="105"/>
      <c r="AF137" s="137"/>
      <c r="AG137" s="361"/>
      <c r="AH137" s="361"/>
      <c r="AI137" s="361"/>
      <c r="AJ137" s="361"/>
      <c r="AK137" s="361"/>
      <c r="AL137" s="361"/>
      <c r="AM137" s="361"/>
      <c r="AN137" s="361"/>
      <c r="AO137" s="463"/>
      <c r="AP137" s="465"/>
      <c r="AQ137" s="361"/>
      <c r="AR137" s="361"/>
      <c r="AS137" s="361"/>
      <c r="AT137" s="361"/>
      <c r="AU137" s="361"/>
      <c r="AV137" s="361"/>
      <c r="AW137" s="361"/>
      <c r="AX137" s="459"/>
      <c r="AY137" s="461"/>
    </row>
    <row r="138" spans="1:51" ht="29.25" customHeight="1" x14ac:dyDescent="0.25">
      <c r="A138" s="467"/>
      <c r="B138" s="469"/>
      <c r="C138" s="469"/>
      <c r="D138" s="159" t="s">
        <v>41</v>
      </c>
      <c r="E138" s="324">
        <v>0</v>
      </c>
      <c r="F138" s="209">
        <v>0</v>
      </c>
      <c r="G138" s="209">
        <v>0</v>
      </c>
      <c r="H138" s="209">
        <v>0</v>
      </c>
      <c r="I138" s="209">
        <v>0</v>
      </c>
      <c r="J138" s="209">
        <v>0</v>
      </c>
      <c r="K138" s="209">
        <v>0</v>
      </c>
      <c r="L138" s="209">
        <v>0</v>
      </c>
      <c r="M138" s="209">
        <v>0</v>
      </c>
      <c r="N138" s="209">
        <v>0</v>
      </c>
      <c r="O138" s="209">
        <v>0</v>
      </c>
      <c r="P138" s="209">
        <v>0</v>
      </c>
      <c r="Q138" s="209">
        <v>0</v>
      </c>
      <c r="R138" s="209">
        <v>0</v>
      </c>
      <c r="S138" s="209"/>
      <c r="T138" s="324">
        <v>0</v>
      </c>
      <c r="U138" s="324">
        <v>0</v>
      </c>
      <c r="V138" s="324">
        <v>0</v>
      </c>
      <c r="W138" s="324"/>
      <c r="X138" s="324"/>
      <c r="Y138" s="324"/>
      <c r="Z138" s="160"/>
      <c r="AA138" s="209"/>
      <c r="AB138" s="209"/>
      <c r="AC138" s="209"/>
      <c r="AD138" s="209"/>
      <c r="AE138" s="105"/>
      <c r="AF138" s="209"/>
      <c r="AG138" s="361"/>
      <c r="AH138" s="361"/>
      <c r="AI138" s="361"/>
      <c r="AJ138" s="361"/>
      <c r="AK138" s="361"/>
      <c r="AL138" s="361"/>
      <c r="AM138" s="361"/>
      <c r="AN138" s="361"/>
      <c r="AO138" s="463"/>
      <c r="AP138" s="465"/>
      <c r="AQ138" s="361"/>
      <c r="AR138" s="361"/>
      <c r="AS138" s="361"/>
      <c r="AT138" s="361"/>
      <c r="AU138" s="361"/>
      <c r="AV138" s="361"/>
      <c r="AW138" s="361"/>
      <c r="AX138" s="459"/>
      <c r="AY138" s="461"/>
    </row>
    <row r="139" spans="1:51" ht="29.25" customHeight="1" x14ac:dyDescent="0.25">
      <c r="A139" s="467"/>
      <c r="B139" s="469"/>
      <c r="C139" s="469"/>
      <c r="D139" s="158" t="s">
        <v>4</v>
      </c>
      <c r="E139" s="124">
        <v>0</v>
      </c>
      <c r="F139" s="137">
        <v>0</v>
      </c>
      <c r="G139" s="137">
        <v>0</v>
      </c>
      <c r="H139" s="137">
        <v>0</v>
      </c>
      <c r="I139" s="137">
        <v>0</v>
      </c>
      <c r="J139" s="137">
        <v>0</v>
      </c>
      <c r="K139" s="137">
        <v>0</v>
      </c>
      <c r="L139" s="137">
        <v>0</v>
      </c>
      <c r="M139" s="137">
        <v>0</v>
      </c>
      <c r="N139" s="137">
        <v>0</v>
      </c>
      <c r="O139" s="137">
        <v>0</v>
      </c>
      <c r="P139" s="137">
        <v>0</v>
      </c>
      <c r="Q139" s="137">
        <v>0</v>
      </c>
      <c r="R139" s="137">
        <v>0</v>
      </c>
      <c r="S139" s="137"/>
      <c r="T139" s="124">
        <v>0</v>
      </c>
      <c r="U139" s="124">
        <v>0</v>
      </c>
      <c r="V139" s="124">
        <v>0</v>
      </c>
      <c r="W139" s="124"/>
      <c r="X139" s="124"/>
      <c r="Y139" s="124"/>
      <c r="Z139" s="124"/>
      <c r="AA139" s="137"/>
      <c r="AB139" s="137"/>
      <c r="AC139" s="137"/>
      <c r="AD139" s="137"/>
      <c r="AE139" s="105"/>
      <c r="AF139" s="137"/>
      <c r="AG139" s="361"/>
      <c r="AH139" s="361"/>
      <c r="AI139" s="361"/>
      <c r="AJ139" s="361"/>
      <c r="AK139" s="361"/>
      <c r="AL139" s="361"/>
      <c r="AM139" s="361"/>
      <c r="AN139" s="361"/>
      <c r="AO139" s="463"/>
      <c r="AP139" s="465"/>
      <c r="AQ139" s="361"/>
      <c r="AR139" s="361"/>
      <c r="AS139" s="361"/>
      <c r="AT139" s="361"/>
      <c r="AU139" s="361"/>
      <c r="AV139" s="361"/>
      <c r="AW139" s="361"/>
      <c r="AX139" s="459"/>
      <c r="AY139" s="461"/>
    </row>
    <row r="140" spans="1:51" ht="29.25" customHeight="1" x14ac:dyDescent="0.25">
      <c r="A140" s="467"/>
      <c r="B140" s="469"/>
      <c r="C140" s="469"/>
      <c r="D140" s="159" t="s">
        <v>42</v>
      </c>
      <c r="E140" s="105">
        <v>0</v>
      </c>
      <c r="F140" s="105">
        <f t="shared" ref="F140:R141" si="133">+F136+F138</f>
        <v>0</v>
      </c>
      <c r="G140" s="105">
        <f t="shared" si="133"/>
        <v>0</v>
      </c>
      <c r="H140" s="105">
        <f t="shared" si="133"/>
        <v>0</v>
      </c>
      <c r="I140" s="105">
        <f t="shared" si="133"/>
        <v>0</v>
      </c>
      <c r="J140" s="105">
        <f t="shared" si="133"/>
        <v>0</v>
      </c>
      <c r="K140" s="105">
        <f t="shared" si="133"/>
        <v>0</v>
      </c>
      <c r="L140" s="105">
        <f t="shared" si="133"/>
        <v>0</v>
      </c>
      <c r="M140" s="105">
        <f t="shared" si="133"/>
        <v>0</v>
      </c>
      <c r="N140" s="105">
        <f t="shared" si="133"/>
        <v>0</v>
      </c>
      <c r="O140" s="105">
        <f t="shared" si="133"/>
        <v>0</v>
      </c>
      <c r="P140" s="105">
        <f t="shared" si="133"/>
        <v>0</v>
      </c>
      <c r="Q140" s="105">
        <f t="shared" si="133"/>
        <v>0</v>
      </c>
      <c r="R140" s="105">
        <f t="shared" si="133"/>
        <v>0</v>
      </c>
      <c r="S140" s="105"/>
      <c r="T140" s="105">
        <f t="shared" ref="T140:AE141" si="134">+T136+T138</f>
        <v>0</v>
      </c>
      <c r="U140" s="105">
        <f t="shared" ref="U140" si="135">+U136+U138</f>
        <v>7</v>
      </c>
      <c r="V140" s="105">
        <f t="shared" ref="V140" si="136">+V136+V138</f>
        <v>14</v>
      </c>
      <c r="W140" s="105">
        <f t="shared" si="134"/>
        <v>0</v>
      </c>
      <c r="X140" s="105">
        <f t="shared" si="134"/>
        <v>0</v>
      </c>
      <c r="Y140" s="105">
        <f t="shared" si="134"/>
        <v>0</v>
      </c>
      <c r="Z140" s="105">
        <f t="shared" si="134"/>
        <v>0</v>
      </c>
      <c r="AA140" s="105">
        <f t="shared" si="134"/>
        <v>0</v>
      </c>
      <c r="AB140" s="105">
        <f t="shared" si="134"/>
        <v>0</v>
      </c>
      <c r="AC140" s="105">
        <f t="shared" si="134"/>
        <v>0</v>
      </c>
      <c r="AD140" s="105">
        <f t="shared" si="134"/>
        <v>0</v>
      </c>
      <c r="AE140" s="105">
        <f t="shared" si="134"/>
        <v>0</v>
      </c>
      <c r="AF140" s="209"/>
      <c r="AG140" s="361"/>
      <c r="AH140" s="361"/>
      <c r="AI140" s="361"/>
      <c r="AJ140" s="361"/>
      <c r="AK140" s="361"/>
      <c r="AL140" s="361"/>
      <c r="AM140" s="361"/>
      <c r="AN140" s="361"/>
      <c r="AO140" s="463"/>
      <c r="AP140" s="465"/>
      <c r="AQ140" s="361"/>
      <c r="AR140" s="361"/>
      <c r="AS140" s="361"/>
      <c r="AT140" s="361"/>
      <c r="AU140" s="361"/>
      <c r="AV140" s="361"/>
      <c r="AW140" s="361"/>
      <c r="AX140" s="459"/>
      <c r="AY140" s="461"/>
    </row>
    <row r="141" spans="1:51" ht="29.25" customHeight="1" x14ac:dyDescent="0.25">
      <c r="A141" s="467"/>
      <c r="B141" s="469"/>
      <c r="C141" s="453"/>
      <c r="D141" s="158" t="s">
        <v>44</v>
      </c>
      <c r="E141" s="137">
        <v>0</v>
      </c>
      <c r="F141" s="137">
        <f t="shared" si="133"/>
        <v>0</v>
      </c>
      <c r="G141" s="137">
        <f t="shared" si="133"/>
        <v>0</v>
      </c>
      <c r="H141" s="137">
        <f t="shared" si="133"/>
        <v>0</v>
      </c>
      <c r="I141" s="137">
        <f t="shared" si="133"/>
        <v>0</v>
      </c>
      <c r="J141" s="137">
        <f t="shared" si="133"/>
        <v>0</v>
      </c>
      <c r="K141" s="137">
        <f t="shared" si="133"/>
        <v>0</v>
      </c>
      <c r="L141" s="137">
        <f t="shared" si="133"/>
        <v>0</v>
      </c>
      <c r="M141" s="137">
        <f t="shared" si="133"/>
        <v>0</v>
      </c>
      <c r="N141" s="137">
        <f t="shared" si="133"/>
        <v>0</v>
      </c>
      <c r="O141" s="137">
        <f t="shared" si="133"/>
        <v>0</v>
      </c>
      <c r="P141" s="137">
        <f t="shared" si="133"/>
        <v>0</v>
      </c>
      <c r="Q141" s="137">
        <f t="shared" si="133"/>
        <v>0</v>
      </c>
      <c r="R141" s="137">
        <f t="shared" si="133"/>
        <v>0</v>
      </c>
      <c r="S141" s="137"/>
      <c r="T141" s="137">
        <f t="shared" si="134"/>
        <v>0</v>
      </c>
      <c r="U141" s="137">
        <f t="shared" ref="U141" si="137">+U137+U139</f>
        <v>0</v>
      </c>
      <c r="V141" s="137">
        <f t="shared" ref="V141" si="138">+V137+V139</f>
        <v>0</v>
      </c>
      <c r="W141" s="137">
        <f t="shared" si="134"/>
        <v>0</v>
      </c>
      <c r="X141" s="137">
        <f t="shared" si="134"/>
        <v>0</v>
      </c>
      <c r="Y141" s="137">
        <f t="shared" si="134"/>
        <v>0</v>
      </c>
      <c r="Z141" s="137">
        <f t="shared" si="134"/>
        <v>0</v>
      </c>
      <c r="AA141" s="137">
        <f t="shared" si="134"/>
        <v>0</v>
      </c>
      <c r="AB141" s="137">
        <f t="shared" si="134"/>
        <v>0</v>
      </c>
      <c r="AC141" s="137">
        <f t="shared" si="134"/>
        <v>0</v>
      </c>
      <c r="AD141" s="137">
        <f t="shared" si="134"/>
        <v>0</v>
      </c>
      <c r="AE141" s="105">
        <f t="shared" si="134"/>
        <v>0</v>
      </c>
      <c r="AF141" s="124"/>
      <c r="AG141" s="361"/>
      <c r="AH141" s="361"/>
      <c r="AI141" s="361"/>
      <c r="AJ141" s="361"/>
      <c r="AK141" s="361"/>
      <c r="AL141" s="361"/>
      <c r="AM141" s="361"/>
      <c r="AN141" s="361"/>
      <c r="AO141" s="463"/>
      <c r="AP141" s="465"/>
      <c r="AQ141" s="361"/>
      <c r="AR141" s="361"/>
      <c r="AS141" s="361"/>
      <c r="AT141" s="361"/>
      <c r="AU141" s="361"/>
      <c r="AV141" s="361"/>
      <c r="AW141" s="361"/>
      <c r="AX141" s="459"/>
      <c r="AY141" s="461"/>
    </row>
    <row r="142" spans="1:51" ht="29.25" customHeight="1" x14ac:dyDescent="0.25">
      <c r="A142" s="467"/>
      <c r="B142" s="469"/>
      <c r="C142" s="468" t="s">
        <v>518</v>
      </c>
      <c r="D142" s="159" t="s">
        <v>40</v>
      </c>
      <c r="E142" s="324">
        <v>0</v>
      </c>
      <c r="F142" s="324">
        <v>0</v>
      </c>
      <c r="G142" s="324">
        <v>0</v>
      </c>
      <c r="H142" s="324">
        <v>0</v>
      </c>
      <c r="I142" s="324">
        <v>0</v>
      </c>
      <c r="J142" s="324">
        <v>0</v>
      </c>
      <c r="K142" s="324">
        <v>0</v>
      </c>
      <c r="L142" s="324">
        <v>0</v>
      </c>
      <c r="M142" s="324">
        <v>0</v>
      </c>
      <c r="N142" s="324">
        <v>0</v>
      </c>
      <c r="O142" s="324">
        <v>0</v>
      </c>
      <c r="P142" s="324">
        <v>0</v>
      </c>
      <c r="Q142" s="324">
        <v>0</v>
      </c>
      <c r="R142" s="324">
        <v>0</v>
      </c>
      <c r="S142" s="324"/>
      <c r="T142" s="324">
        <v>0</v>
      </c>
      <c r="U142" s="324">
        <v>0</v>
      </c>
      <c r="V142" s="324">
        <v>1</v>
      </c>
      <c r="W142" s="324"/>
      <c r="X142" s="324"/>
      <c r="Y142" s="324"/>
      <c r="Z142" s="105"/>
      <c r="AA142" s="324"/>
      <c r="AB142" s="324"/>
      <c r="AC142" s="324"/>
      <c r="AD142" s="324"/>
      <c r="AE142" s="105"/>
      <c r="AF142" s="324"/>
      <c r="AG142" s="361" t="s">
        <v>519</v>
      </c>
      <c r="AH142" s="361" t="s">
        <v>329</v>
      </c>
      <c r="AI142" s="361" t="s">
        <v>329</v>
      </c>
      <c r="AJ142" s="361" t="s">
        <v>519</v>
      </c>
      <c r="AK142" s="361" t="s">
        <v>331</v>
      </c>
      <c r="AL142" s="361" t="s">
        <v>329</v>
      </c>
      <c r="AM142" s="361" t="s">
        <v>329</v>
      </c>
      <c r="AN142" s="361" t="s">
        <v>329</v>
      </c>
      <c r="AO142" s="463">
        <v>183453</v>
      </c>
      <c r="AP142" s="465">
        <v>193441</v>
      </c>
      <c r="AQ142" s="361" t="s">
        <v>329</v>
      </c>
      <c r="AR142" s="361" t="s">
        <v>329</v>
      </c>
      <c r="AS142" s="361" t="s">
        <v>329</v>
      </c>
      <c r="AT142" s="361" t="s">
        <v>329</v>
      </c>
      <c r="AU142" s="361" t="s">
        <v>329</v>
      </c>
      <c r="AV142" s="361" t="s">
        <v>329</v>
      </c>
      <c r="AW142" s="361" t="s">
        <v>329</v>
      </c>
      <c r="AX142" s="459">
        <f>+AO142+AP142</f>
        <v>376894</v>
      </c>
      <c r="AY142" s="461"/>
    </row>
    <row r="143" spans="1:51" ht="29.25" customHeight="1" x14ac:dyDescent="0.25">
      <c r="A143" s="467"/>
      <c r="B143" s="469"/>
      <c r="C143" s="469"/>
      <c r="D143" s="158" t="s">
        <v>3</v>
      </c>
      <c r="E143" s="124">
        <v>0</v>
      </c>
      <c r="F143" s="124">
        <v>0</v>
      </c>
      <c r="G143" s="124">
        <v>0</v>
      </c>
      <c r="H143" s="124">
        <v>0</v>
      </c>
      <c r="I143" s="124">
        <v>0</v>
      </c>
      <c r="J143" s="124">
        <v>0</v>
      </c>
      <c r="K143" s="124">
        <v>0</v>
      </c>
      <c r="L143" s="124">
        <v>0</v>
      </c>
      <c r="M143" s="124">
        <v>0</v>
      </c>
      <c r="N143" s="124">
        <v>0</v>
      </c>
      <c r="O143" s="124">
        <v>0</v>
      </c>
      <c r="P143" s="124">
        <v>0</v>
      </c>
      <c r="Q143" s="124">
        <v>0</v>
      </c>
      <c r="R143" s="124">
        <v>0</v>
      </c>
      <c r="S143" s="137"/>
      <c r="T143" s="124">
        <v>0</v>
      </c>
      <c r="U143" s="124">
        <v>0</v>
      </c>
      <c r="V143" s="124">
        <v>0</v>
      </c>
      <c r="W143" s="124"/>
      <c r="X143" s="124"/>
      <c r="Y143" s="124"/>
      <c r="Z143" s="124"/>
      <c r="AA143" s="124"/>
      <c r="AB143" s="124"/>
      <c r="AC143" s="124"/>
      <c r="AD143" s="124"/>
      <c r="AE143" s="105"/>
      <c r="AF143" s="137"/>
      <c r="AG143" s="361"/>
      <c r="AH143" s="361"/>
      <c r="AI143" s="361"/>
      <c r="AJ143" s="361"/>
      <c r="AK143" s="361"/>
      <c r="AL143" s="361"/>
      <c r="AM143" s="361"/>
      <c r="AN143" s="361"/>
      <c r="AO143" s="463"/>
      <c r="AP143" s="465"/>
      <c r="AQ143" s="361"/>
      <c r="AR143" s="361"/>
      <c r="AS143" s="361"/>
      <c r="AT143" s="361"/>
      <c r="AU143" s="361"/>
      <c r="AV143" s="361"/>
      <c r="AW143" s="361"/>
      <c r="AX143" s="459"/>
      <c r="AY143" s="461"/>
    </row>
    <row r="144" spans="1:51" ht="29.25" customHeight="1" x14ac:dyDescent="0.25">
      <c r="A144" s="467"/>
      <c r="B144" s="469"/>
      <c r="C144" s="469"/>
      <c r="D144" s="159" t="s">
        <v>41</v>
      </c>
      <c r="E144" s="324">
        <v>0</v>
      </c>
      <c r="F144" s="209">
        <v>0</v>
      </c>
      <c r="G144" s="209">
        <v>0</v>
      </c>
      <c r="H144" s="209">
        <v>0</v>
      </c>
      <c r="I144" s="209">
        <v>0</v>
      </c>
      <c r="J144" s="209">
        <v>0</v>
      </c>
      <c r="K144" s="209">
        <v>0</v>
      </c>
      <c r="L144" s="209">
        <v>0</v>
      </c>
      <c r="M144" s="209">
        <v>0</v>
      </c>
      <c r="N144" s="209">
        <v>0</v>
      </c>
      <c r="O144" s="209">
        <v>0</v>
      </c>
      <c r="P144" s="209">
        <v>0</v>
      </c>
      <c r="Q144" s="209">
        <v>0</v>
      </c>
      <c r="R144" s="209">
        <v>0</v>
      </c>
      <c r="S144" s="209"/>
      <c r="T144" s="324">
        <v>0</v>
      </c>
      <c r="U144" s="324">
        <v>0</v>
      </c>
      <c r="V144" s="324">
        <v>0</v>
      </c>
      <c r="W144" s="324"/>
      <c r="X144" s="324"/>
      <c r="Y144" s="324"/>
      <c r="Z144" s="160"/>
      <c r="AA144" s="209"/>
      <c r="AB144" s="209"/>
      <c r="AC144" s="209"/>
      <c r="AD144" s="209"/>
      <c r="AE144" s="105"/>
      <c r="AF144" s="209"/>
      <c r="AG144" s="361"/>
      <c r="AH144" s="361"/>
      <c r="AI144" s="361"/>
      <c r="AJ144" s="361"/>
      <c r="AK144" s="361"/>
      <c r="AL144" s="361"/>
      <c r="AM144" s="361"/>
      <c r="AN144" s="361"/>
      <c r="AO144" s="463"/>
      <c r="AP144" s="465"/>
      <c r="AQ144" s="361"/>
      <c r="AR144" s="361"/>
      <c r="AS144" s="361"/>
      <c r="AT144" s="361"/>
      <c r="AU144" s="361"/>
      <c r="AV144" s="361"/>
      <c r="AW144" s="361"/>
      <c r="AX144" s="459"/>
      <c r="AY144" s="461"/>
    </row>
    <row r="145" spans="1:51" ht="29.25" customHeight="1" x14ac:dyDescent="0.25">
      <c r="A145" s="467"/>
      <c r="B145" s="469"/>
      <c r="C145" s="469"/>
      <c r="D145" s="158" t="s">
        <v>4</v>
      </c>
      <c r="E145" s="124">
        <v>0</v>
      </c>
      <c r="F145" s="137">
        <v>0</v>
      </c>
      <c r="G145" s="137">
        <v>0</v>
      </c>
      <c r="H145" s="137">
        <v>0</v>
      </c>
      <c r="I145" s="137">
        <v>0</v>
      </c>
      <c r="J145" s="137">
        <v>0</v>
      </c>
      <c r="K145" s="137">
        <v>0</v>
      </c>
      <c r="L145" s="137">
        <v>0</v>
      </c>
      <c r="M145" s="137">
        <v>0</v>
      </c>
      <c r="N145" s="137">
        <v>0</v>
      </c>
      <c r="O145" s="137">
        <v>0</v>
      </c>
      <c r="P145" s="137">
        <v>0</v>
      </c>
      <c r="Q145" s="137">
        <v>0</v>
      </c>
      <c r="R145" s="137">
        <v>0</v>
      </c>
      <c r="S145" s="137"/>
      <c r="T145" s="124">
        <v>0</v>
      </c>
      <c r="U145" s="124">
        <v>0</v>
      </c>
      <c r="V145" s="124">
        <v>0</v>
      </c>
      <c r="W145" s="124"/>
      <c r="X145" s="124"/>
      <c r="Y145" s="124"/>
      <c r="Z145" s="124"/>
      <c r="AA145" s="137"/>
      <c r="AB145" s="137"/>
      <c r="AC145" s="137"/>
      <c r="AD145" s="137"/>
      <c r="AE145" s="105"/>
      <c r="AF145" s="137"/>
      <c r="AG145" s="361"/>
      <c r="AH145" s="361"/>
      <c r="AI145" s="361"/>
      <c r="AJ145" s="361"/>
      <c r="AK145" s="361"/>
      <c r="AL145" s="361"/>
      <c r="AM145" s="361"/>
      <c r="AN145" s="361"/>
      <c r="AO145" s="463"/>
      <c r="AP145" s="465"/>
      <c r="AQ145" s="361"/>
      <c r="AR145" s="361"/>
      <c r="AS145" s="361"/>
      <c r="AT145" s="361"/>
      <c r="AU145" s="361"/>
      <c r="AV145" s="361"/>
      <c r="AW145" s="361"/>
      <c r="AX145" s="459"/>
      <c r="AY145" s="461"/>
    </row>
    <row r="146" spans="1:51" ht="29.25" customHeight="1" x14ac:dyDescent="0.25">
      <c r="A146" s="467"/>
      <c r="B146" s="469"/>
      <c r="C146" s="469"/>
      <c r="D146" s="159" t="s">
        <v>42</v>
      </c>
      <c r="E146" s="105">
        <v>0</v>
      </c>
      <c r="F146" s="105">
        <f t="shared" ref="F146:R147" si="139">+F142+F144</f>
        <v>0</v>
      </c>
      <c r="G146" s="105">
        <f t="shared" si="139"/>
        <v>0</v>
      </c>
      <c r="H146" s="105">
        <f t="shared" si="139"/>
        <v>0</v>
      </c>
      <c r="I146" s="105">
        <f t="shared" si="139"/>
        <v>0</v>
      </c>
      <c r="J146" s="105">
        <f t="shared" si="139"/>
        <v>0</v>
      </c>
      <c r="K146" s="105">
        <f t="shared" si="139"/>
        <v>0</v>
      </c>
      <c r="L146" s="105">
        <f t="shared" si="139"/>
        <v>0</v>
      </c>
      <c r="M146" s="105">
        <f t="shared" si="139"/>
        <v>0</v>
      </c>
      <c r="N146" s="105">
        <f t="shared" si="139"/>
        <v>0</v>
      </c>
      <c r="O146" s="105">
        <f t="shared" si="139"/>
        <v>0</v>
      </c>
      <c r="P146" s="105">
        <f t="shared" si="139"/>
        <v>0</v>
      </c>
      <c r="Q146" s="105">
        <f t="shared" si="139"/>
        <v>0</v>
      </c>
      <c r="R146" s="105">
        <f t="shared" si="139"/>
        <v>0</v>
      </c>
      <c r="S146" s="105"/>
      <c r="T146" s="105">
        <f t="shared" ref="T146:AE147" si="140">+T142+T144</f>
        <v>0</v>
      </c>
      <c r="U146" s="105">
        <f t="shared" ref="U146" si="141">+U142+U144</f>
        <v>0</v>
      </c>
      <c r="V146" s="105">
        <f t="shared" ref="V146" si="142">+V142+V144</f>
        <v>1</v>
      </c>
      <c r="W146" s="105">
        <f t="shared" si="140"/>
        <v>0</v>
      </c>
      <c r="X146" s="105">
        <f t="shared" si="140"/>
        <v>0</v>
      </c>
      <c r="Y146" s="105">
        <f t="shared" si="140"/>
        <v>0</v>
      </c>
      <c r="Z146" s="105">
        <f t="shared" si="140"/>
        <v>0</v>
      </c>
      <c r="AA146" s="105">
        <f t="shared" si="140"/>
        <v>0</v>
      </c>
      <c r="AB146" s="105">
        <f t="shared" si="140"/>
        <v>0</v>
      </c>
      <c r="AC146" s="105">
        <f t="shared" si="140"/>
        <v>0</v>
      </c>
      <c r="AD146" s="105">
        <f t="shared" si="140"/>
        <v>0</v>
      </c>
      <c r="AE146" s="105">
        <f t="shared" si="140"/>
        <v>0</v>
      </c>
      <c r="AF146" s="209"/>
      <c r="AG146" s="361"/>
      <c r="AH146" s="361"/>
      <c r="AI146" s="361"/>
      <c r="AJ146" s="361"/>
      <c r="AK146" s="361"/>
      <c r="AL146" s="361"/>
      <c r="AM146" s="361"/>
      <c r="AN146" s="361"/>
      <c r="AO146" s="463"/>
      <c r="AP146" s="465"/>
      <c r="AQ146" s="361"/>
      <c r="AR146" s="361"/>
      <c r="AS146" s="361"/>
      <c r="AT146" s="361"/>
      <c r="AU146" s="361"/>
      <c r="AV146" s="361"/>
      <c r="AW146" s="361"/>
      <c r="AX146" s="459"/>
      <c r="AY146" s="461"/>
    </row>
    <row r="147" spans="1:51" ht="29.25" customHeight="1" x14ac:dyDescent="0.25">
      <c r="A147" s="467"/>
      <c r="B147" s="469"/>
      <c r="C147" s="453"/>
      <c r="D147" s="158" t="s">
        <v>44</v>
      </c>
      <c r="E147" s="137">
        <v>0</v>
      </c>
      <c r="F147" s="137">
        <f t="shared" si="139"/>
        <v>0</v>
      </c>
      <c r="G147" s="137">
        <f t="shared" si="139"/>
        <v>0</v>
      </c>
      <c r="H147" s="137">
        <f t="shared" si="139"/>
        <v>0</v>
      </c>
      <c r="I147" s="137">
        <f t="shared" si="139"/>
        <v>0</v>
      </c>
      <c r="J147" s="137">
        <f t="shared" si="139"/>
        <v>0</v>
      </c>
      <c r="K147" s="137">
        <f t="shared" si="139"/>
        <v>0</v>
      </c>
      <c r="L147" s="137">
        <f t="shared" si="139"/>
        <v>0</v>
      </c>
      <c r="M147" s="137">
        <f t="shared" si="139"/>
        <v>0</v>
      </c>
      <c r="N147" s="137">
        <f t="shared" si="139"/>
        <v>0</v>
      </c>
      <c r="O147" s="137">
        <f t="shared" si="139"/>
        <v>0</v>
      </c>
      <c r="P147" s="137">
        <f t="shared" si="139"/>
        <v>0</v>
      </c>
      <c r="Q147" s="137">
        <f t="shared" si="139"/>
        <v>0</v>
      </c>
      <c r="R147" s="137">
        <f t="shared" si="139"/>
        <v>0</v>
      </c>
      <c r="S147" s="137"/>
      <c r="T147" s="137">
        <f t="shared" si="140"/>
        <v>0</v>
      </c>
      <c r="U147" s="137">
        <f t="shared" ref="U147" si="143">+U143+U145</f>
        <v>0</v>
      </c>
      <c r="V147" s="137">
        <f t="shared" ref="V147" si="144">+V143+V145</f>
        <v>0</v>
      </c>
      <c r="W147" s="137">
        <f t="shared" si="140"/>
        <v>0</v>
      </c>
      <c r="X147" s="137">
        <f t="shared" si="140"/>
        <v>0</v>
      </c>
      <c r="Y147" s="137">
        <f t="shared" si="140"/>
        <v>0</v>
      </c>
      <c r="Z147" s="137">
        <f t="shared" si="140"/>
        <v>0</v>
      </c>
      <c r="AA147" s="137">
        <f t="shared" si="140"/>
        <v>0</v>
      </c>
      <c r="AB147" s="137">
        <f t="shared" si="140"/>
        <v>0</v>
      </c>
      <c r="AC147" s="137">
        <f t="shared" si="140"/>
        <v>0</v>
      </c>
      <c r="AD147" s="137">
        <f t="shared" si="140"/>
        <v>0</v>
      </c>
      <c r="AE147" s="105">
        <f t="shared" si="140"/>
        <v>0</v>
      </c>
      <c r="AF147" s="124"/>
      <c r="AG147" s="361"/>
      <c r="AH147" s="361"/>
      <c r="AI147" s="361"/>
      <c r="AJ147" s="361"/>
      <c r="AK147" s="361"/>
      <c r="AL147" s="361"/>
      <c r="AM147" s="361"/>
      <c r="AN147" s="361"/>
      <c r="AO147" s="463"/>
      <c r="AP147" s="465"/>
      <c r="AQ147" s="361"/>
      <c r="AR147" s="361"/>
      <c r="AS147" s="361"/>
      <c r="AT147" s="361"/>
      <c r="AU147" s="361"/>
      <c r="AV147" s="361"/>
      <c r="AW147" s="361"/>
      <c r="AX147" s="459"/>
      <c r="AY147" s="461"/>
    </row>
    <row r="148" spans="1:51" ht="29.25" customHeight="1" x14ac:dyDescent="0.25">
      <c r="A148" s="467"/>
      <c r="B148" s="469"/>
      <c r="C148" s="456" t="s">
        <v>520</v>
      </c>
      <c r="D148" s="159" t="s">
        <v>40</v>
      </c>
      <c r="E148" s="324">
        <f>+INVERSIÓN!BF31</f>
        <v>1272</v>
      </c>
      <c r="F148" s="324">
        <f>+E148</f>
        <v>1272</v>
      </c>
      <c r="G148" s="324">
        <f>+INVERSIÓN!$CH$31</f>
        <v>1272</v>
      </c>
      <c r="H148" s="324">
        <f>+INVERSIÓN!$CH$31</f>
        <v>1272</v>
      </c>
      <c r="I148" s="324">
        <f>+INVERSIÓN!$CH$31</f>
        <v>1272</v>
      </c>
      <c r="J148" s="324">
        <f>+INVERSIÓN!$CH$31</f>
        <v>1272</v>
      </c>
      <c r="K148" s="324">
        <f>+INVERSIÓN!$CH$31</f>
        <v>1272</v>
      </c>
      <c r="L148" s="324">
        <f>+INVERSIÓN!$CH$31</f>
        <v>1272</v>
      </c>
      <c r="M148" s="324">
        <f>+INVERSIÓN!$CH$31</f>
        <v>1272</v>
      </c>
      <c r="N148" s="324">
        <f>+INVERSIÓN!$CH$31</f>
        <v>1272</v>
      </c>
      <c r="O148" s="324">
        <f>+INVERSIÓN!$CH$31</f>
        <v>1272</v>
      </c>
      <c r="P148" s="324">
        <f>+INVERSIÓN!$CH$31</f>
        <v>1272</v>
      </c>
      <c r="Q148" s="324">
        <f>+INVERSIÓN!$CH$31</f>
        <v>1272</v>
      </c>
      <c r="R148" s="324">
        <f>+INVERSIÓN!$CH$31</f>
        <v>1272</v>
      </c>
      <c r="S148" s="324"/>
      <c r="T148" s="324">
        <f>+INVERSIÓN!BH31</f>
        <v>11</v>
      </c>
      <c r="U148" s="324">
        <v>23</v>
      </c>
      <c r="V148" s="324">
        <f>+T148+U148+23</f>
        <v>57</v>
      </c>
      <c r="W148" s="324"/>
      <c r="X148" s="324"/>
      <c r="Y148" s="324"/>
      <c r="Z148" s="105"/>
      <c r="AA148" s="324"/>
      <c r="AB148" s="324"/>
      <c r="AC148" s="324"/>
      <c r="AD148" s="324"/>
      <c r="AE148" s="105"/>
      <c r="AF148" s="324"/>
      <c r="AG148" s="361" t="s">
        <v>328</v>
      </c>
      <c r="AH148" s="361" t="s">
        <v>329</v>
      </c>
      <c r="AI148" s="361" t="s">
        <v>329</v>
      </c>
      <c r="AJ148" s="361" t="s">
        <v>331</v>
      </c>
      <c r="AK148" s="361" t="s">
        <v>331</v>
      </c>
      <c r="AL148" s="361" t="s">
        <v>329</v>
      </c>
      <c r="AM148" s="361" t="s">
        <v>329</v>
      </c>
      <c r="AN148" s="361" t="s">
        <v>329</v>
      </c>
      <c r="AO148" s="463">
        <v>3721767</v>
      </c>
      <c r="AP148" s="465">
        <v>4082893</v>
      </c>
      <c r="AQ148" s="361" t="s">
        <v>329</v>
      </c>
      <c r="AR148" s="361" t="s">
        <v>329</v>
      </c>
      <c r="AS148" s="361" t="s">
        <v>329</v>
      </c>
      <c r="AT148" s="361" t="s">
        <v>329</v>
      </c>
      <c r="AU148" s="361" t="s">
        <v>329</v>
      </c>
      <c r="AV148" s="361" t="s">
        <v>329</v>
      </c>
      <c r="AW148" s="361" t="s">
        <v>329</v>
      </c>
      <c r="AX148" s="459">
        <f>+AO148+AP148</f>
        <v>7804660</v>
      </c>
      <c r="AY148" s="461"/>
    </row>
    <row r="149" spans="1:51" ht="29.25" customHeight="1" x14ac:dyDescent="0.25">
      <c r="A149" s="467"/>
      <c r="B149" s="469"/>
      <c r="C149" s="456"/>
      <c r="D149" s="158" t="s">
        <v>3</v>
      </c>
      <c r="E149" s="124">
        <f>+INVERSIÓN!BF32</f>
        <v>1617058000</v>
      </c>
      <c r="F149" s="124">
        <f t="shared" ref="F149:F151" si="145">+E149</f>
        <v>1617058000</v>
      </c>
      <c r="G149" s="124">
        <f>+INVERSIÓN!$CH$32</f>
        <v>1617058000</v>
      </c>
      <c r="H149" s="124">
        <f>+INVERSIÓN!$CH$32</f>
        <v>1617058000</v>
      </c>
      <c r="I149" s="124">
        <f>+INVERSIÓN!$CH$32</f>
        <v>1617058000</v>
      </c>
      <c r="J149" s="124">
        <f>+INVERSIÓN!$CH$32</f>
        <v>1617058000</v>
      </c>
      <c r="K149" s="124">
        <f>+INVERSIÓN!$CH$32</f>
        <v>1617058000</v>
      </c>
      <c r="L149" s="124">
        <f>+INVERSIÓN!$CH$32</f>
        <v>1617058000</v>
      </c>
      <c r="M149" s="124">
        <f>+INVERSIÓN!$CH$32</f>
        <v>1617058000</v>
      </c>
      <c r="N149" s="124">
        <f>+INVERSIÓN!$CH$32</f>
        <v>1617058000</v>
      </c>
      <c r="O149" s="124">
        <f>+INVERSIÓN!$CH$32</f>
        <v>1617058000</v>
      </c>
      <c r="P149" s="124">
        <f>+INVERSIÓN!$CH$32</f>
        <v>1617058000</v>
      </c>
      <c r="Q149" s="124">
        <f>+INVERSIÓN!$CH$32</f>
        <v>1617058000</v>
      </c>
      <c r="R149" s="124">
        <f>+INVERSIÓN!$CH$32</f>
        <v>1617058000</v>
      </c>
      <c r="S149" s="137"/>
      <c r="T149" s="124">
        <f>+INVERSIÓN!BH32</f>
        <v>1097940000</v>
      </c>
      <c r="U149" s="124">
        <f>+INVERSIÓN!BJ32</f>
        <v>0</v>
      </c>
      <c r="V149" s="124">
        <f>INVERSIÓN!CI32</f>
        <v>1097940000</v>
      </c>
      <c r="W149" s="124"/>
      <c r="X149" s="124"/>
      <c r="Y149" s="124"/>
      <c r="Z149" s="124"/>
      <c r="AA149" s="124"/>
      <c r="AB149" s="124"/>
      <c r="AC149" s="124"/>
      <c r="AD149" s="324"/>
      <c r="AE149" s="105"/>
      <c r="AF149" s="137"/>
      <c r="AG149" s="361"/>
      <c r="AH149" s="361"/>
      <c r="AI149" s="361"/>
      <c r="AJ149" s="361"/>
      <c r="AK149" s="361"/>
      <c r="AL149" s="361"/>
      <c r="AM149" s="361"/>
      <c r="AN149" s="361"/>
      <c r="AO149" s="463"/>
      <c r="AP149" s="465"/>
      <c r="AQ149" s="361"/>
      <c r="AR149" s="361"/>
      <c r="AS149" s="361"/>
      <c r="AT149" s="361"/>
      <c r="AU149" s="361"/>
      <c r="AV149" s="361"/>
      <c r="AW149" s="361"/>
      <c r="AX149" s="459"/>
      <c r="AY149" s="461"/>
    </row>
    <row r="150" spans="1:51" ht="29.25" customHeight="1" x14ac:dyDescent="0.25">
      <c r="A150" s="467"/>
      <c r="B150" s="469"/>
      <c r="C150" s="456"/>
      <c r="D150" s="159" t="s">
        <v>41</v>
      </c>
      <c r="E150" s="324">
        <f>+INVERSIÓN!BF34</f>
        <v>0</v>
      </c>
      <c r="F150" s="324">
        <f t="shared" si="145"/>
        <v>0</v>
      </c>
      <c r="G150" s="324">
        <f>+INVERSIÓN!$CH$34</f>
        <v>0</v>
      </c>
      <c r="H150" s="324">
        <f>+INVERSIÓN!$CH$34</f>
        <v>0</v>
      </c>
      <c r="I150" s="324">
        <f>+INVERSIÓN!$CH$34</f>
        <v>0</v>
      </c>
      <c r="J150" s="324">
        <f>+INVERSIÓN!$CH$34</f>
        <v>0</v>
      </c>
      <c r="K150" s="324">
        <f>+INVERSIÓN!$CH$34</f>
        <v>0</v>
      </c>
      <c r="L150" s="324">
        <f>+INVERSIÓN!$CH$34</f>
        <v>0</v>
      </c>
      <c r="M150" s="324">
        <f>+INVERSIÓN!$CH$34</f>
        <v>0</v>
      </c>
      <c r="N150" s="324">
        <f>+INVERSIÓN!$CH$34</f>
        <v>0</v>
      </c>
      <c r="O150" s="324">
        <f>+INVERSIÓN!$CH$34</f>
        <v>0</v>
      </c>
      <c r="P150" s="324">
        <f>+INVERSIÓN!$CH$34</f>
        <v>0</v>
      </c>
      <c r="Q150" s="324">
        <f>+INVERSIÓN!$CH$34</f>
        <v>0</v>
      </c>
      <c r="R150" s="324">
        <f>+INVERSIÓN!$CH$34</f>
        <v>0</v>
      </c>
      <c r="S150" s="209"/>
      <c r="T150" s="324">
        <f>+INVERSIÓN!BH34</f>
        <v>0</v>
      </c>
      <c r="U150" s="324">
        <f>+INVERSIÓN!BJ34</f>
        <v>0</v>
      </c>
      <c r="V150" s="324">
        <f>+INVERSIÓN!BL34</f>
        <v>0</v>
      </c>
      <c r="W150" s="324"/>
      <c r="X150" s="324"/>
      <c r="Y150" s="324"/>
      <c r="Z150" s="160"/>
      <c r="AA150" s="209"/>
      <c r="AB150" s="209"/>
      <c r="AC150" s="209"/>
      <c r="AD150" s="209"/>
      <c r="AE150" s="105"/>
      <c r="AF150" s="209"/>
      <c r="AG150" s="361"/>
      <c r="AH150" s="361"/>
      <c r="AI150" s="361"/>
      <c r="AJ150" s="361"/>
      <c r="AK150" s="361"/>
      <c r="AL150" s="361"/>
      <c r="AM150" s="361"/>
      <c r="AN150" s="361"/>
      <c r="AO150" s="463"/>
      <c r="AP150" s="465"/>
      <c r="AQ150" s="361"/>
      <c r="AR150" s="361"/>
      <c r="AS150" s="361"/>
      <c r="AT150" s="361"/>
      <c r="AU150" s="361"/>
      <c r="AV150" s="361"/>
      <c r="AW150" s="361"/>
      <c r="AX150" s="459"/>
      <c r="AY150" s="461"/>
    </row>
    <row r="151" spans="1:51" ht="29.25" customHeight="1" x14ac:dyDescent="0.25">
      <c r="A151" s="467"/>
      <c r="B151" s="469"/>
      <c r="C151" s="456"/>
      <c r="D151" s="158" t="s">
        <v>4</v>
      </c>
      <c r="E151" s="124">
        <f>+INVERSIÓN!BF35</f>
        <v>662293058</v>
      </c>
      <c r="F151" s="124">
        <f t="shared" si="145"/>
        <v>662293058</v>
      </c>
      <c r="G151" s="124">
        <f>+INVERSIÓN!$CH$35</f>
        <v>662293058</v>
      </c>
      <c r="H151" s="124">
        <f>+INVERSIÓN!$CH$35</f>
        <v>662293058</v>
      </c>
      <c r="I151" s="124">
        <f>+INVERSIÓN!$CH$35</f>
        <v>662293058</v>
      </c>
      <c r="J151" s="124">
        <f>+INVERSIÓN!$CH$35</f>
        <v>662293058</v>
      </c>
      <c r="K151" s="124">
        <f>+INVERSIÓN!$CH$35</f>
        <v>662293058</v>
      </c>
      <c r="L151" s="124">
        <f>+INVERSIÓN!$CH$35</f>
        <v>662293058</v>
      </c>
      <c r="M151" s="124">
        <f>+INVERSIÓN!$CH$35</f>
        <v>662293058</v>
      </c>
      <c r="N151" s="124">
        <f>+INVERSIÓN!$CH$35</f>
        <v>662293058</v>
      </c>
      <c r="O151" s="124">
        <f>+INVERSIÓN!$CH$35</f>
        <v>662293058</v>
      </c>
      <c r="P151" s="124">
        <f>+INVERSIÓN!$CH$35</f>
        <v>662293058</v>
      </c>
      <c r="Q151" s="124">
        <f>+INVERSIÓN!$CH$35</f>
        <v>662293058</v>
      </c>
      <c r="R151" s="124">
        <f>+INVERSIÓN!$CH$35</f>
        <v>662293058</v>
      </c>
      <c r="S151" s="137"/>
      <c r="T151" s="124">
        <f>+INVERSIÓN!BH35</f>
        <v>0</v>
      </c>
      <c r="U151" s="124">
        <f>+INVERSIÓN!BJ35</f>
        <v>24006926</v>
      </c>
      <c r="V151" s="124">
        <f>INVERSIÓN!CI35</f>
        <v>48606926</v>
      </c>
      <c r="W151" s="124"/>
      <c r="X151" s="124"/>
      <c r="Y151" s="124"/>
      <c r="Z151" s="124"/>
      <c r="AA151" s="137"/>
      <c r="AB151" s="137"/>
      <c r="AC151" s="137"/>
      <c r="AD151" s="137"/>
      <c r="AE151" s="105"/>
      <c r="AF151" s="137"/>
      <c r="AG151" s="361"/>
      <c r="AH151" s="361"/>
      <c r="AI151" s="361"/>
      <c r="AJ151" s="361"/>
      <c r="AK151" s="361"/>
      <c r="AL151" s="361"/>
      <c r="AM151" s="361"/>
      <c r="AN151" s="361"/>
      <c r="AO151" s="463"/>
      <c r="AP151" s="465"/>
      <c r="AQ151" s="361"/>
      <c r="AR151" s="361"/>
      <c r="AS151" s="361"/>
      <c r="AT151" s="361"/>
      <c r="AU151" s="361"/>
      <c r="AV151" s="361"/>
      <c r="AW151" s="361"/>
      <c r="AX151" s="459"/>
      <c r="AY151" s="461"/>
    </row>
    <row r="152" spans="1:51" ht="29.25" customHeight="1" x14ac:dyDescent="0.25">
      <c r="A152" s="467"/>
      <c r="B152" s="469"/>
      <c r="C152" s="456"/>
      <c r="D152" s="159" t="s">
        <v>42</v>
      </c>
      <c r="E152" s="104">
        <f t="shared" ref="E152:F153" si="146">+E148+E150</f>
        <v>1272</v>
      </c>
      <c r="F152" s="104">
        <f t="shared" si="146"/>
        <v>1272</v>
      </c>
      <c r="G152" s="105">
        <f t="shared" ref="G152:R153" si="147">+G148+G150</f>
        <v>1272</v>
      </c>
      <c r="H152" s="105">
        <f t="shared" si="147"/>
        <v>1272</v>
      </c>
      <c r="I152" s="105">
        <f t="shared" si="147"/>
        <v>1272</v>
      </c>
      <c r="J152" s="105">
        <f t="shared" si="147"/>
        <v>1272</v>
      </c>
      <c r="K152" s="105">
        <f t="shared" si="147"/>
        <v>1272</v>
      </c>
      <c r="L152" s="105">
        <f t="shared" si="147"/>
        <v>1272</v>
      </c>
      <c r="M152" s="105">
        <f t="shared" si="147"/>
        <v>1272</v>
      </c>
      <c r="N152" s="105">
        <f t="shared" si="147"/>
        <v>1272</v>
      </c>
      <c r="O152" s="105">
        <f t="shared" si="147"/>
        <v>1272</v>
      </c>
      <c r="P152" s="105">
        <f t="shared" si="147"/>
        <v>1272</v>
      </c>
      <c r="Q152" s="105">
        <f t="shared" si="147"/>
        <v>1272</v>
      </c>
      <c r="R152" s="105">
        <f t="shared" si="147"/>
        <v>1272</v>
      </c>
      <c r="S152" s="105"/>
      <c r="T152" s="105">
        <f t="shared" ref="T152:AE153" si="148">+T148+T150</f>
        <v>11</v>
      </c>
      <c r="U152" s="105">
        <f t="shared" ref="U152" si="149">+U148+U150</f>
        <v>23</v>
      </c>
      <c r="V152" s="105">
        <f t="shared" ref="V152" si="150">+V148+V150</f>
        <v>57</v>
      </c>
      <c r="W152" s="105">
        <f t="shared" si="148"/>
        <v>0</v>
      </c>
      <c r="X152" s="105">
        <f t="shared" si="148"/>
        <v>0</v>
      </c>
      <c r="Y152" s="105">
        <f t="shared" si="148"/>
        <v>0</v>
      </c>
      <c r="Z152" s="105">
        <f t="shared" si="148"/>
        <v>0</v>
      </c>
      <c r="AA152" s="105">
        <f t="shared" si="148"/>
        <v>0</v>
      </c>
      <c r="AB152" s="105">
        <f t="shared" si="148"/>
        <v>0</v>
      </c>
      <c r="AC152" s="105">
        <f t="shared" si="148"/>
        <v>0</v>
      </c>
      <c r="AD152" s="105">
        <f t="shared" si="148"/>
        <v>0</v>
      </c>
      <c r="AE152" s="105">
        <f t="shared" si="148"/>
        <v>0</v>
      </c>
      <c r="AF152" s="209"/>
      <c r="AG152" s="361"/>
      <c r="AH152" s="361"/>
      <c r="AI152" s="361"/>
      <c r="AJ152" s="361"/>
      <c r="AK152" s="361"/>
      <c r="AL152" s="361"/>
      <c r="AM152" s="361"/>
      <c r="AN152" s="361"/>
      <c r="AO152" s="463"/>
      <c r="AP152" s="465"/>
      <c r="AQ152" s="361"/>
      <c r="AR152" s="361"/>
      <c r="AS152" s="361"/>
      <c r="AT152" s="361"/>
      <c r="AU152" s="361"/>
      <c r="AV152" s="361"/>
      <c r="AW152" s="361"/>
      <c r="AX152" s="459"/>
      <c r="AY152" s="461"/>
    </row>
    <row r="153" spans="1:51" ht="29.25" customHeight="1" x14ac:dyDescent="0.25">
      <c r="A153" s="451"/>
      <c r="B153" s="453"/>
      <c r="C153" s="456"/>
      <c r="D153" s="158" t="s">
        <v>44</v>
      </c>
      <c r="E153" s="137">
        <f t="shared" si="146"/>
        <v>2279351058</v>
      </c>
      <c r="F153" s="137">
        <f t="shared" si="146"/>
        <v>2279351058</v>
      </c>
      <c r="G153" s="137">
        <f t="shared" si="147"/>
        <v>2279351058</v>
      </c>
      <c r="H153" s="137">
        <f t="shared" si="147"/>
        <v>2279351058</v>
      </c>
      <c r="I153" s="137">
        <f t="shared" si="147"/>
        <v>2279351058</v>
      </c>
      <c r="J153" s="137">
        <f t="shared" si="147"/>
        <v>2279351058</v>
      </c>
      <c r="K153" s="137">
        <f t="shared" si="147"/>
        <v>2279351058</v>
      </c>
      <c r="L153" s="137">
        <f t="shared" si="147"/>
        <v>2279351058</v>
      </c>
      <c r="M153" s="137">
        <f t="shared" si="147"/>
        <v>2279351058</v>
      </c>
      <c r="N153" s="137">
        <f t="shared" si="147"/>
        <v>2279351058</v>
      </c>
      <c r="O153" s="137">
        <f t="shared" si="147"/>
        <v>2279351058</v>
      </c>
      <c r="P153" s="137">
        <f t="shared" si="147"/>
        <v>2279351058</v>
      </c>
      <c r="Q153" s="137">
        <f t="shared" si="147"/>
        <v>2279351058</v>
      </c>
      <c r="R153" s="137">
        <f t="shared" si="147"/>
        <v>2279351058</v>
      </c>
      <c r="S153" s="137"/>
      <c r="T153" s="137">
        <f t="shared" ref="T153:Z153" si="151">+T149+T151</f>
        <v>1097940000</v>
      </c>
      <c r="U153" s="137">
        <f t="shared" si="151"/>
        <v>24006926</v>
      </c>
      <c r="V153" s="137">
        <f t="shared" ref="V153" si="152">+V149+V151</f>
        <v>1146546926</v>
      </c>
      <c r="W153" s="137">
        <f t="shared" si="151"/>
        <v>0</v>
      </c>
      <c r="X153" s="137">
        <f t="shared" si="151"/>
        <v>0</v>
      </c>
      <c r="Y153" s="137">
        <f t="shared" si="151"/>
        <v>0</v>
      </c>
      <c r="Z153" s="137">
        <f t="shared" si="151"/>
        <v>0</v>
      </c>
      <c r="AA153" s="137">
        <f t="shared" si="148"/>
        <v>0</v>
      </c>
      <c r="AB153" s="137">
        <f t="shared" si="148"/>
        <v>0</v>
      </c>
      <c r="AC153" s="137">
        <f t="shared" si="148"/>
        <v>0</v>
      </c>
      <c r="AD153" s="137">
        <f t="shared" si="148"/>
        <v>0</v>
      </c>
      <c r="AE153" s="105">
        <f t="shared" si="148"/>
        <v>0</v>
      </c>
      <c r="AF153" s="124"/>
      <c r="AG153" s="361"/>
      <c r="AH153" s="361"/>
      <c r="AI153" s="361"/>
      <c r="AJ153" s="361"/>
      <c r="AK153" s="361"/>
      <c r="AL153" s="361"/>
      <c r="AM153" s="361"/>
      <c r="AN153" s="361"/>
      <c r="AO153" s="463"/>
      <c r="AP153" s="465"/>
      <c r="AQ153" s="361"/>
      <c r="AR153" s="361"/>
      <c r="AS153" s="361"/>
      <c r="AT153" s="361"/>
      <c r="AU153" s="361"/>
      <c r="AV153" s="361"/>
      <c r="AW153" s="361"/>
      <c r="AX153" s="459"/>
      <c r="AY153" s="461"/>
    </row>
    <row r="154" spans="1:51" ht="29.25" customHeight="1" x14ac:dyDescent="0.25">
      <c r="A154" s="452">
        <v>5</v>
      </c>
      <c r="B154" s="454" t="s">
        <v>323</v>
      </c>
      <c r="C154" s="456" t="s">
        <v>521</v>
      </c>
      <c r="D154" s="157" t="s">
        <v>40</v>
      </c>
      <c r="E154" s="104">
        <f>+INVERSIÓN!BF38</f>
        <v>1</v>
      </c>
      <c r="F154" s="104">
        <f>+E154</f>
        <v>1</v>
      </c>
      <c r="G154" s="104">
        <f>+INVERSIÓN!$CH$38</f>
        <v>1</v>
      </c>
      <c r="H154" s="104">
        <f>+INVERSIÓN!$CH$38</f>
        <v>1</v>
      </c>
      <c r="I154" s="104">
        <f>+INVERSIÓN!$CH$38</f>
        <v>1</v>
      </c>
      <c r="J154" s="104">
        <f>+INVERSIÓN!$CH$38</f>
        <v>1</v>
      </c>
      <c r="K154" s="104">
        <f>+INVERSIÓN!$CH$38</f>
        <v>1</v>
      </c>
      <c r="L154" s="104">
        <f>+INVERSIÓN!$CH$38</f>
        <v>1</v>
      </c>
      <c r="M154" s="104">
        <f>+INVERSIÓN!$CH$38</f>
        <v>1</v>
      </c>
      <c r="N154" s="104">
        <f>+INVERSIÓN!$CH$38</f>
        <v>1</v>
      </c>
      <c r="O154" s="104">
        <f>+INVERSIÓN!$CH$38</f>
        <v>1</v>
      </c>
      <c r="P154" s="104">
        <f>+INVERSIÓN!$CH$38</f>
        <v>1</v>
      </c>
      <c r="Q154" s="104">
        <f>+INVERSIÓN!$CH$38</f>
        <v>1</v>
      </c>
      <c r="R154" s="104">
        <f>+INVERSIÓN!$CH$38</f>
        <v>1</v>
      </c>
      <c r="S154" s="123"/>
      <c r="T154" s="104">
        <f>+INVERSIÓN!BH38</f>
        <v>1</v>
      </c>
      <c r="U154" s="104">
        <f>+INVERSIÓN!BJ38</f>
        <v>1</v>
      </c>
      <c r="V154" s="104">
        <f>+INVERSIÓN!BL38</f>
        <v>1</v>
      </c>
      <c r="W154" s="104"/>
      <c r="X154" s="104"/>
      <c r="Y154" s="104"/>
      <c r="Z154" s="104"/>
      <c r="AA154" s="104"/>
      <c r="AB154" s="104"/>
      <c r="AC154" s="104"/>
      <c r="AD154" s="104"/>
      <c r="AE154" s="104"/>
      <c r="AF154" s="123"/>
      <c r="AG154" s="361" t="s">
        <v>328</v>
      </c>
      <c r="AH154" s="361" t="s">
        <v>329</v>
      </c>
      <c r="AI154" s="361" t="s">
        <v>329</v>
      </c>
      <c r="AJ154" s="361" t="s">
        <v>336</v>
      </c>
      <c r="AK154" s="361" t="s">
        <v>331</v>
      </c>
      <c r="AL154" s="361" t="s">
        <v>329</v>
      </c>
      <c r="AM154" s="361" t="s">
        <v>329</v>
      </c>
      <c r="AN154" s="361" t="s">
        <v>329</v>
      </c>
      <c r="AO154" s="475">
        <v>3751549</v>
      </c>
      <c r="AP154" s="473">
        <v>4082618</v>
      </c>
      <c r="AQ154" s="361" t="s">
        <v>329</v>
      </c>
      <c r="AR154" s="361" t="s">
        <v>329</v>
      </c>
      <c r="AS154" s="361" t="s">
        <v>329</v>
      </c>
      <c r="AT154" s="361" t="s">
        <v>329</v>
      </c>
      <c r="AU154" s="361" t="s">
        <v>329</v>
      </c>
      <c r="AV154" s="361" t="s">
        <v>329</v>
      </c>
      <c r="AW154" s="361" t="s">
        <v>329</v>
      </c>
      <c r="AX154" s="459">
        <f>+AO154+AP154</f>
        <v>7834167</v>
      </c>
      <c r="AY154" s="461"/>
    </row>
    <row r="155" spans="1:51" ht="29.25" customHeight="1" x14ac:dyDescent="0.25">
      <c r="A155" s="452"/>
      <c r="B155" s="454"/>
      <c r="C155" s="456"/>
      <c r="D155" s="158" t="s">
        <v>3</v>
      </c>
      <c r="E155" s="137">
        <f>+INVERSIÓN!BF39</f>
        <v>843232000</v>
      </c>
      <c r="F155" s="137">
        <f t="shared" ref="F155:F157" si="153">+E155</f>
        <v>843232000</v>
      </c>
      <c r="G155" s="137">
        <f>+INVERSIÓN!$CH$39</f>
        <v>843232000</v>
      </c>
      <c r="H155" s="137">
        <f>+INVERSIÓN!$CH$39</f>
        <v>843232000</v>
      </c>
      <c r="I155" s="137">
        <f>+INVERSIÓN!$CH$39</f>
        <v>843232000</v>
      </c>
      <c r="J155" s="137">
        <f>+INVERSIÓN!$CH$39</f>
        <v>843232000</v>
      </c>
      <c r="K155" s="137">
        <f>+INVERSIÓN!$CH$39</f>
        <v>843232000</v>
      </c>
      <c r="L155" s="137">
        <f>+INVERSIÓN!$CH$39</f>
        <v>843232000</v>
      </c>
      <c r="M155" s="137">
        <f>+INVERSIÓN!$CH$39</f>
        <v>843232000</v>
      </c>
      <c r="N155" s="137">
        <f>+INVERSIÓN!$CH$39</f>
        <v>843232000</v>
      </c>
      <c r="O155" s="137">
        <f>+INVERSIÓN!$CH$39</f>
        <v>843232000</v>
      </c>
      <c r="P155" s="137">
        <f>+INVERSIÓN!$CH$39</f>
        <v>843232000</v>
      </c>
      <c r="Q155" s="137">
        <f>+INVERSIÓN!$CH$39</f>
        <v>843232000</v>
      </c>
      <c r="R155" s="137">
        <f>+INVERSIÓN!$CH$39</f>
        <v>843232000</v>
      </c>
      <c r="S155" s="124"/>
      <c r="T155" s="137">
        <f>+INVERSIÓN!BH39</f>
        <v>455184000</v>
      </c>
      <c r="U155" s="137">
        <f>+INVERSIÓN!BJ39</f>
        <v>0</v>
      </c>
      <c r="V155" s="137">
        <f>INVERSIÓN!CI39</f>
        <v>455184000</v>
      </c>
      <c r="W155" s="137"/>
      <c r="X155" s="137"/>
      <c r="Y155" s="137"/>
      <c r="Z155" s="124"/>
      <c r="AA155" s="124"/>
      <c r="AB155" s="124"/>
      <c r="AC155" s="124"/>
      <c r="AD155" s="124"/>
      <c r="AE155" s="268"/>
      <c r="AF155" s="137"/>
      <c r="AG155" s="361"/>
      <c r="AH155" s="361"/>
      <c r="AI155" s="361"/>
      <c r="AJ155" s="361"/>
      <c r="AK155" s="361"/>
      <c r="AL155" s="361"/>
      <c r="AM155" s="361"/>
      <c r="AN155" s="361"/>
      <c r="AO155" s="476"/>
      <c r="AP155" s="474"/>
      <c r="AQ155" s="361"/>
      <c r="AR155" s="361"/>
      <c r="AS155" s="361"/>
      <c r="AT155" s="361"/>
      <c r="AU155" s="361"/>
      <c r="AV155" s="361"/>
      <c r="AW155" s="361"/>
      <c r="AX155" s="459"/>
      <c r="AY155" s="461"/>
    </row>
    <row r="156" spans="1:51" ht="29.25" customHeight="1" x14ac:dyDescent="0.25">
      <c r="A156" s="452"/>
      <c r="B156" s="454"/>
      <c r="C156" s="456"/>
      <c r="D156" s="157" t="s">
        <v>41</v>
      </c>
      <c r="E156" s="104">
        <f>+INVERSIÓN!BF41</f>
        <v>0</v>
      </c>
      <c r="F156" s="104">
        <f t="shared" si="153"/>
        <v>0</v>
      </c>
      <c r="G156" s="104">
        <f>+INVERSIÓN!$CH$41</f>
        <v>0</v>
      </c>
      <c r="H156" s="104">
        <f>+INVERSIÓN!$CH$41</f>
        <v>0</v>
      </c>
      <c r="I156" s="104">
        <f>+INVERSIÓN!$CH$41</f>
        <v>0</v>
      </c>
      <c r="J156" s="104">
        <f>+INVERSIÓN!$CH$41</f>
        <v>0</v>
      </c>
      <c r="K156" s="104">
        <f>+INVERSIÓN!$CH$41</f>
        <v>0</v>
      </c>
      <c r="L156" s="104">
        <f>+INVERSIÓN!$CH$41</f>
        <v>0</v>
      </c>
      <c r="M156" s="104">
        <f>+INVERSIÓN!$CH$41</f>
        <v>0</v>
      </c>
      <c r="N156" s="104">
        <f>+INVERSIÓN!$CH$41</f>
        <v>0</v>
      </c>
      <c r="O156" s="104">
        <f>+INVERSIÓN!$CH$41</f>
        <v>0</v>
      </c>
      <c r="P156" s="104">
        <f>+INVERSIÓN!$CH$41</f>
        <v>0</v>
      </c>
      <c r="Q156" s="104">
        <f>+INVERSIÓN!$CH$41</f>
        <v>0</v>
      </c>
      <c r="R156" s="104">
        <f>+INVERSIÓN!$CH$41</f>
        <v>0</v>
      </c>
      <c r="S156" s="123"/>
      <c r="T156" s="104">
        <f>+INVERSIÓN!BH41</f>
        <v>0</v>
      </c>
      <c r="U156" s="104">
        <f>+INVERSIÓN!BJ41</f>
        <v>0</v>
      </c>
      <c r="V156" s="104">
        <f>+INVERSIÓN!BL41</f>
        <v>0</v>
      </c>
      <c r="W156" s="104"/>
      <c r="X156" s="104"/>
      <c r="Y156" s="104"/>
      <c r="Z156" s="123"/>
      <c r="AA156" s="123"/>
      <c r="AB156" s="123"/>
      <c r="AC156" s="123"/>
      <c r="AD156" s="123"/>
      <c r="AE156" s="104"/>
      <c r="AF156" s="104"/>
      <c r="AG156" s="361"/>
      <c r="AH156" s="361"/>
      <c r="AI156" s="361"/>
      <c r="AJ156" s="361"/>
      <c r="AK156" s="361"/>
      <c r="AL156" s="361"/>
      <c r="AM156" s="361"/>
      <c r="AN156" s="361"/>
      <c r="AO156" s="476"/>
      <c r="AP156" s="474"/>
      <c r="AQ156" s="361"/>
      <c r="AR156" s="361"/>
      <c r="AS156" s="361"/>
      <c r="AT156" s="361"/>
      <c r="AU156" s="361"/>
      <c r="AV156" s="361"/>
      <c r="AW156" s="361"/>
      <c r="AX156" s="459"/>
      <c r="AY156" s="461"/>
    </row>
    <row r="157" spans="1:51" ht="29.25" customHeight="1" x14ac:dyDescent="0.25">
      <c r="A157" s="452"/>
      <c r="B157" s="454"/>
      <c r="C157" s="456"/>
      <c r="D157" s="158" t="s">
        <v>4</v>
      </c>
      <c r="E157" s="137">
        <f>+INVERSIÓN!BF42</f>
        <v>168849651</v>
      </c>
      <c r="F157" s="137">
        <f t="shared" si="153"/>
        <v>168849651</v>
      </c>
      <c r="G157" s="137">
        <f>+INVERSIÓN!$CH$42</f>
        <v>168849651</v>
      </c>
      <c r="H157" s="137">
        <f>+INVERSIÓN!$CH$42</f>
        <v>168849651</v>
      </c>
      <c r="I157" s="137">
        <f>+INVERSIÓN!$CH$42</f>
        <v>168849651</v>
      </c>
      <c r="J157" s="137">
        <f>+INVERSIÓN!$CH$42</f>
        <v>168849651</v>
      </c>
      <c r="K157" s="137">
        <f>+INVERSIÓN!$CH$42</f>
        <v>168849651</v>
      </c>
      <c r="L157" s="137">
        <f>+INVERSIÓN!$CH$42</f>
        <v>168849651</v>
      </c>
      <c r="M157" s="137">
        <f>+INVERSIÓN!$CH$42</f>
        <v>168849651</v>
      </c>
      <c r="N157" s="137">
        <f>+INVERSIÓN!$CH$42</f>
        <v>168849651</v>
      </c>
      <c r="O157" s="137">
        <f>+INVERSIÓN!$CH$42</f>
        <v>168849651</v>
      </c>
      <c r="P157" s="137">
        <f>+INVERSIÓN!$CH$42</f>
        <v>168849651</v>
      </c>
      <c r="Q157" s="137">
        <f>+INVERSIÓN!$CH$42</f>
        <v>168849651</v>
      </c>
      <c r="R157" s="137">
        <f>+INVERSIÓN!$CH$42</f>
        <v>168849651</v>
      </c>
      <c r="S157" s="124"/>
      <c r="T157" s="137">
        <f>+INVERSIÓN!BH42</f>
        <v>0</v>
      </c>
      <c r="U157" s="137">
        <f>+INVERSIÓN!BJ42</f>
        <v>14024632</v>
      </c>
      <c r="V157" s="137">
        <f>INVERSIÓN!CI42</f>
        <v>14024632</v>
      </c>
      <c r="W157" s="137"/>
      <c r="X157" s="137"/>
      <c r="Y157" s="137"/>
      <c r="Z157" s="124"/>
      <c r="AA157" s="124"/>
      <c r="AB157" s="124"/>
      <c r="AC157" s="124"/>
      <c r="AD157" s="124"/>
      <c r="AE157" s="137"/>
      <c r="AF157" s="137"/>
      <c r="AG157" s="361"/>
      <c r="AH157" s="361"/>
      <c r="AI157" s="361"/>
      <c r="AJ157" s="361"/>
      <c r="AK157" s="361"/>
      <c r="AL157" s="361"/>
      <c r="AM157" s="361"/>
      <c r="AN157" s="361"/>
      <c r="AO157" s="476"/>
      <c r="AP157" s="474"/>
      <c r="AQ157" s="361"/>
      <c r="AR157" s="361"/>
      <c r="AS157" s="361"/>
      <c r="AT157" s="361"/>
      <c r="AU157" s="361"/>
      <c r="AV157" s="361"/>
      <c r="AW157" s="361"/>
      <c r="AX157" s="459"/>
      <c r="AY157" s="461"/>
    </row>
    <row r="158" spans="1:51" ht="29.25" customHeight="1" x14ac:dyDescent="0.25">
      <c r="A158" s="452"/>
      <c r="B158" s="454"/>
      <c r="C158" s="456"/>
      <c r="D158" s="157" t="s">
        <v>42</v>
      </c>
      <c r="E158" s="104">
        <f t="shared" ref="E158:F159" si="154">+E154+E156</f>
        <v>1</v>
      </c>
      <c r="F158" s="104">
        <f t="shared" si="154"/>
        <v>1</v>
      </c>
      <c r="G158" s="104">
        <f t="shared" ref="G158:R159" si="155">+G154+G156</f>
        <v>1</v>
      </c>
      <c r="H158" s="104">
        <f t="shared" si="155"/>
        <v>1</v>
      </c>
      <c r="I158" s="104">
        <f t="shared" si="155"/>
        <v>1</v>
      </c>
      <c r="J158" s="104">
        <f t="shared" si="155"/>
        <v>1</v>
      </c>
      <c r="K158" s="104">
        <f t="shared" si="155"/>
        <v>1</v>
      </c>
      <c r="L158" s="104">
        <f t="shared" si="155"/>
        <v>1</v>
      </c>
      <c r="M158" s="104">
        <f t="shared" si="155"/>
        <v>1</v>
      </c>
      <c r="N158" s="104">
        <f t="shared" si="155"/>
        <v>1</v>
      </c>
      <c r="O158" s="104">
        <f t="shared" si="155"/>
        <v>1</v>
      </c>
      <c r="P158" s="104">
        <f t="shared" si="155"/>
        <v>1</v>
      </c>
      <c r="Q158" s="104">
        <f t="shared" si="155"/>
        <v>1</v>
      </c>
      <c r="R158" s="104">
        <f t="shared" si="155"/>
        <v>1</v>
      </c>
      <c r="S158" s="104"/>
      <c r="T158" s="104">
        <f t="shared" ref="T158:AE159" si="156">+T154+T156</f>
        <v>1</v>
      </c>
      <c r="U158" s="104">
        <f t="shared" ref="U158" si="157">+U154+U156</f>
        <v>1</v>
      </c>
      <c r="V158" s="104">
        <f t="shared" ref="V158" si="158">+V154+V156</f>
        <v>1</v>
      </c>
      <c r="W158" s="104">
        <f t="shared" si="156"/>
        <v>0</v>
      </c>
      <c r="X158" s="104">
        <f t="shared" si="156"/>
        <v>0</v>
      </c>
      <c r="Y158" s="104">
        <f t="shared" si="156"/>
        <v>0</v>
      </c>
      <c r="Z158" s="104">
        <f t="shared" si="156"/>
        <v>0</v>
      </c>
      <c r="AA158" s="104">
        <f t="shared" si="156"/>
        <v>0</v>
      </c>
      <c r="AB158" s="104">
        <f t="shared" si="156"/>
        <v>0</v>
      </c>
      <c r="AC158" s="104">
        <f t="shared" si="156"/>
        <v>0</v>
      </c>
      <c r="AD158" s="104">
        <f t="shared" si="156"/>
        <v>0</v>
      </c>
      <c r="AE158" s="104">
        <f t="shared" si="156"/>
        <v>0</v>
      </c>
      <c r="AF158" s="104"/>
      <c r="AG158" s="361"/>
      <c r="AH158" s="361"/>
      <c r="AI158" s="361"/>
      <c r="AJ158" s="361"/>
      <c r="AK158" s="361"/>
      <c r="AL158" s="361"/>
      <c r="AM158" s="361"/>
      <c r="AN158" s="361"/>
      <c r="AO158" s="476"/>
      <c r="AP158" s="474"/>
      <c r="AQ158" s="361"/>
      <c r="AR158" s="361"/>
      <c r="AS158" s="361"/>
      <c r="AT158" s="361"/>
      <c r="AU158" s="361"/>
      <c r="AV158" s="361"/>
      <c r="AW158" s="361"/>
      <c r="AX158" s="459"/>
      <c r="AY158" s="461"/>
    </row>
    <row r="159" spans="1:51" ht="29.25" customHeight="1" x14ac:dyDescent="0.25">
      <c r="A159" s="452"/>
      <c r="B159" s="454"/>
      <c r="C159" s="456"/>
      <c r="D159" s="158" t="s">
        <v>44</v>
      </c>
      <c r="E159" s="137">
        <f t="shared" si="154"/>
        <v>1012081651</v>
      </c>
      <c r="F159" s="137">
        <f t="shared" si="154"/>
        <v>1012081651</v>
      </c>
      <c r="G159" s="137">
        <f t="shared" si="155"/>
        <v>1012081651</v>
      </c>
      <c r="H159" s="137">
        <f t="shared" si="155"/>
        <v>1012081651</v>
      </c>
      <c r="I159" s="137">
        <f t="shared" si="155"/>
        <v>1012081651</v>
      </c>
      <c r="J159" s="137">
        <f t="shared" si="155"/>
        <v>1012081651</v>
      </c>
      <c r="K159" s="137">
        <f t="shared" si="155"/>
        <v>1012081651</v>
      </c>
      <c r="L159" s="137">
        <f t="shared" si="155"/>
        <v>1012081651</v>
      </c>
      <c r="M159" s="137">
        <f t="shared" si="155"/>
        <v>1012081651</v>
      </c>
      <c r="N159" s="137">
        <f t="shared" si="155"/>
        <v>1012081651</v>
      </c>
      <c r="O159" s="137">
        <f t="shared" si="155"/>
        <v>1012081651</v>
      </c>
      <c r="P159" s="137">
        <f t="shared" si="155"/>
        <v>1012081651</v>
      </c>
      <c r="Q159" s="137">
        <f t="shared" si="155"/>
        <v>1012081651</v>
      </c>
      <c r="R159" s="137">
        <f t="shared" si="155"/>
        <v>1012081651</v>
      </c>
      <c r="S159" s="137"/>
      <c r="T159" s="137">
        <f t="shared" si="156"/>
        <v>455184000</v>
      </c>
      <c r="U159" s="137">
        <f t="shared" ref="U159" si="159">+U155+U157</f>
        <v>14024632</v>
      </c>
      <c r="V159" s="137">
        <f t="shared" ref="V159" si="160">+V155+V157</f>
        <v>469208632</v>
      </c>
      <c r="W159" s="137">
        <f t="shared" si="156"/>
        <v>0</v>
      </c>
      <c r="X159" s="137">
        <f t="shared" si="156"/>
        <v>0</v>
      </c>
      <c r="Y159" s="137">
        <f t="shared" si="156"/>
        <v>0</v>
      </c>
      <c r="Z159" s="137">
        <f t="shared" si="156"/>
        <v>0</v>
      </c>
      <c r="AA159" s="137">
        <f t="shared" si="156"/>
        <v>0</v>
      </c>
      <c r="AB159" s="137">
        <f t="shared" si="156"/>
        <v>0</v>
      </c>
      <c r="AC159" s="137">
        <f t="shared" si="156"/>
        <v>0</v>
      </c>
      <c r="AD159" s="137">
        <f t="shared" si="156"/>
        <v>0</v>
      </c>
      <c r="AE159" s="137">
        <f t="shared" si="156"/>
        <v>0</v>
      </c>
      <c r="AF159" s="124"/>
      <c r="AG159" s="361"/>
      <c r="AH159" s="361"/>
      <c r="AI159" s="361"/>
      <c r="AJ159" s="361"/>
      <c r="AK159" s="361"/>
      <c r="AL159" s="361"/>
      <c r="AM159" s="361"/>
      <c r="AN159" s="361"/>
      <c r="AO159" s="462"/>
      <c r="AP159" s="464"/>
      <c r="AQ159" s="361"/>
      <c r="AR159" s="361"/>
      <c r="AS159" s="361"/>
      <c r="AT159" s="361"/>
      <c r="AU159" s="361"/>
      <c r="AV159" s="361"/>
      <c r="AW159" s="361"/>
      <c r="AX159" s="459"/>
      <c r="AY159" s="461"/>
    </row>
    <row r="160" spans="1:51" ht="29.25" customHeight="1" x14ac:dyDescent="0.25">
      <c r="A160" s="452">
        <v>6</v>
      </c>
      <c r="B160" s="454" t="s">
        <v>324</v>
      </c>
      <c r="C160" s="456" t="s">
        <v>335</v>
      </c>
      <c r="D160" s="159" t="s">
        <v>40</v>
      </c>
      <c r="E160" s="324">
        <f>+INVERSIÓN!BF45</f>
        <v>1097</v>
      </c>
      <c r="F160" s="324">
        <f>+E160</f>
        <v>1097</v>
      </c>
      <c r="G160" s="324">
        <f>+INVERSIÓN!$CH$45</f>
        <v>1097</v>
      </c>
      <c r="H160" s="324">
        <f>+INVERSIÓN!$CH$45</f>
        <v>1097</v>
      </c>
      <c r="I160" s="324">
        <f>+INVERSIÓN!$CH$45</f>
        <v>1097</v>
      </c>
      <c r="J160" s="324">
        <f>+INVERSIÓN!$CH$45</f>
        <v>1097</v>
      </c>
      <c r="K160" s="324">
        <f>+INVERSIÓN!$CH$45</f>
        <v>1097</v>
      </c>
      <c r="L160" s="324">
        <f>+INVERSIÓN!$CH$45</f>
        <v>1097</v>
      </c>
      <c r="M160" s="324">
        <f>+INVERSIÓN!$CH$45</f>
        <v>1097</v>
      </c>
      <c r="N160" s="324">
        <f>+INVERSIÓN!$CH$45</f>
        <v>1097</v>
      </c>
      <c r="O160" s="324">
        <f>+INVERSIÓN!$CH$45</f>
        <v>1097</v>
      </c>
      <c r="P160" s="324">
        <f>+INVERSIÓN!$CH$45</f>
        <v>1097</v>
      </c>
      <c r="Q160" s="324">
        <f>+INVERSIÓN!$CH$45</f>
        <v>1097</v>
      </c>
      <c r="R160" s="324">
        <f>+INVERSIÓN!$CH$45</f>
        <v>1097</v>
      </c>
      <c r="S160" s="324"/>
      <c r="T160" s="324">
        <f>+INVERSIÓN!BH45</f>
        <v>0</v>
      </c>
      <c r="U160" s="324">
        <f>+INVERSIÓN!BJ45</f>
        <v>32</v>
      </c>
      <c r="V160" s="324">
        <f>+INVERSIÓN!BL45</f>
        <v>55</v>
      </c>
      <c r="W160" s="324"/>
      <c r="X160" s="324"/>
      <c r="Y160" s="324"/>
      <c r="Z160" s="105"/>
      <c r="AA160" s="105"/>
      <c r="AB160" s="105"/>
      <c r="AC160" s="105"/>
      <c r="AD160" s="105"/>
      <c r="AE160" s="105"/>
      <c r="AF160" s="324"/>
      <c r="AG160" s="361" t="s">
        <v>522</v>
      </c>
      <c r="AH160" s="361" t="s">
        <v>329</v>
      </c>
      <c r="AI160" s="361" t="s">
        <v>329</v>
      </c>
      <c r="AJ160" s="361" t="s">
        <v>522</v>
      </c>
      <c r="AK160" s="361" t="s">
        <v>331</v>
      </c>
      <c r="AL160" s="361" t="s">
        <v>329</v>
      </c>
      <c r="AM160" s="361" t="s">
        <v>329</v>
      </c>
      <c r="AN160" s="361" t="s">
        <v>329</v>
      </c>
      <c r="AO160" s="463">
        <v>1636823</v>
      </c>
      <c r="AP160" s="465">
        <v>1816010</v>
      </c>
      <c r="AQ160" s="361" t="s">
        <v>329</v>
      </c>
      <c r="AR160" s="361" t="s">
        <v>329</v>
      </c>
      <c r="AS160" s="361" t="s">
        <v>329</v>
      </c>
      <c r="AT160" s="361" t="s">
        <v>329</v>
      </c>
      <c r="AU160" s="361" t="s">
        <v>329</v>
      </c>
      <c r="AV160" s="361" t="s">
        <v>329</v>
      </c>
      <c r="AW160" s="361" t="s">
        <v>329</v>
      </c>
      <c r="AX160" s="459">
        <f>+AO160+AP160</f>
        <v>3452833</v>
      </c>
      <c r="AY160" s="461"/>
    </row>
    <row r="161" spans="1:51" ht="29.25" customHeight="1" x14ac:dyDescent="0.25">
      <c r="A161" s="452"/>
      <c r="B161" s="454"/>
      <c r="C161" s="456"/>
      <c r="D161" s="158" t="s">
        <v>3</v>
      </c>
      <c r="E161" s="124">
        <f>+INVERSIÓN!BF46</f>
        <v>1568833000</v>
      </c>
      <c r="F161" s="124">
        <f t="shared" ref="F161:F163" si="161">+E161</f>
        <v>1568833000</v>
      </c>
      <c r="G161" s="124">
        <f>+INVERSIÓN!$CH$46</f>
        <v>1616993000</v>
      </c>
      <c r="H161" s="124">
        <f>+INVERSIÓN!$CH$46</f>
        <v>1616993000</v>
      </c>
      <c r="I161" s="124">
        <f>+INVERSIÓN!$CH$46</f>
        <v>1616993000</v>
      </c>
      <c r="J161" s="124">
        <f>+INVERSIÓN!$CH$46</f>
        <v>1616993000</v>
      </c>
      <c r="K161" s="124">
        <f>+INVERSIÓN!$CH$46</f>
        <v>1616993000</v>
      </c>
      <c r="L161" s="124">
        <f>+INVERSIÓN!$CH$46</f>
        <v>1616993000</v>
      </c>
      <c r="M161" s="124">
        <f>+INVERSIÓN!$CH$46</f>
        <v>1616993000</v>
      </c>
      <c r="N161" s="124">
        <f>+INVERSIÓN!$CH$46</f>
        <v>1616993000</v>
      </c>
      <c r="O161" s="124">
        <f>+INVERSIÓN!$CH$46</f>
        <v>1616993000</v>
      </c>
      <c r="P161" s="124">
        <f>+INVERSIÓN!$CH$46</f>
        <v>1616993000</v>
      </c>
      <c r="Q161" s="124">
        <f>+INVERSIÓN!$CH$46</f>
        <v>1616993000</v>
      </c>
      <c r="R161" s="124">
        <f>+INVERSIÓN!$CH$46</f>
        <v>1616993000</v>
      </c>
      <c r="S161" s="124"/>
      <c r="T161" s="124">
        <f>+INVERSIÓN!BH46</f>
        <v>1487818000</v>
      </c>
      <c r="U161" s="124">
        <f>+INVERSIÓN!BJ46</f>
        <v>0</v>
      </c>
      <c r="V161" s="124">
        <f>INVERSIÓN!CI46</f>
        <v>1487818000</v>
      </c>
      <c r="W161" s="124"/>
      <c r="X161" s="124"/>
      <c r="Y161" s="124"/>
      <c r="Z161" s="124"/>
      <c r="AA161" s="124"/>
      <c r="AB161" s="124"/>
      <c r="AC161" s="124"/>
      <c r="AD161" s="124"/>
      <c r="AE161" s="137"/>
      <c r="AF161" s="137"/>
      <c r="AG161" s="361"/>
      <c r="AH161" s="361"/>
      <c r="AI161" s="361"/>
      <c r="AJ161" s="361"/>
      <c r="AK161" s="361"/>
      <c r="AL161" s="361"/>
      <c r="AM161" s="361"/>
      <c r="AN161" s="361"/>
      <c r="AO161" s="463"/>
      <c r="AP161" s="465"/>
      <c r="AQ161" s="361"/>
      <c r="AR161" s="361"/>
      <c r="AS161" s="361"/>
      <c r="AT161" s="361"/>
      <c r="AU161" s="361"/>
      <c r="AV161" s="361"/>
      <c r="AW161" s="361"/>
      <c r="AX161" s="459"/>
      <c r="AY161" s="461"/>
    </row>
    <row r="162" spans="1:51" ht="29.25" customHeight="1" x14ac:dyDescent="0.25">
      <c r="A162" s="452"/>
      <c r="B162" s="454"/>
      <c r="C162" s="456"/>
      <c r="D162" s="159" t="s">
        <v>41</v>
      </c>
      <c r="E162" s="324">
        <f>+INVERSIÓN!BF48</f>
        <v>0</v>
      </c>
      <c r="F162" s="324">
        <f t="shared" si="161"/>
        <v>0</v>
      </c>
      <c r="G162" s="324">
        <f>+INVERSIÓN!$CH$48</f>
        <v>0</v>
      </c>
      <c r="H162" s="324">
        <f>+INVERSIÓN!$CH$48</f>
        <v>0</v>
      </c>
      <c r="I162" s="324">
        <f>+INVERSIÓN!$CH$48</f>
        <v>0</v>
      </c>
      <c r="J162" s="324">
        <f>+INVERSIÓN!$CH$48</f>
        <v>0</v>
      </c>
      <c r="K162" s="324">
        <f>+INVERSIÓN!$CH$48</f>
        <v>0</v>
      </c>
      <c r="L162" s="324">
        <f>+INVERSIÓN!$CH$48</f>
        <v>0</v>
      </c>
      <c r="M162" s="324">
        <f>+INVERSIÓN!$CH$48</f>
        <v>0</v>
      </c>
      <c r="N162" s="324">
        <f>+INVERSIÓN!$CH$48</f>
        <v>0</v>
      </c>
      <c r="O162" s="324">
        <f>+INVERSIÓN!$CH$48</f>
        <v>0</v>
      </c>
      <c r="P162" s="324">
        <f>+INVERSIÓN!$CH$48</f>
        <v>0</v>
      </c>
      <c r="Q162" s="324">
        <f>+INVERSIÓN!$CH$48</f>
        <v>0</v>
      </c>
      <c r="R162" s="324">
        <f>+INVERSIÓN!$CH$48</f>
        <v>0</v>
      </c>
      <c r="S162" s="324"/>
      <c r="T162" s="324">
        <f>+INVERSIÓN!BH47</f>
        <v>0</v>
      </c>
      <c r="U162" s="324">
        <f>+INVERSIÓN!BJ48</f>
        <v>0</v>
      </c>
      <c r="V162" s="324">
        <f>+INVERSIÓN!BL48</f>
        <v>0</v>
      </c>
      <c r="W162" s="324"/>
      <c r="X162" s="324"/>
      <c r="Y162" s="324"/>
      <c r="Z162" s="105"/>
      <c r="AA162" s="105"/>
      <c r="AB162" s="105"/>
      <c r="AC162" s="105"/>
      <c r="AD162" s="105"/>
      <c r="AE162" s="105"/>
      <c r="AF162" s="209"/>
      <c r="AG162" s="361"/>
      <c r="AH162" s="361"/>
      <c r="AI162" s="361"/>
      <c r="AJ162" s="361"/>
      <c r="AK162" s="361"/>
      <c r="AL162" s="361"/>
      <c r="AM162" s="361"/>
      <c r="AN162" s="361"/>
      <c r="AO162" s="463"/>
      <c r="AP162" s="465"/>
      <c r="AQ162" s="361"/>
      <c r="AR162" s="361"/>
      <c r="AS162" s="361"/>
      <c r="AT162" s="361"/>
      <c r="AU162" s="361"/>
      <c r="AV162" s="361"/>
      <c r="AW162" s="361"/>
      <c r="AX162" s="459"/>
      <c r="AY162" s="461"/>
    </row>
    <row r="163" spans="1:51" ht="29.25" customHeight="1" x14ac:dyDescent="0.25">
      <c r="A163" s="452"/>
      <c r="B163" s="454"/>
      <c r="C163" s="456"/>
      <c r="D163" s="158" t="s">
        <v>4</v>
      </c>
      <c r="E163" s="124">
        <f>+INVERSIÓN!BF49</f>
        <v>113800542</v>
      </c>
      <c r="F163" s="124">
        <f t="shared" si="161"/>
        <v>113800542</v>
      </c>
      <c r="G163" s="124">
        <f>+INVERSIÓN!$CH$49</f>
        <v>113800542</v>
      </c>
      <c r="H163" s="124">
        <f>+INVERSIÓN!$CH$49</f>
        <v>113800542</v>
      </c>
      <c r="I163" s="124">
        <f>+INVERSIÓN!$CH$49</f>
        <v>113800542</v>
      </c>
      <c r="J163" s="124">
        <f>+INVERSIÓN!$CH$49</f>
        <v>113800542</v>
      </c>
      <c r="K163" s="124">
        <f>+INVERSIÓN!$CH$49</f>
        <v>113800542</v>
      </c>
      <c r="L163" s="124">
        <f>+INVERSIÓN!$CH$49</f>
        <v>113800542</v>
      </c>
      <c r="M163" s="124">
        <f>+INVERSIÓN!$CH$49</f>
        <v>113800542</v>
      </c>
      <c r="N163" s="124">
        <f>+INVERSIÓN!$CH$49</f>
        <v>113800542</v>
      </c>
      <c r="O163" s="124">
        <f>+INVERSIÓN!$CH$49</f>
        <v>113800542</v>
      </c>
      <c r="P163" s="124">
        <f>+INVERSIÓN!$CH$49</f>
        <v>113800542</v>
      </c>
      <c r="Q163" s="124">
        <f>+INVERSIÓN!$CH$49</f>
        <v>113800542</v>
      </c>
      <c r="R163" s="124">
        <f>+INVERSIÓN!$CH$49</f>
        <v>113800542</v>
      </c>
      <c r="S163" s="124"/>
      <c r="T163" s="124">
        <f>+INVERSIÓN!BH48</f>
        <v>0</v>
      </c>
      <c r="U163" s="124">
        <f>+INVERSIÓN!BJ49</f>
        <v>51705541</v>
      </c>
      <c r="V163" s="124">
        <f>INVERSIÓN!CI49</f>
        <v>62974141</v>
      </c>
      <c r="W163" s="124"/>
      <c r="X163" s="124"/>
      <c r="Y163" s="124"/>
      <c r="Z163" s="124"/>
      <c r="AA163" s="124"/>
      <c r="AB163" s="124"/>
      <c r="AC163" s="124"/>
      <c r="AD163" s="124"/>
      <c r="AE163" s="137"/>
      <c r="AF163" s="137"/>
      <c r="AG163" s="361"/>
      <c r="AH163" s="361"/>
      <c r="AI163" s="361"/>
      <c r="AJ163" s="361"/>
      <c r="AK163" s="361"/>
      <c r="AL163" s="361"/>
      <c r="AM163" s="361"/>
      <c r="AN163" s="361"/>
      <c r="AO163" s="463"/>
      <c r="AP163" s="465"/>
      <c r="AQ163" s="361"/>
      <c r="AR163" s="361"/>
      <c r="AS163" s="361"/>
      <c r="AT163" s="361"/>
      <c r="AU163" s="361"/>
      <c r="AV163" s="361"/>
      <c r="AW163" s="361"/>
      <c r="AX163" s="459"/>
      <c r="AY163" s="461"/>
    </row>
    <row r="164" spans="1:51" ht="29.25" customHeight="1" x14ac:dyDescent="0.25">
      <c r="A164" s="452"/>
      <c r="B164" s="454"/>
      <c r="C164" s="456"/>
      <c r="D164" s="159" t="s">
        <v>42</v>
      </c>
      <c r="E164" s="105">
        <f>+E160+E162</f>
        <v>1097</v>
      </c>
      <c r="F164" s="105">
        <f t="shared" ref="E164:F165" si="162">+F160+F162</f>
        <v>1097</v>
      </c>
      <c r="G164" s="105">
        <f t="shared" ref="G164:R165" si="163">+G160+G162</f>
        <v>1097</v>
      </c>
      <c r="H164" s="105">
        <f t="shared" si="163"/>
        <v>1097</v>
      </c>
      <c r="I164" s="105">
        <f t="shared" si="163"/>
        <v>1097</v>
      </c>
      <c r="J164" s="105">
        <f t="shared" si="163"/>
        <v>1097</v>
      </c>
      <c r="K164" s="105">
        <f t="shared" si="163"/>
        <v>1097</v>
      </c>
      <c r="L164" s="105">
        <f t="shared" si="163"/>
        <v>1097</v>
      </c>
      <c r="M164" s="105">
        <f t="shared" si="163"/>
        <v>1097</v>
      </c>
      <c r="N164" s="105">
        <f t="shared" si="163"/>
        <v>1097</v>
      </c>
      <c r="O164" s="105">
        <f t="shared" si="163"/>
        <v>1097</v>
      </c>
      <c r="P164" s="105">
        <f t="shared" si="163"/>
        <v>1097</v>
      </c>
      <c r="Q164" s="105">
        <f t="shared" si="163"/>
        <v>1097</v>
      </c>
      <c r="R164" s="105">
        <f t="shared" si="163"/>
        <v>1097</v>
      </c>
      <c r="S164" s="105"/>
      <c r="T164" s="105">
        <f t="shared" ref="T164:AE165" si="164">+T160+T162</f>
        <v>0</v>
      </c>
      <c r="U164" s="105">
        <f t="shared" ref="U164" si="165">+U160+U162</f>
        <v>32</v>
      </c>
      <c r="V164" s="105">
        <f t="shared" ref="V164" si="166">+V160+V162</f>
        <v>55</v>
      </c>
      <c r="W164" s="105">
        <f t="shared" si="164"/>
        <v>0</v>
      </c>
      <c r="X164" s="105">
        <f t="shared" si="164"/>
        <v>0</v>
      </c>
      <c r="Y164" s="105">
        <f t="shared" si="164"/>
        <v>0</v>
      </c>
      <c r="Z164" s="105">
        <f t="shared" si="164"/>
        <v>0</v>
      </c>
      <c r="AA164" s="105">
        <f t="shared" si="164"/>
        <v>0</v>
      </c>
      <c r="AB164" s="105">
        <f t="shared" si="164"/>
        <v>0</v>
      </c>
      <c r="AC164" s="105">
        <f t="shared" si="164"/>
        <v>0</v>
      </c>
      <c r="AD164" s="105">
        <f t="shared" si="164"/>
        <v>0</v>
      </c>
      <c r="AE164" s="105">
        <f t="shared" si="164"/>
        <v>0</v>
      </c>
      <c r="AF164" s="209"/>
      <c r="AG164" s="361"/>
      <c r="AH164" s="361"/>
      <c r="AI164" s="361"/>
      <c r="AJ164" s="361"/>
      <c r="AK164" s="361"/>
      <c r="AL164" s="361"/>
      <c r="AM164" s="361"/>
      <c r="AN164" s="361"/>
      <c r="AO164" s="463"/>
      <c r="AP164" s="465"/>
      <c r="AQ164" s="361"/>
      <c r="AR164" s="361"/>
      <c r="AS164" s="361"/>
      <c r="AT164" s="361"/>
      <c r="AU164" s="361"/>
      <c r="AV164" s="361"/>
      <c r="AW164" s="361"/>
      <c r="AX164" s="459"/>
      <c r="AY164" s="461"/>
    </row>
    <row r="165" spans="1:51" ht="29.25" customHeight="1" x14ac:dyDescent="0.25">
      <c r="A165" s="452"/>
      <c r="B165" s="454"/>
      <c r="C165" s="456"/>
      <c r="D165" s="158" t="s">
        <v>44</v>
      </c>
      <c r="E165" s="137">
        <f t="shared" si="162"/>
        <v>1682633542</v>
      </c>
      <c r="F165" s="137">
        <f t="shared" si="162"/>
        <v>1682633542</v>
      </c>
      <c r="G165" s="137">
        <f t="shared" si="163"/>
        <v>1730793542</v>
      </c>
      <c r="H165" s="137">
        <f t="shared" si="163"/>
        <v>1730793542</v>
      </c>
      <c r="I165" s="137">
        <f t="shared" si="163"/>
        <v>1730793542</v>
      </c>
      <c r="J165" s="137">
        <f t="shared" si="163"/>
        <v>1730793542</v>
      </c>
      <c r="K165" s="137">
        <f t="shared" si="163"/>
        <v>1730793542</v>
      </c>
      <c r="L165" s="137">
        <f t="shared" si="163"/>
        <v>1730793542</v>
      </c>
      <c r="M165" s="137">
        <f t="shared" si="163"/>
        <v>1730793542</v>
      </c>
      <c r="N165" s="137">
        <f t="shared" si="163"/>
        <v>1730793542</v>
      </c>
      <c r="O165" s="137">
        <f t="shared" si="163"/>
        <v>1730793542</v>
      </c>
      <c r="P165" s="137">
        <f t="shared" si="163"/>
        <v>1730793542</v>
      </c>
      <c r="Q165" s="137">
        <f t="shared" si="163"/>
        <v>1730793542</v>
      </c>
      <c r="R165" s="137">
        <f t="shared" si="163"/>
        <v>1730793542</v>
      </c>
      <c r="S165" s="137"/>
      <c r="T165" s="137">
        <f t="shared" si="164"/>
        <v>1487818000</v>
      </c>
      <c r="U165" s="137">
        <f t="shared" ref="U165" si="167">+U161+U163</f>
        <v>51705541</v>
      </c>
      <c r="V165" s="137">
        <f t="shared" ref="V165" si="168">+V161+V163</f>
        <v>1550792141</v>
      </c>
      <c r="W165" s="137">
        <f t="shared" si="164"/>
        <v>0</v>
      </c>
      <c r="X165" s="137">
        <f t="shared" si="164"/>
        <v>0</v>
      </c>
      <c r="Y165" s="137">
        <f t="shared" si="164"/>
        <v>0</v>
      </c>
      <c r="Z165" s="137">
        <f t="shared" si="164"/>
        <v>0</v>
      </c>
      <c r="AA165" s="137">
        <f t="shared" si="164"/>
        <v>0</v>
      </c>
      <c r="AB165" s="137">
        <f t="shared" si="164"/>
        <v>0</v>
      </c>
      <c r="AC165" s="137">
        <f t="shared" si="164"/>
        <v>0</v>
      </c>
      <c r="AD165" s="137">
        <f t="shared" si="164"/>
        <v>0</v>
      </c>
      <c r="AE165" s="137">
        <f t="shared" si="164"/>
        <v>0</v>
      </c>
      <c r="AF165" s="124"/>
      <c r="AG165" s="361"/>
      <c r="AH165" s="361"/>
      <c r="AI165" s="361"/>
      <c r="AJ165" s="361"/>
      <c r="AK165" s="361"/>
      <c r="AL165" s="361"/>
      <c r="AM165" s="361"/>
      <c r="AN165" s="361"/>
      <c r="AO165" s="463"/>
      <c r="AP165" s="465"/>
      <c r="AQ165" s="361"/>
      <c r="AR165" s="361"/>
      <c r="AS165" s="361"/>
      <c r="AT165" s="361"/>
      <c r="AU165" s="361"/>
      <c r="AV165" s="361"/>
      <c r="AW165" s="361"/>
      <c r="AX165" s="459"/>
      <c r="AY165" s="461"/>
    </row>
    <row r="166" spans="1:51" ht="29.25" customHeight="1" x14ac:dyDescent="0.25">
      <c r="A166" s="452">
        <v>7</v>
      </c>
      <c r="B166" s="454" t="s">
        <v>325</v>
      </c>
      <c r="C166" s="456" t="s">
        <v>337</v>
      </c>
      <c r="D166" s="157" t="s">
        <v>40</v>
      </c>
      <c r="E166" s="104">
        <f>+INVERSIÓN!BF52</f>
        <v>1</v>
      </c>
      <c r="F166" s="104">
        <f>+E166</f>
        <v>1</v>
      </c>
      <c r="G166" s="104">
        <f>+INVERSIÓN!$CH$52</f>
        <v>1</v>
      </c>
      <c r="H166" s="104">
        <f>+INVERSIÓN!$CH$52</f>
        <v>1</v>
      </c>
      <c r="I166" s="104">
        <f>+INVERSIÓN!$CH$52</f>
        <v>1</v>
      </c>
      <c r="J166" s="104">
        <f>+INVERSIÓN!$CH$52</f>
        <v>1</v>
      </c>
      <c r="K166" s="104">
        <f>+INVERSIÓN!$CH$52</f>
        <v>1</v>
      </c>
      <c r="L166" s="104">
        <f>+INVERSIÓN!$CH$52</f>
        <v>1</v>
      </c>
      <c r="M166" s="104">
        <f>+INVERSIÓN!$CH$52</f>
        <v>1</v>
      </c>
      <c r="N166" s="104">
        <f>+INVERSIÓN!$CH$52</f>
        <v>1</v>
      </c>
      <c r="O166" s="104">
        <f>+INVERSIÓN!$CH$52</f>
        <v>1</v>
      </c>
      <c r="P166" s="104">
        <f>+INVERSIÓN!$CH$52</f>
        <v>1</v>
      </c>
      <c r="Q166" s="104">
        <f>+INVERSIÓN!$CH$52</f>
        <v>1</v>
      </c>
      <c r="R166" s="104">
        <f>+INVERSIÓN!$CH$52</f>
        <v>1</v>
      </c>
      <c r="S166" s="123"/>
      <c r="T166" s="104">
        <f>+INVERSIÓN!BH52</f>
        <v>1</v>
      </c>
      <c r="U166" s="104">
        <f>+INVERSIÓN!BJ52</f>
        <v>1</v>
      </c>
      <c r="V166" s="104">
        <f>+INVERSIÓN!BL52</f>
        <v>1</v>
      </c>
      <c r="W166" s="104"/>
      <c r="X166" s="104"/>
      <c r="Y166" s="104"/>
      <c r="Z166" s="104"/>
      <c r="AA166" s="104"/>
      <c r="AB166" s="104"/>
      <c r="AC166" s="104"/>
      <c r="AD166" s="104"/>
      <c r="AE166" s="104"/>
      <c r="AF166" s="123"/>
      <c r="AG166" s="361" t="s">
        <v>328</v>
      </c>
      <c r="AH166" s="361" t="s">
        <v>329</v>
      </c>
      <c r="AI166" s="361" t="s">
        <v>329</v>
      </c>
      <c r="AJ166" s="361" t="s">
        <v>331</v>
      </c>
      <c r="AK166" s="361" t="s">
        <v>331</v>
      </c>
      <c r="AL166" s="361" t="s">
        <v>329</v>
      </c>
      <c r="AM166" s="361" t="s">
        <v>329</v>
      </c>
      <c r="AN166" s="361" t="s">
        <v>329</v>
      </c>
      <c r="AO166" s="475">
        <v>3751549</v>
      </c>
      <c r="AP166" s="473">
        <v>4082618</v>
      </c>
      <c r="AQ166" s="361" t="s">
        <v>329</v>
      </c>
      <c r="AR166" s="361" t="s">
        <v>329</v>
      </c>
      <c r="AS166" s="361" t="s">
        <v>329</v>
      </c>
      <c r="AT166" s="361" t="s">
        <v>329</v>
      </c>
      <c r="AU166" s="361" t="s">
        <v>329</v>
      </c>
      <c r="AV166" s="361" t="s">
        <v>329</v>
      </c>
      <c r="AW166" s="361" t="s">
        <v>329</v>
      </c>
      <c r="AX166" s="459">
        <f>+AO166+AP166</f>
        <v>7834167</v>
      </c>
      <c r="AY166" s="461"/>
    </row>
    <row r="167" spans="1:51" ht="29.25" customHeight="1" x14ac:dyDescent="0.25">
      <c r="A167" s="452"/>
      <c r="B167" s="454"/>
      <c r="C167" s="456"/>
      <c r="D167" s="158" t="s">
        <v>3</v>
      </c>
      <c r="E167" s="137">
        <f>+INVERSIÓN!BF53</f>
        <v>725040000</v>
      </c>
      <c r="F167" s="137">
        <f t="shared" ref="F167:F169" si="169">+E167</f>
        <v>725040000</v>
      </c>
      <c r="G167" s="137">
        <f>+INVERSIÓN!$CH$53</f>
        <v>588053000</v>
      </c>
      <c r="H167" s="137">
        <f>+INVERSIÓN!$CH$53</f>
        <v>588053000</v>
      </c>
      <c r="I167" s="137">
        <f>+INVERSIÓN!$CH$53</f>
        <v>588053000</v>
      </c>
      <c r="J167" s="137">
        <f>+INVERSIÓN!$CH$53</f>
        <v>588053000</v>
      </c>
      <c r="K167" s="137">
        <f>+INVERSIÓN!$CH$53</f>
        <v>588053000</v>
      </c>
      <c r="L167" s="137">
        <f>+INVERSIÓN!$CH$53</f>
        <v>588053000</v>
      </c>
      <c r="M167" s="137">
        <f>+INVERSIÓN!$CH$53</f>
        <v>588053000</v>
      </c>
      <c r="N167" s="137">
        <f>+INVERSIÓN!$CH$53</f>
        <v>588053000</v>
      </c>
      <c r="O167" s="137">
        <f>+INVERSIÓN!$CH$53</f>
        <v>588053000</v>
      </c>
      <c r="P167" s="137">
        <f>+INVERSIÓN!$CH$53</f>
        <v>588053000</v>
      </c>
      <c r="Q167" s="137">
        <f>+INVERSIÓN!$CH$53</f>
        <v>588053000</v>
      </c>
      <c r="R167" s="137">
        <f>+INVERSIÓN!$CH$53</f>
        <v>588053000</v>
      </c>
      <c r="S167" s="137"/>
      <c r="T167" s="137">
        <f>+INVERSIÓN!BH53</f>
        <v>585413000</v>
      </c>
      <c r="U167" s="137">
        <f>+INVERSIÓN!BJ53</f>
        <v>0</v>
      </c>
      <c r="V167" s="137">
        <f>INVERSIÓN!CI53</f>
        <v>585413000</v>
      </c>
      <c r="W167" s="137"/>
      <c r="X167" s="137"/>
      <c r="Y167" s="137"/>
      <c r="Z167" s="124"/>
      <c r="AA167" s="124"/>
      <c r="AB167" s="124"/>
      <c r="AC167" s="124"/>
      <c r="AD167" s="124"/>
      <c r="AE167" s="137"/>
      <c r="AF167" s="137"/>
      <c r="AG167" s="361"/>
      <c r="AH167" s="361"/>
      <c r="AI167" s="361"/>
      <c r="AJ167" s="361"/>
      <c r="AK167" s="361"/>
      <c r="AL167" s="361"/>
      <c r="AM167" s="361"/>
      <c r="AN167" s="361"/>
      <c r="AO167" s="476"/>
      <c r="AP167" s="474"/>
      <c r="AQ167" s="361"/>
      <c r="AR167" s="361"/>
      <c r="AS167" s="361"/>
      <c r="AT167" s="361"/>
      <c r="AU167" s="361"/>
      <c r="AV167" s="361"/>
      <c r="AW167" s="361"/>
      <c r="AX167" s="459"/>
      <c r="AY167" s="461"/>
    </row>
    <row r="168" spans="1:51" ht="29.25" customHeight="1" x14ac:dyDescent="0.25">
      <c r="A168" s="452"/>
      <c r="B168" s="454"/>
      <c r="C168" s="456"/>
      <c r="D168" s="157" t="s">
        <v>41</v>
      </c>
      <c r="E168" s="104">
        <f>+INVERSIÓN!BF55</f>
        <v>0</v>
      </c>
      <c r="F168" s="104">
        <f t="shared" si="169"/>
        <v>0</v>
      </c>
      <c r="G168" s="104">
        <f>+INVERSIÓN!$CH$55</f>
        <v>0</v>
      </c>
      <c r="H168" s="104">
        <f>+INVERSIÓN!$CH$55</f>
        <v>0</v>
      </c>
      <c r="I168" s="104">
        <f>+INVERSIÓN!$CH$55</f>
        <v>0</v>
      </c>
      <c r="J168" s="104">
        <f>+INVERSIÓN!$CH$55</f>
        <v>0</v>
      </c>
      <c r="K168" s="104">
        <f>+INVERSIÓN!$CH$55</f>
        <v>0</v>
      </c>
      <c r="L168" s="104">
        <f>+INVERSIÓN!$CH$55</f>
        <v>0</v>
      </c>
      <c r="M168" s="104">
        <f>+INVERSIÓN!$CH$55</f>
        <v>0</v>
      </c>
      <c r="N168" s="104">
        <f>+INVERSIÓN!$CH$55</f>
        <v>0</v>
      </c>
      <c r="O168" s="104">
        <f>+INVERSIÓN!$CH$55</f>
        <v>0</v>
      </c>
      <c r="P168" s="104">
        <f>+INVERSIÓN!$CH$55</f>
        <v>0</v>
      </c>
      <c r="Q168" s="104">
        <f>+INVERSIÓN!$CH$55</f>
        <v>0</v>
      </c>
      <c r="R168" s="104">
        <f>+INVERSIÓN!$CH$55</f>
        <v>0</v>
      </c>
      <c r="S168" s="104"/>
      <c r="T168" s="104">
        <f>+INVERSIÓN!BH55</f>
        <v>0</v>
      </c>
      <c r="U168" s="104">
        <f>+INVERSIÓN!BJ55</f>
        <v>0</v>
      </c>
      <c r="V168" s="104">
        <f>+INVERSIÓN!BL55</f>
        <v>0</v>
      </c>
      <c r="W168" s="104"/>
      <c r="X168" s="104"/>
      <c r="Y168" s="104"/>
      <c r="Z168" s="104"/>
      <c r="AA168" s="104"/>
      <c r="AB168" s="104"/>
      <c r="AC168" s="104"/>
      <c r="AD168" s="104"/>
      <c r="AE168" s="104"/>
      <c r="AF168" s="104"/>
      <c r="AG168" s="361"/>
      <c r="AH168" s="361"/>
      <c r="AI168" s="361"/>
      <c r="AJ168" s="361"/>
      <c r="AK168" s="361"/>
      <c r="AL168" s="361"/>
      <c r="AM168" s="361"/>
      <c r="AN168" s="361"/>
      <c r="AO168" s="476"/>
      <c r="AP168" s="474"/>
      <c r="AQ168" s="361"/>
      <c r="AR168" s="361"/>
      <c r="AS168" s="361"/>
      <c r="AT168" s="361"/>
      <c r="AU168" s="361"/>
      <c r="AV168" s="361"/>
      <c r="AW168" s="361"/>
      <c r="AX168" s="459"/>
      <c r="AY168" s="461"/>
    </row>
    <row r="169" spans="1:51" ht="29.25" customHeight="1" x14ac:dyDescent="0.25">
      <c r="A169" s="452"/>
      <c r="B169" s="454"/>
      <c r="C169" s="456"/>
      <c r="D169" s="158" t="s">
        <v>4</v>
      </c>
      <c r="E169" s="137">
        <f>+INVERSIÓN!BF56</f>
        <v>25802399</v>
      </c>
      <c r="F169" s="137">
        <f t="shared" si="169"/>
        <v>25802399</v>
      </c>
      <c r="G169" s="137">
        <f>+INVERSIÓN!$CH$56</f>
        <v>25802399</v>
      </c>
      <c r="H169" s="137">
        <f>+INVERSIÓN!$CH$56</f>
        <v>25802399</v>
      </c>
      <c r="I169" s="137">
        <f>+INVERSIÓN!$CH$56</f>
        <v>25802399</v>
      </c>
      <c r="J169" s="137">
        <f>+INVERSIÓN!$CH$56</f>
        <v>25802399</v>
      </c>
      <c r="K169" s="137">
        <f>+INVERSIÓN!$CH$56</f>
        <v>25802399</v>
      </c>
      <c r="L169" s="137">
        <f>+INVERSIÓN!$CH$56</f>
        <v>25802399</v>
      </c>
      <c r="M169" s="137">
        <f>+INVERSIÓN!$CH$56</f>
        <v>25802399</v>
      </c>
      <c r="N169" s="137">
        <f>+INVERSIÓN!$CH$56</f>
        <v>25802399</v>
      </c>
      <c r="O169" s="137">
        <f>+INVERSIÓN!$CH$56</f>
        <v>25802399</v>
      </c>
      <c r="P169" s="137">
        <f>+INVERSIÓN!$CH$56</f>
        <v>25802399</v>
      </c>
      <c r="Q169" s="137">
        <f>+INVERSIÓN!$CH$56</f>
        <v>25802399</v>
      </c>
      <c r="R169" s="137">
        <f>+INVERSIÓN!$CH$56</f>
        <v>25802399</v>
      </c>
      <c r="S169" s="124"/>
      <c r="T169" s="137">
        <f>+INVERSIÓN!BH56</f>
        <v>0</v>
      </c>
      <c r="U169" s="137">
        <f>+INVERSIÓN!BJ56</f>
        <v>25802399</v>
      </c>
      <c r="V169" s="137">
        <f>INVERSIÓN!CI56</f>
        <v>25802399</v>
      </c>
      <c r="W169" s="137"/>
      <c r="X169" s="137"/>
      <c r="Y169" s="137"/>
      <c r="Z169" s="124"/>
      <c r="AA169" s="124"/>
      <c r="AB169" s="124"/>
      <c r="AC169" s="124"/>
      <c r="AD169" s="124"/>
      <c r="AE169" s="137"/>
      <c r="AF169" s="137"/>
      <c r="AG169" s="361"/>
      <c r="AH169" s="361"/>
      <c r="AI169" s="361"/>
      <c r="AJ169" s="361"/>
      <c r="AK169" s="361"/>
      <c r="AL169" s="361"/>
      <c r="AM169" s="361"/>
      <c r="AN169" s="361"/>
      <c r="AO169" s="476"/>
      <c r="AP169" s="474"/>
      <c r="AQ169" s="361"/>
      <c r="AR169" s="361"/>
      <c r="AS169" s="361"/>
      <c r="AT169" s="361"/>
      <c r="AU169" s="361"/>
      <c r="AV169" s="361"/>
      <c r="AW169" s="361"/>
      <c r="AX169" s="459"/>
      <c r="AY169" s="461"/>
    </row>
    <row r="170" spans="1:51" ht="29.25" customHeight="1" x14ac:dyDescent="0.25">
      <c r="A170" s="452"/>
      <c r="B170" s="454"/>
      <c r="C170" s="456"/>
      <c r="D170" s="161" t="s">
        <v>42</v>
      </c>
      <c r="E170" s="104">
        <f t="shared" ref="E170:F171" si="170">+E166+E168</f>
        <v>1</v>
      </c>
      <c r="F170" s="104">
        <f t="shared" si="170"/>
        <v>1</v>
      </c>
      <c r="G170" s="104">
        <f t="shared" ref="G170:R171" si="171">+G166+G168</f>
        <v>1</v>
      </c>
      <c r="H170" s="104">
        <f t="shared" si="171"/>
        <v>1</v>
      </c>
      <c r="I170" s="104">
        <f t="shared" si="171"/>
        <v>1</v>
      </c>
      <c r="J170" s="104">
        <f t="shared" si="171"/>
        <v>1</v>
      </c>
      <c r="K170" s="104">
        <f t="shared" si="171"/>
        <v>1</v>
      </c>
      <c r="L170" s="104">
        <f t="shared" si="171"/>
        <v>1</v>
      </c>
      <c r="M170" s="104">
        <f t="shared" si="171"/>
        <v>1</v>
      </c>
      <c r="N170" s="104">
        <f t="shared" si="171"/>
        <v>1</v>
      </c>
      <c r="O170" s="104">
        <f t="shared" si="171"/>
        <v>1</v>
      </c>
      <c r="P170" s="104">
        <f t="shared" si="171"/>
        <v>1</v>
      </c>
      <c r="Q170" s="104">
        <f t="shared" si="171"/>
        <v>1</v>
      </c>
      <c r="R170" s="104">
        <f t="shared" si="171"/>
        <v>1</v>
      </c>
      <c r="S170" s="104"/>
      <c r="T170" s="104">
        <f t="shared" ref="T170:AE171" si="172">+T166+T168</f>
        <v>1</v>
      </c>
      <c r="U170" s="104">
        <f t="shared" ref="U170" si="173">+U166+U168</f>
        <v>1</v>
      </c>
      <c r="V170" s="104">
        <f t="shared" ref="V170" si="174">+V166+V168</f>
        <v>1</v>
      </c>
      <c r="W170" s="104">
        <f t="shared" si="172"/>
        <v>0</v>
      </c>
      <c r="X170" s="104">
        <f t="shared" si="172"/>
        <v>0</v>
      </c>
      <c r="Y170" s="104">
        <f t="shared" si="172"/>
        <v>0</v>
      </c>
      <c r="Z170" s="104">
        <f t="shared" si="172"/>
        <v>0</v>
      </c>
      <c r="AA170" s="104">
        <f t="shared" si="172"/>
        <v>0</v>
      </c>
      <c r="AB170" s="104">
        <f t="shared" si="172"/>
        <v>0</v>
      </c>
      <c r="AC170" s="104">
        <f t="shared" si="172"/>
        <v>0</v>
      </c>
      <c r="AD170" s="104">
        <f t="shared" si="172"/>
        <v>0</v>
      </c>
      <c r="AE170" s="104">
        <f t="shared" si="172"/>
        <v>0</v>
      </c>
      <c r="AF170" s="104"/>
      <c r="AG170" s="361"/>
      <c r="AH170" s="361"/>
      <c r="AI170" s="361"/>
      <c r="AJ170" s="361"/>
      <c r="AK170" s="361"/>
      <c r="AL170" s="361"/>
      <c r="AM170" s="361"/>
      <c r="AN170" s="361"/>
      <c r="AO170" s="476"/>
      <c r="AP170" s="474"/>
      <c r="AQ170" s="361"/>
      <c r="AR170" s="361"/>
      <c r="AS170" s="361"/>
      <c r="AT170" s="361"/>
      <c r="AU170" s="361"/>
      <c r="AV170" s="361"/>
      <c r="AW170" s="361"/>
      <c r="AX170" s="459"/>
      <c r="AY170" s="461"/>
    </row>
    <row r="171" spans="1:51" ht="29.25" customHeight="1" x14ac:dyDescent="0.25">
      <c r="A171" s="452"/>
      <c r="B171" s="454"/>
      <c r="C171" s="456"/>
      <c r="D171" s="162" t="s">
        <v>44</v>
      </c>
      <c r="E171" s="137">
        <f t="shared" si="170"/>
        <v>750842399</v>
      </c>
      <c r="F171" s="137">
        <f t="shared" si="170"/>
        <v>750842399</v>
      </c>
      <c r="G171" s="137">
        <f t="shared" si="171"/>
        <v>613855399</v>
      </c>
      <c r="H171" s="137">
        <f t="shared" si="171"/>
        <v>613855399</v>
      </c>
      <c r="I171" s="137">
        <f t="shared" si="171"/>
        <v>613855399</v>
      </c>
      <c r="J171" s="137">
        <f t="shared" si="171"/>
        <v>613855399</v>
      </c>
      <c r="K171" s="137">
        <f t="shared" si="171"/>
        <v>613855399</v>
      </c>
      <c r="L171" s="137">
        <f t="shared" si="171"/>
        <v>613855399</v>
      </c>
      <c r="M171" s="137">
        <f t="shared" si="171"/>
        <v>613855399</v>
      </c>
      <c r="N171" s="137">
        <f t="shared" si="171"/>
        <v>613855399</v>
      </c>
      <c r="O171" s="137">
        <f t="shared" si="171"/>
        <v>613855399</v>
      </c>
      <c r="P171" s="137">
        <f t="shared" si="171"/>
        <v>613855399</v>
      </c>
      <c r="Q171" s="137">
        <f t="shared" si="171"/>
        <v>613855399</v>
      </c>
      <c r="R171" s="137">
        <f t="shared" si="171"/>
        <v>613855399</v>
      </c>
      <c r="S171" s="137"/>
      <c r="T171" s="137">
        <f t="shared" si="172"/>
        <v>585413000</v>
      </c>
      <c r="U171" s="137">
        <f t="shared" ref="U171" si="175">+U167+U169</f>
        <v>25802399</v>
      </c>
      <c r="V171" s="137">
        <f t="shared" ref="V171" si="176">+V167+V169</f>
        <v>611215399</v>
      </c>
      <c r="W171" s="137">
        <f t="shared" si="172"/>
        <v>0</v>
      </c>
      <c r="X171" s="137">
        <f t="shared" si="172"/>
        <v>0</v>
      </c>
      <c r="Y171" s="137">
        <f t="shared" si="172"/>
        <v>0</v>
      </c>
      <c r="Z171" s="137">
        <f t="shared" si="172"/>
        <v>0</v>
      </c>
      <c r="AA171" s="137">
        <f t="shared" si="172"/>
        <v>0</v>
      </c>
      <c r="AB171" s="137">
        <f t="shared" si="172"/>
        <v>0</v>
      </c>
      <c r="AC171" s="137">
        <f t="shared" si="172"/>
        <v>0</v>
      </c>
      <c r="AD171" s="137">
        <f t="shared" si="172"/>
        <v>0</v>
      </c>
      <c r="AE171" s="137">
        <f t="shared" si="172"/>
        <v>0</v>
      </c>
      <c r="AF171" s="124"/>
      <c r="AG171" s="361"/>
      <c r="AH171" s="361"/>
      <c r="AI171" s="361"/>
      <c r="AJ171" s="361"/>
      <c r="AK171" s="361"/>
      <c r="AL171" s="361"/>
      <c r="AM171" s="361"/>
      <c r="AN171" s="361"/>
      <c r="AO171" s="462"/>
      <c r="AP171" s="464"/>
      <c r="AQ171" s="361"/>
      <c r="AR171" s="361"/>
      <c r="AS171" s="361"/>
      <c r="AT171" s="361"/>
      <c r="AU171" s="361"/>
      <c r="AV171" s="361"/>
      <c r="AW171" s="361"/>
      <c r="AX171" s="459"/>
      <c r="AY171" s="461"/>
    </row>
    <row r="172" spans="1:51" ht="29.25" customHeight="1" x14ac:dyDescent="0.25">
      <c r="A172" s="477" t="s">
        <v>21</v>
      </c>
      <c r="B172" s="477"/>
      <c r="C172" s="477"/>
      <c r="D172" s="301" t="s">
        <v>33</v>
      </c>
      <c r="E172" s="699">
        <f>+E11+E17+E23+E149+E155+E161+E167</f>
        <v>16468441000</v>
      </c>
      <c r="F172" s="699">
        <f>+F11+F17+F23+F149+F155+F161+F167</f>
        <v>16468441000</v>
      </c>
      <c r="G172" s="699">
        <f t="shared" ref="G172:R172" si="177">+G11+G17+G23+G149+G155+G161+G167</f>
        <v>16468441000</v>
      </c>
      <c r="H172" s="699">
        <f t="shared" si="177"/>
        <v>16468441000</v>
      </c>
      <c r="I172" s="699">
        <f t="shared" si="177"/>
        <v>16468441000</v>
      </c>
      <c r="J172" s="699">
        <f t="shared" si="177"/>
        <v>16468441000</v>
      </c>
      <c r="K172" s="699">
        <f t="shared" si="177"/>
        <v>16468441000</v>
      </c>
      <c r="L172" s="699">
        <f t="shared" si="177"/>
        <v>16468441000</v>
      </c>
      <c r="M172" s="699">
        <f t="shared" si="177"/>
        <v>16468441000</v>
      </c>
      <c r="N172" s="699">
        <f t="shared" si="177"/>
        <v>16468441000</v>
      </c>
      <c r="O172" s="699">
        <f t="shared" si="177"/>
        <v>16468441000</v>
      </c>
      <c r="P172" s="699">
        <f t="shared" si="177"/>
        <v>16468441000</v>
      </c>
      <c r="Q172" s="699">
        <f t="shared" si="177"/>
        <v>16468441000</v>
      </c>
      <c r="R172" s="699">
        <f t="shared" si="177"/>
        <v>16468441000</v>
      </c>
      <c r="S172" s="700"/>
      <c r="T172" s="699">
        <f>+T11+T17+T23+T29+T35+T41+T47+T53+T59+T65+T71+T77+T83+T89+T95+T101+T107+T113+T119+T125+T131+T137+T143+T149+T155+T161+T167</f>
        <v>8662799908</v>
      </c>
      <c r="U172" s="699">
        <f>+U11+U17+U23+U29+U35+U41+U47+U53+U59+U65+U71+U77+U83+U89+U95+U101+U107+U113+U119+U125+U131+U137+U143+U149+U155+U161+U167</f>
        <v>665963000</v>
      </c>
      <c r="V172" s="699">
        <f>+V11+V17+V23+V29+V35+V41+V47+V53+V59+V65+V71+V77+V83+V89+V95+V101+V107+V113+V119+V125+V131+V137+V143+V149+V155+V161+V167</f>
        <v>8712799908</v>
      </c>
      <c r="W172" s="699">
        <f t="shared" ref="W172:AD172" si="178">+W11+W17+W23+W29+W35+W41+W47+W53+W59+W65+W71+W77+W83+W89+W95+W101+W107+W113+W119+W125+W131+W137+W143+W149+W155+W161+W167</f>
        <v>0</v>
      </c>
      <c r="X172" s="699">
        <f t="shared" si="178"/>
        <v>0</v>
      </c>
      <c r="Y172" s="699">
        <f t="shared" si="178"/>
        <v>0</v>
      </c>
      <c r="Z172" s="699">
        <f t="shared" si="178"/>
        <v>0</v>
      </c>
      <c r="AA172" s="699">
        <f t="shared" si="178"/>
        <v>0</v>
      </c>
      <c r="AB172" s="699">
        <f t="shared" si="178"/>
        <v>0</v>
      </c>
      <c r="AC172" s="699">
        <f t="shared" si="178"/>
        <v>0</v>
      </c>
      <c r="AD172" s="699">
        <f t="shared" si="178"/>
        <v>0</v>
      </c>
      <c r="AE172" s="699">
        <f>+AE11+AE17+AE23+AE29+AE35+AE41+AE47+AE53+AE59+AE65+AE71+AE77+AE83+AE89+AE95+AE101+AE107+AE113+AE119+AE125+AE131+AE137+AE143+AE149+AE155+AE161+AE167</f>
        <v>0</v>
      </c>
      <c r="AF172" s="700"/>
      <c r="AG172" s="370"/>
      <c r="AH172" s="370"/>
      <c r="AI172" s="370"/>
      <c r="AJ172" s="370"/>
      <c r="AK172" s="370"/>
      <c r="AL172" s="370"/>
      <c r="AM172" s="370"/>
      <c r="AN172" s="370"/>
      <c r="AO172" s="370"/>
      <c r="AP172" s="370"/>
      <c r="AQ172" s="370"/>
      <c r="AR172" s="370"/>
      <c r="AS172" s="370"/>
      <c r="AT172" s="370"/>
      <c r="AU172" s="370"/>
      <c r="AV172" s="370"/>
      <c r="AW172" s="370"/>
      <c r="AX172" s="370"/>
      <c r="AY172" s="370"/>
    </row>
    <row r="173" spans="1:51" ht="29.25" customHeight="1" x14ac:dyDescent="0.25">
      <c r="A173" s="477"/>
      <c r="B173" s="477"/>
      <c r="C173" s="477"/>
      <c r="D173" s="301" t="s">
        <v>32</v>
      </c>
      <c r="E173" s="699">
        <f t="shared" ref="E173:R173" si="179">+E13+E19+E25+E151+E157+E163+E169</f>
        <v>2042082059</v>
      </c>
      <c r="F173" s="699">
        <f t="shared" ref="F173" si="180">+F13+F19+F25+F151+F157+F163+F169</f>
        <v>2042082059</v>
      </c>
      <c r="G173" s="699">
        <f t="shared" si="179"/>
        <v>2042082059</v>
      </c>
      <c r="H173" s="699">
        <f t="shared" si="179"/>
        <v>2042082059</v>
      </c>
      <c r="I173" s="699">
        <f t="shared" si="179"/>
        <v>2042082059</v>
      </c>
      <c r="J173" s="699">
        <f t="shared" si="179"/>
        <v>2042082059</v>
      </c>
      <c r="K173" s="699">
        <f t="shared" si="179"/>
        <v>2042082059</v>
      </c>
      <c r="L173" s="699">
        <f t="shared" si="179"/>
        <v>2042082059</v>
      </c>
      <c r="M173" s="699">
        <f t="shared" si="179"/>
        <v>2042082059</v>
      </c>
      <c r="N173" s="699">
        <f t="shared" si="179"/>
        <v>2042082059</v>
      </c>
      <c r="O173" s="699">
        <f t="shared" si="179"/>
        <v>2042082059</v>
      </c>
      <c r="P173" s="699">
        <f t="shared" si="179"/>
        <v>2042082059</v>
      </c>
      <c r="Q173" s="699">
        <f t="shared" si="179"/>
        <v>2042082059</v>
      </c>
      <c r="R173" s="699">
        <f t="shared" si="179"/>
        <v>2042082059</v>
      </c>
      <c r="S173" s="700"/>
      <c r="T173" s="699">
        <f>+T13+T19+T25+T31+T37+T43+T49+T55+T61+T67+T73+T79+T85+T91+T97+T103+T109+T115+T121+T127+T133+T139+T145+T151+T157+T163+T169</f>
        <v>0</v>
      </c>
      <c r="U173" s="699">
        <f>+U13+U19+U25+U31+U37+U43+U49+U55+U61+U67+U73+U79+U85+U91+U97+U103+U109+U115+U121+U127+U133+U139+U145+U151+U157+U163+U169</f>
        <v>275548817</v>
      </c>
      <c r="V173" s="699">
        <f>+V13+V19+V25+V31+V37+V43+V49+V55+V61+V67+V73+V79+V85+V91+V97+V103+V109+V115+V121+V127+V133+V139+V145+V151+V157+V163+V169</f>
        <v>423161350</v>
      </c>
      <c r="W173" s="699">
        <f t="shared" ref="W173:AE173" si="181">+W13+W19+W25+W31+W37+W43+W49+W55+W61+W67+W73+W79+W85+W91+W97+W103+W109+W115+W121+W127+W133+W139+W145+W151+W157+W163+W169</f>
        <v>0</v>
      </c>
      <c r="X173" s="699">
        <f t="shared" si="181"/>
        <v>0</v>
      </c>
      <c r="Y173" s="699">
        <f t="shared" si="181"/>
        <v>0</v>
      </c>
      <c r="Z173" s="699">
        <f t="shared" si="181"/>
        <v>0</v>
      </c>
      <c r="AA173" s="699">
        <f t="shared" si="181"/>
        <v>0</v>
      </c>
      <c r="AB173" s="699">
        <f t="shared" si="181"/>
        <v>0</v>
      </c>
      <c r="AC173" s="699">
        <f t="shared" si="181"/>
        <v>0</v>
      </c>
      <c r="AD173" s="699">
        <f t="shared" si="181"/>
        <v>0</v>
      </c>
      <c r="AE173" s="699">
        <f t="shared" si="181"/>
        <v>0</v>
      </c>
      <c r="AF173" s="700"/>
      <c r="AG173" s="370"/>
      <c r="AH173" s="370"/>
      <c r="AI173" s="370"/>
      <c r="AJ173" s="370"/>
      <c r="AK173" s="370"/>
      <c r="AL173" s="370"/>
      <c r="AM173" s="370"/>
      <c r="AN173" s="370"/>
      <c r="AO173" s="370"/>
      <c r="AP173" s="370"/>
      <c r="AQ173" s="370"/>
      <c r="AR173" s="370"/>
      <c r="AS173" s="370"/>
      <c r="AT173" s="370"/>
      <c r="AU173" s="370"/>
      <c r="AV173" s="370"/>
      <c r="AW173" s="370"/>
      <c r="AX173" s="370"/>
      <c r="AY173" s="370"/>
    </row>
    <row r="174" spans="1:51" ht="29.25" customHeight="1" x14ac:dyDescent="0.25">
      <c r="A174" s="477"/>
      <c r="B174" s="477"/>
      <c r="C174" s="477"/>
      <c r="D174" s="301" t="s">
        <v>31</v>
      </c>
      <c r="E174" s="699">
        <f t="shared" ref="E174:F174" si="182">+E172+E173</f>
        <v>18510523059</v>
      </c>
      <c r="F174" s="699">
        <f t="shared" si="182"/>
        <v>18510523059</v>
      </c>
      <c r="G174" s="699">
        <f t="shared" ref="G174:R174" si="183">+G172+G173</f>
        <v>18510523059</v>
      </c>
      <c r="H174" s="699">
        <f t="shared" si="183"/>
        <v>18510523059</v>
      </c>
      <c r="I174" s="699">
        <f t="shared" si="183"/>
        <v>18510523059</v>
      </c>
      <c r="J174" s="699">
        <f t="shared" si="183"/>
        <v>18510523059</v>
      </c>
      <c r="K174" s="699">
        <f t="shared" si="183"/>
        <v>18510523059</v>
      </c>
      <c r="L174" s="699">
        <f t="shared" si="183"/>
        <v>18510523059</v>
      </c>
      <c r="M174" s="699">
        <f t="shared" si="183"/>
        <v>18510523059</v>
      </c>
      <c r="N174" s="699">
        <f t="shared" si="183"/>
        <v>18510523059</v>
      </c>
      <c r="O174" s="699">
        <f t="shared" si="183"/>
        <v>18510523059</v>
      </c>
      <c r="P174" s="699">
        <f t="shared" si="183"/>
        <v>18510523059</v>
      </c>
      <c r="Q174" s="699">
        <f t="shared" si="183"/>
        <v>18510523059</v>
      </c>
      <c r="R174" s="699">
        <f t="shared" si="183"/>
        <v>18510523059</v>
      </c>
      <c r="S174" s="700"/>
      <c r="T174" s="699">
        <f t="shared" ref="T174" si="184">+T172+T173</f>
        <v>8662799908</v>
      </c>
      <c r="U174" s="699">
        <f t="shared" ref="U174" si="185">+U172+U173</f>
        <v>941511817</v>
      </c>
      <c r="V174" s="699">
        <f t="shared" ref="V174" si="186">+V172+V173</f>
        <v>9135961258</v>
      </c>
      <c r="W174" s="699">
        <f t="shared" ref="W174:AE174" si="187">+W172+W173</f>
        <v>0</v>
      </c>
      <c r="X174" s="699">
        <f t="shared" si="187"/>
        <v>0</v>
      </c>
      <c r="Y174" s="699">
        <f t="shared" si="187"/>
        <v>0</v>
      </c>
      <c r="Z174" s="699">
        <f t="shared" si="187"/>
        <v>0</v>
      </c>
      <c r="AA174" s="699">
        <f t="shared" si="187"/>
        <v>0</v>
      </c>
      <c r="AB174" s="699">
        <f t="shared" si="187"/>
        <v>0</v>
      </c>
      <c r="AC174" s="699">
        <f t="shared" si="187"/>
        <v>0</v>
      </c>
      <c r="AD174" s="699">
        <f t="shared" si="187"/>
        <v>0</v>
      </c>
      <c r="AE174" s="699">
        <f t="shared" si="187"/>
        <v>0</v>
      </c>
      <c r="AF174" s="700"/>
      <c r="AG174" s="370"/>
      <c r="AH174" s="370"/>
      <c r="AI174" s="370"/>
      <c r="AJ174" s="370"/>
      <c r="AK174" s="370"/>
      <c r="AL174" s="370"/>
      <c r="AM174" s="370"/>
      <c r="AN174" s="370"/>
      <c r="AO174" s="370"/>
      <c r="AP174" s="370"/>
      <c r="AQ174" s="370"/>
      <c r="AR174" s="370"/>
      <c r="AS174" s="370"/>
      <c r="AT174" s="370"/>
      <c r="AU174" s="370"/>
      <c r="AV174" s="370"/>
      <c r="AW174" s="370"/>
      <c r="AX174" s="370"/>
      <c r="AY174" s="370"/>
    </row>
    <row r="175" spans="1:51" ht="29.25" customHeight="1" x14ac:dyDescent="0.25">
      <c r="A175" s="24"/>
      <c r="B175" s="24"/>
      <c r="C175" s="24"/>
      <c r="D175" s="24"/>
      <c r="E175" s="25"/>
      <c r="F175" s="62"/>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49"/>
      <c r="AE175" s="24"/>
      <c r="AF175" s="24"/>
      <c r="AG175" s="24"/>
      <c r="AH175" s="24"/>
      <c r="AI175" s="24"/>
      <c r="AJ175" s="24"/>
      <c r="AK175" s="24"/>
      <c r="AL175" s="24"/>
      <c r="AM175" s="24"/>
      <c r="AN175" s="24"/>
      <c r="AO175" s="24"/>
      <c r="AP175" s="40"/>
      <c r="AQ175" s="40"/>
      <c r="AR175" s="24"/>
      <c r="AS175" s="24"/>
      <c r="AT175" s="24"/>
      <c r="AU175" s="24"/>
      <c r="AV175" s="24"/>
      <c r="AW175" s="24"/>
      <c r="AX175" s="40"/>
    </row>
    <row r="176" spans="1:51" ht="29.25" customHeight="1" x14ac:dyDescent="0.25">
      <c r="A176" s="26"/>
      <c r="B176" s="26" t="s">
        <v>34</v>
      </c>
      <c r="C176" s="24"/>
      <c r="D176" s="24"/>
      <c r="E176" s="25"/>
      <c r="F176" s="62"/>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49"/>
      <c r="AE176" s="24"/>
      <c r="AF176" s="24"/>
      <c r="AG176" s="24"/>
      <c r="AH176" s="24"/>
      <c r="AI176" s="24"/>
      <c r="AJ176" s="27"/>
      <c r="AK176" s="27"/>
      <c r="AL176" s="27"/>
      <c r="AM176" s="27"/>
      <c r="AN176" s="27"/>
      <c r="AO176" s="27"/>
      <c r="AP176" s="41"/>
      <c r="AQ176" s="41"/>
      <c r="AR176" s="28"/>
      <c r="AS176" s="28"/>
      <c r="AT176" s="28"/>
      <c r="AU176" s="28"/>
      <c r="AV176" s="28"/>
      <c r="AW176" s="28"/>
      <c r="AX176" s="28"/>
    </row>
    <row r="177" spans="1:50" ht="29.25" customHeight="1" x14ac:dyDescent="0.25">
      <c r="A177" s="29"/>
      <c r="B177" s="323" t="s">
        <v>35</v>
      </c>
      <c r="C177" s="352" t="s">
        <v>36</v>
      </c>
      <c r="D177" s="353"/>
      <c r="E177" s="353"/>
      <c r="F177" s="353"/>
      <c r="G177" s="353"/>
      <c r="H177" s="353"/>
      <c r="I177" s="354"/>
      <c r="J177" s="680" t="s">
        <v>37</v>
      </c>
      <c r="K177" s="681"/>
      <c r="L177" s="681"/>
      <c r="M177" s="681"/>
      <c r="N177" s="681"/>
      <c r="O177" s="681"/>
      <c r="P177" s="682"/>
      <c r="Q177" s="29"/>
      <c r="R177" s="29"/>
      <c r="S177" s="29"/>
      <c r="T177" s="29"/>
      <c r="U177" s="29"/>
      <c r="V177" s="29"/>
      <c r="W177" s="29"/>
      <c r="X177" s="29"/>
      <c r="Y177" s="29"/>
      <c r="Z177" s="29"/>
      <c r="AA177" s="29"/>
      <c r="AB177" s="29"/>
      <c r="AC177" s="29"/>
      <c r="AD177" s="208"/>
      <c r="AE177" s="29"/>
      <c r="AF177" s="29"/>
      <c r="AG177" s="29"/>
      <c r="AH177" s="29"/>
      <c r="AI177" s="29"/>
      <c r="AJ177" s="29"/>
      <c r="AK177" s="29"/>
      <c r="AL177" s="29"/>
      <c r="AM177" s="29"/>
      <c r="AN177" s="29"/>
      <c r="AO177" s="29"/>
      <c r="AP177" s="29"/>
      <c r="AQ177" s="29"/>
      <c r="AR177" s="29"/>
      <c r="AS177" s="29"/>
      <c r="AT177" s="29"/>
      <c r="AU177" s="29"/>
      <c r="AV177" s="29"/>
      <c r="AW177" s="29"/>
      <c r="AX177" s="29"/>
    </row>
    <row r="178" spans="1:50" ht="29.25" customHeight="1" x14ac:dyDescent="0.25">
      <c r="A178" s="29"/>
      <c r="B178" s="326">
        <v>13</v>
      </c>
      <c r="C178" s="358" t="s">
        <v>89</v>
      </c>
      <c r="D178" s="358"/>
      <c r="E178" s="358"/>
      <c r="F178" s="358"/>
      <c r="G178" s="358"/>
      <c r="H178" s="358"/>
      <c r="I178" s="358"/>
      <c r="J178" s="683" t="s">
        <v>80</v>
      </c>
      <c r="K178" s="683"/>
      <c r="L178" s="683"/>
      <c r="M178" s="683"/>
      <c r="N178" s="683"/>
      <c r="O178" s="683"/>
      <c r="P178" s="683"/>
      <c r="Q178" s="30"/>
      <c r="R178" s="30"/>
      <c r="S178" s="30"/>
      <c r="T178" s="30"/>
      <c r="U178" s="30"/>
      <c r="V178" s="30"/>
      <c r="W178" s="30"/>
      <c r="X178" s="30"/>
      <c r="Y178" s="30"/>
      <c r="Z178" s="30"/>
      <c r="AA178" s="30"/>
      <c r="AB178" s="30"/>
      <c r="AC178" s="30"/>
      <c r="AD178" s="207"/>
      <c r="AE178" s="29"/>
      <c r="AF178" s="29"/>
      <c r="AG178" s="29"/>
      <c r="AH178" s="29"/>
      <c r="AI178" s="29"/>
      <c r="AJ178" s="29"/>
      <c r="AK178" s="29"/>
      <c r="AL178" s="29"/>
      <c r="AM178" s="29"/>
      <c r="AN178" s="29"/>
      <c r="AO178" s="29"/>
      <c r="AP178" s="29"/>
      <c r="AQ178" s="29"/>
      <c r="AR178" s="29"/>
      <c r="AS178" s="29"/>
      <c r="AT178" s="29"/>
      <c r="AU178" s="29"/>
      <c r="AV178" s="29"/>
      <c r="AW178" s="29"/>
      <c r="AX178" s="29"/>
    </row>
    <row r="179" spans="1:50" ht="29.25" customHeight="1" x14ac:dyDescent="0.25">
      <c r="A179" s="29"/>
      <c r="B179" s="326">
        <v>14</v>
      </c>
      <c r="C179" s="358" t="s">
        <v>258</v>
      </c>
      <c r="D179" s="358"/>
      <c r="E179" s="358"/>
      <c r="F179" s="358"/>
      <c r="G179" s="358"/>
      <c r="H179" s="358"/>
      <c r="I179" s="358"/>
      <c r="J179" s="684" t="s">
        <v>572</v>
      </c>
      <c r="K179" s="684"/>
      <c r="L179" s="684"/>
      <c r="M179" s="684"/>
      <c r="N179" s="684"/>
      <c r="O179" s="684"/>
      <c r="P179" s="684"/>
      <c r="Q179" s="29"/>
      <c r="R179" s="29"/>
      <c r="S179" s="29"/>
      <c r="T179" s="29"/>
      <c r="U179" s="29"/>
      <c r="V179" s="29"/>
      <c r="W179" s="29"/>
      <c r="X179" s="29"/>
      <c r="Y179" s="29"/>
      <c r="Z179" s="29"/>
      <c r="AA179" s="29"/>
      <c r="AB179" s="29"/>
      <c r="AC179" s="29"/>
      <c r="AD179" s="207"/>
      <c r="AE179" s="29"/>
      <c r="AF179" s="29"/>
      <c r="AG179" s="29"/>
      <c r="AH179" s="29"/>
      <c r="AI179" s="29"/>
      <c r="AJ179" s="29"/>
      <c r="AK179" s="29"/>
      <c r="AL179" s="29"/>
      <c r="AM179" s="29"/>
      <c r="AN179" s="29"/>
      <c r="AO179" s="29"/>
      <c r="AP179" s="29"/>
      <c r="AQ179" s="29"/>
      <c r="AR179" s="29"/>
      <c r="AS179" s="29"/>
      <c r="AT179" s="29"/>
      <c r="AU179" s="29"/>
      <c r="AV179" s="29"/>
      <c r="AW179" s="29"/>
      <c r="AX179" s="29"/>
    </row>
    <row r="180" spans="1:50" ht="29.25" customHeight="1" x14ac:dyDescent="0.25">
      <c r="A180" s="29"/>
      <c r="B180" s="29"/>
      <c r="C180" s="29"/>
      <c r="D180" s="29"/>
      <c r="E180" s="29"/>
      <c r="F180" s="63"/>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07"/>
      <c r="AE180" s="29"/>
      <c r="AF180" s="29"/>
      <c r="AG180" s="29"/>
      <c r="AH180" s="29"/>
      <c r="AI180" s="29"/>
      <c r="AJ180" s="29"/>
      <c r="AK180" s="29"/>
      <c r="AL180" s="29"/>
      <c r="AM180" s="29"/>
      <c r="AN180" s="29"/>
      <c r="AO180" s="29"/>
      <c r="AP180" s="29"/>
      <c r="AQ180" s="29"/>
      <c r="AR180" s="29"/>
      <c r="AS180" s="29"/>
      <c r="AT180" s="29"/>
      <c r="AU180" s="29"/>
      <c r="AV180" s="29"/>
      <c r="AW180" s="29"/>
      <c r="AX180" s="29"/>
    </row>
    <row r="181" spans="1:50" ht="29.25" customHeight="1" x14ac:dyDescent="0.25">
      <c r="A181" s="29"/>
      <c r="B181" s="29"/>
      <c r="C181" s="29"/>
      <c r="D181" s="29"/>
      <c r="E181" s="29"/>
      <c r="F181" s="63"/>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07"/>
      <c r="AE181" s="29"/>
      <c r="AF181" s="29"/>
      <c r="AG181" s="29"/>
      <c r="AH181" s="29"/>
      <c r="AI181" s="29"/>
      <c r="AJ181" s="29"/>
      <c r="AK181" s="29"/>
      <c r="AL181" s="29"/>
      <c r="AM181" s="29"/>
      <c r="AN181" s="29"/>
      <c r="AO181" s="29"/>
      <c r="AP181" s="29"/>
      <c r="AQ181" s="29"/>
      <c r="AR181" s="29"/>
      <c r="AS181" s="29"/>
      <c r="AT181" s="29"/>
      <c r="AU181" s="29"/>
      <c r="AV181" s="29"/>
      <c r="AW181" s="29"/>
      <c r="AX181" s="29"/>
    </row>
    <row r="182" spans="1:50" ht="29.25" customHeight="1" x14ac:dyDescent="0.25">
      <c r="A182" s="29"/>
      <c r="B182" s="29"/>
      <c r="C182" s="29"/>
      <c r="D182" s="29"/>
      <c r="E182" s="29"/>
      <c r="F182" s="63"/>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07"/>
      <c r="AE182" s="29"/>
      <c r="AF182" s="29"/>
      <c r="AG182" s="29"/>
      <c r="AH182" s="29"/>
      <c r="AI182" s="29"/>
      <c r="AJ182" s="29"/>
      <c r="AK182" s="29"/>
      <c r="AL182" s="29"/>
      <c r="AM182" s="29"/>
      <c r="AN182" s="29"/>
      <c r="AO182" s="29"/>
      <c r="AP182" s="29"/>
      <c r="AQ182" s="29"/>
      <c r="AR182" s="29"/>
      <c r="AS182" s="29"/>
      <c r="AT182" s="29"/>
      <c r="AU182" s="29"/>
      <c r="AV182" s="29"/>
      <c r="AW182" s="29"/>
      <c r="AX182" s="29"/>
    </row>
    <row r="183" spans="1:50" ht="29.25" customHeight="1" x14ac:dyDescent="0.25">
      <c r="A183" s="29"/>
      <c r="B183" s="29"/>
      <c r="C183" s="29"/>
      <c r="D183" s="29"/>
      <c r="E183" s="29"/>
      <c r="F183" s="63"/>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07"/>
      <c r="AE183" s="29"/>
      <c r="AF183" s="29"/>
      <c r="AG183" s="29"/>
      <c r="AH183" s="29"/>
      <c r="AI183" s="29"/>
      <c r="AJ183" s="29"/>
      <c r="AK183" s="29"/>
      <c r="AL183" s="29"/>
      <c r="AM183" s="29"/>
      <c r="AN183" s="29"/>
      <c r="AO183" s="29"/>
      <c r="AP183" s="29"/>
      <c r="AQ183" s="29"/>
      <c r="AR183" s="29"/>
      <c r="AS183" s="29"/>
      <c r="AT183" s="29"/>
      <c r="AU183" s="29"/>
      <c r="AV183" s="29"/>
      <c r="AW183" s="29"/>
      <c r="AX183" s="29"/>
    </row>
    <row r="184" spans="1:50" ht="29.25" customHeight="1" x14ac:dyDescent="0.25">
      <c r="A184" s="29"/>
      <c r="B184" s="29"/>
      <c r="C184" s="29"/>
      <c r="D184" s="29"/>
      <c r="E184" s="29"/>
      <c r="F184" s="63"/>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07"/>
      <c r="AE184" s="29"/>
      <c r="AF184" s="29"/>
      <c r="AG184" s="29"/>
      <c r="AH184" s="29"/>
      <c r="AI184" s="29"/>
      <c r="AJ184" s="29"/>
      <c r="AK184" s="29"/>
      <c r="AL184" s="29"/>
      <c r="AM184" s="29"/>
      <c r="AN184" s="29"/>
      <c r="AO184" s="29"/>
      <c r="AP184" s="29"/>
      <c r="AQ184" s="29"/>
      <c r="AR184" s="29"/>
      <c r="AS184" s="29"/>
      <c r="AT184" s="29"/>
      <c r="AU184" s="29"/>
      <c r="AV184" s="29"/>
      <c r="AW184" s="29"/>
      <c r="AX184" s="29"/>
    </row>
    <row r="185" spans="1:50" ht="29.25" customHeight="1" x14ac:dyDescent="0.25">
      <c r="A185" s="29"/>
      <c r="B185" s="29"/>
      <c r="C185" s="29"/>
      <c r="D185" s="29"/>
      <c r="E185" s="29"/>
      <c r="F185" s="63"/>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07"/>
      <c r="AE185" s="29"/>
      <c r="AF185" s="29"/>
      <c r="AG185" s="29"/>
      <c r="AH185" s="29"/>
      <c r="AI185" s="29"/>
      <c r="AJ185" s="29"/>
      <c r="AK185" s="29"/>
      <c r="AL185" s="29"/>
      <c r="AM185" s="29"/>
      <c r="AN185" s="29"/>
      <c r="AO185" s="29"/>
      <c r="AP185" s="29"/>
      <c r="AQ185" s="29"/>
      <c r="AR185" s="29"/>
      <c r="AS185" s="29"/>
      <c r="AT185" s="29"/>
      <c r="AU185" s="29"/>
      <c r="AV185" s="29"/>
      <c r="AW185" s="29"/>
      <c r="AX185" s="29"/>
    </row>
    <row r="186" spans="1:50" ht="29.25" customHeight="1" x14ac:dyDescent="0.25">
      <c r="R186" s="29"/>
      <c r="S186" s="29"/>
      <c r="T186" s="29"/>
      <c r="U186" s="29"/>
      <c r="V186" s="29"/>
      <c r="W186" s="29"/>
      <c r="X186" s="29"/>
      <c r="Y186" s="29"/>
      <c r="Z186" s="29"/>
      <c r="AA186" s="29"/>
      <c r="AB186" s="29"/>
      <c r="AC186" s="29"/>
      <c r="AD186" s="207"/>
    </row>
    <row r="187" spans="1:50" ht="29.25" customHeight="1" x14ac:dyDescent="0.25">
      <c r="R187" s="29"/>
      <c r="S187" s="29"/>
      <c r="T187" s="29"/>
      <c r="U187" s="29"/>
      <c r="V187" s="29"/>
      <c r="W187" s="29"/>
      <c r="X187" s="29"/>
      <c r="Y187" s="29"/>
      <c r="Z187" s="29"/>
      <c r="AA187" s="29"/>
      <c r="AB187" s="29"/>
      <c r="AC187" s="29"/>
      <c r="AD187" s="207"/>
    </row>
    <row r="188" spans="1:50" ht="29.25" customHeight="1" x14ac:dyDescent="0.25">
      <c r="R188" s="29"/>
      <c r="S188" s="29"/>
      <c r="T188" s="29"/>
      <c r="U188" s="29"/>
      <c r="V188" s="29"/>
      <c r="W188" s="29"/>
      <c r="X188" s="29"/>
      <c r="Y188" s="29"/>
      <c r="Z188" s="29"/>
      <c r="AA188" s="29"/>
      <c r="AB188" s="29"/>
      <c r="AC188" s="29"/>
      <c r="AD188" s="207"/>
    </row>
    <row r="189" spans="1:50" ht="29.25" customHeight="1" x14ac:dyDescent="0.25">
      <c r="R189" s="29"/>
      <c r="S189" s="29"/>
      <c r="T189" s="29"/>
      <c r="U189" s="29"/>
      <c r="V189" s="29"/>
      <c r="W189" s="29"/>
      <c r="X189" s="29"/>
      <c r="Y189" s="29"/>
      <c r="Z189" s="29"/>
      <c r="AA189" s="29"/>
      <c r="AB189" s="29"/>
      <c r="AC189" s="29"/>
      <c r="AD189" s="207"/>
    </row>
    <row r="190" spans="1:50" ht="29.25" customHeight="1" x14ac:dyDescent="0.25">
      <c r="R190" s="29"/>
      <c r="S190" s="29"/>
      <c r="T190" s="29"/>
      <c r="U190" s="29"/>
      <c r="V190" s="29"/>
      <c r="W190" s="29"/>
      <c r="X190" s="29"/>
      <c r="Y190" s="29"/>
      <c r="Z190" s="29"/>
      <c r="AA190" s="29"/>
      <c r="AB190" s="29"/>
      <c r="AC190" s="29"/>
      <c r="AD190" s="207"/>
    </row>
    <row r="191" spans="1:50" ht="29.25" customHeight="1" x14ac:dyDescent="0.25">
      <c r="R191" s="29"/>
      <c r="S191" s="29"/>
      <c r="T191" s="29"/>
      <c r="U191" s="29"/>
      <c r="V191" s="29"/>
      <c r="W191" s="29"/>
      <c r="X191" s="29"/>
      <c r="Y191" s="29"/>
      <c r="Z191" s="29"/>
      <c r="AA191" s="29"/>
      <c r="AB191" s="29"/>
      <c r="AC191" s="29"/>
      <c r="AD191" s="207"/>
    </row>
    <row r="192" spans="1:50" ht="29.25" customHeight="1" x14ac:dyDescent="0.25">
      <c r="R192" s="29"/>
      <c r="S192" s="29"/>
      <c r="T192" s="29"/>
      <c r="U192" s="29"/>
      <c r="V192" s="29"/>
      <c r="W192" s="29"/>
      <c r="X192" s="29"/>
      <c r="Y192" s="29"/>
      <c r="Z192" s="29"/>
      <c r="AA192" s="29"/>
      <c r="AB192" s="29"/>
      <c r="AC192" s="29"/>
      <c r="AD192" s="207"/>
    </row>
    <row r="193" spans="18:30" ht="29.25" customHeight="1" x14ac:dyDescent="0.25">
      <c r="R193" s="29"/>
      <c r="S193" s="29"/>
      <c r="T193" s="29"/>
      <c r="U193" s="29"/>
      <c r="V193" s="29"/>
      <c r="W193" s="29"/>
      <c r="X193" s="29"/>
      <c r="Y193" s="29"/>
      <c r="Z193" s="29"/>
      <c r="AA193" s="29"/>
      <c r="AB193" s="29"/>
      <c r="AC193" s="29"/>
      <c r="AD193" s="207"/>
    </row>
    <row r="194" spans="18:30" ht="29.25" customHeight="1" x14ac:dyDescent="0.25">
      <c r="R194" s="29"/>
      <c r="S194" s="29"/>
      <c r="T194" s="29"/>
      <c r="U194" s="29"/>
      <c r="V194" s="29"/>
      <c r="W194" s="29"/>
      <c r="X194" s="29"/>
      <c r="Y194" s="29"/>
      <c r="Z194" s="29"/>
      <c r="AA194" s="29"/>
      <c r="AB194" s="29"/>
      <c r="AC194" s="29"/>
      <c r="AD194" s="207"/>
    </row>
    <row r="195" spans="18:30" ht="29.25" customHeight="1" x14ac:dyDescent="0.25">
      <c r="R195" s="29"/>
      <c r="S195" s="29"/>
      <c r="T195" s="29"/>
      <c r="U195" s="29"/>
      <c r="V195" s="29"/>
      <c r="W195" s="29"/>
      <c r="X195" s="29"/>
      <c r="Y195" s="29"/>
      <c r="Z195" s="29"/>
      <c r="AA195" s="29"/>
      <c r="AB195" s="29"/>
      <c r="AC195" s="29"/>
      <c r="AD195" s="207"/>
    </row>
    <row r="196" spans="18:30" ht="29.25" customHeight="1" x14ac:dyDescent="0.25">
      <c r="R196" s="29"/>
      <c r="S196" s="29"/>
      <c r="T196" s="29"/>
      <c r="U196" s="29"/>
      <c r="V196" s="29"/>
      <c r="W196" s="29"/>
      <c r="X196" s="29"/>
      <c r="Y196" s="29"/>
      <c r="Z196" s="29"/>
      <c r="AA196" s="29"/>
      <c r="AB196" s="29"/>
      <c r="AC196" s="29"/>
      <c r="AD196" s="207"/>
    </row>
    <row r="197" spans="18:30" ht="29.25" customHeight="1" x14ac:dyDescent="0.25">
      <c r="R197" s="29"/>
      <c r="S197" s="29"/>
      <c r="T197" s="29"/>
      <c r="U197" s="29"/>
      <c r="V197" s="29"/>
      <c r="W197" s="29"/>
      <c r="X197" s="29"/>
      <c r="Y197" s="29"/>
      <c r="Z197" s="29"/>
      <c r="AA197" s="29"/>
      <c r="AB197" s="29"/>
      <c r="AC197" s="29"/>
      <c r="AD197" s="207"/>
    </row>
    <row r="198" spans="18:30" ht="29.25" customHeight="1" x14ac:dyDescent="0.25">
      <c r="R198" s="29"/>
      <c r="S198" s="29"/>
      <c r="T198" s="29"/>
      <c r="U198" s="29"/>
      <c r="V198" s="29"/>
      <c r="W198" s="29"/>
      <c r="X198" s="29"/>
      <c r="Y198" s="29"/>
      <c r="Z198" s="29"/>
      <c r="AA198" s="29"/>
      <c r="AB198" s="29"/>
      <c r="AC198" s="29"/>
      <c r="AD198" s="207"/>
    </row>
    <row r="199" spans="18:30" ht="29.25" customHeight="1" x14ac:dyDescent="0.25">
      <c r="R199" s="29"/>
      <c r="S199" s="29"/>
      <c r="T199" s="29"/>
      <c r="U199" s="29"/>
      <c r="V199" s="29"/>
      <c r="W199" s="29"/>
      <c r="X199" s="29"/>
      <c r="Y199" s="29"/>
      <c r="Z199" s="29"/>
      <c r="AA199" s="29"/>
      <c r="AB199" s="29"/>
      <c r="AC199" s="29"/>
      <c r="AD199" s="207"/>
    </row>
    <row r="200" spans="18:30" ht="29.25" customHeight="1" x14ac:dyDescent="0.25">
      <c r="R200" s="29"/>
      <c r="S200" s="29"/>
      <c r="T200" s="29"/>
      <c r="U200" s="29"/>
      <c r="V200" s="29"/>
      <c r="W200" s="29"/>
      <c r="X200" s="29"/>
      <c r="Y200" s="29"/>
      <c r="Z200" s="29"/>
      <c r="AA200" s="29"/>
      <c r="AB200" s="29"/>
      <c r="AC200" s="29"/>
      <c r="AD200" s="207"/>
    </row>
    <row r="201" spans="18:30" ht="29.25" customHeight="1" x14ac:dyDescent="0.25">
      <c r="R201" s="29"/>
      <c r="S201" s="29"/>
      <c r="T201" s="29"/>
      <c r="U201" s="29"/>
      <c r="V201" s="29"/>
      <c r="W201" s="29"/>
      <c r="X201" s="29"/>
      <c r="Y201" s="29"/>
      <c r="Z201" s="29"/>
      <c r="AA201" s="29"/>
      <c r="AB201" s="29"/>
      <c r="AC201" s="29"/>
      <c r="AD201" s="207"/>
    </row>
    <row r="202" spans="18:30" ht="29.25" customHeight="1" x14ac:dyDescent="0.25">
      <c r="R202" s="29"/>
      <c r="S202" s="29"/>
      <c r="T202" s="29"/>
      <c r="U202" s="29"/>
      <c r="V202" s="29"/>
      <c r="W202" s="29"/>
      <c r="X202" s="29"/>
      <c r="Y202" s="29"/>
      <c r="Z202" s="29"/>
      <c r="AA202" s="29"/>
      <c r="AB202" s="29"/>
      <c r="AC202" s="29"/>
      <c r="AD202" s="207"/>
    </row>
    <row r="203" spans="18:30" ht="29.25" customHeight="1" x14ac:dyDescent="0.25">
      <c r="R203" s="29"/>
      <c r="S203" s="29"/>
      <c r="T203" s="29"/>
      <c r="U203" s="29"/>
      <c r="V203" s="29"/>
      <c r="W203" s="29"/>
      <c r="X203" s="29"/>
      <c r="Y203" s="29"/>
      <c r="Z203" s="29"/>
      <c r="AA203" s="29"/>
      <c r="AB203" s="29"/>
      <c r="AC203" s="29"/>
      <c r="AD203" s="207"/>
    </row>
    <row r="204" spans="18:30" ht="29.25" customHeight="1" x14ac:dyDescent="0.25">
      <c r="R204" s="29"/>
      <c r="S204" s="29"/>
      <c r="T204" s="29"/>
      <c r="U204" s="29"/>
      <c r="V204" s="29"/>
      <c r="W204" s="29"/>
      <c r="X204" s="29"/>
      <c r="Y204" s="29"/>
      <c r="Z204" s="29"/>
      <c r="AA204" s="29"/>
      <c r="AB204" s="29"/>
      <c r="AC204" s="29"/>
      <c r="AD204" s="207"/>
    </row>
    <row r="205" spans="18:30" ht="29.25" customHeight="1" x14ac:dyDescent="0.25">
      <c r="R205" s="29"/>
      <c r="S205" s="29"/>
      <c r="T205" s="29"/>
      <c r="U205" s="29"/>
      <c r="V205" s="29"/>
      <c r="W205" s="29"/>
      <c r="X205" s="29"/>
      <c r="Y205" s="29"/>
      <c r="Z205" s="29"/>
      <c r="AA205" s="29"/>
      <c r="AB205" s="29"/>
      <c r="AC205" s="29"/>
      <c r="AD205" s="207"/>
    </row>
    <row r="206" spans="18:30" ht="29.25" customHeight="1" x14ac:dyDescent="0.25">
      <c r="R206" s="29"/>
      <c r="S206" s="29"/>
      <c r="T206" s="29"/>
      <c r="U206" s="29"/>
      <c r="V206" s="29"/>
      <c r="W206" s="29"/>
      <c r="X206" s="29"/>
      <c r="Y206" s="29"/>
      <c r="Z206" s="29"/>
      <c r="AA206" s="29"/>
      <c r="AB206" s="29"/>
      <c r="AC206" s="29"/>
      <c r="AD206" s="207"/>
    </row>
    <row r="207" spans="18:30" ht="29.25" customHeight="1" x14ac:dyDescent="0.25">
      <c r="R207" s="29"/>
      <c r="S207" s="29"/>
      <c r="T207" s="29"/>
      <c r="U207" s="29"/>
      <c r="V207" s="29"/>
      <c r="W207" s="29"/>
      <c r="X207" s="29"/>
      <c r="Y207" s="29"/>
      <c r="Z207" s="29"/>
      <c r="AA207" s="29"/>
      <c r="AB207" s="29"/>
      <c r="AC207" s="29"/>
      <c r="AD207" s="207"/>
    </row>
    <row r="208" spans="18:30" ht="29.25" customHeight="1" x14ac:dyDescent="0.25">
      <c r="R208" s="29"/>
      <c r="S208" s="29"/>
      <c r="T208" s="29"/>
      <c r="U208" s="29"/>
      <c r="V208" s="29"/>
      <c r="W208" s="29"/>
      <c r="X208" s="29"/>
      <c r="Y208" s="29"/>
      <c r="Z208" s="29"/>
      <c r="AA208" s="29"/>
      <c r="AB208" s="29"/>
      <c r="AC208" s="29"/>
      <c r="AD208" s="207"/>
    </row>
    <row r="209" spans="18:30" ht="29.25" customHeight="1" x14ac:dyDescent="0.25">
      <c r="R209" s="29"/>
      <c r="S209" s="29"/>
      <c r="T209" s="29"/>
      <c r="U209" s="29"/>
      <c r="V209" s="29"/>
      <c r="W209" s="29"/>
      <c r="X209" s="29"/>
      <c r="Y209" s="29"/>
      <c r="Z209" s="29"/>
      <c r="AA209" s="29"/>
      <c r="AB209" s="29"/>
      <c r="AC209" s="29"/>
      <c r="AD209" s="207"/>
    </row>
    <row r="210" spans="18:30" ht="29.25" customHeight="1" x14ac:dyDescent="0.25">
      <c r="R210" s="29"/>
      <c r="S210" s="29"/>
      <c r="T210" s="29"/>
      <c r="U210" s="29"/>
      <c r="V210" s="29"/>
      <c r="W210" s="29"/>
      <c r="X210" s="29"/>
      <c r="Y210" s="29"/>
      <c r="Z210" s="29"/>
      <c r="AA210" s="29"/>
      <c r="AB210" s="29"/>
      <c r="AC210" s="29"/>
      <c r="AD210" s="207"/>
    </row>
    <row r="211" spans="18:30" ht="29.25" customHeight="1" x14ac:dyDescent="0.25">
      <c r="R211" s="29"/>
      <c r="S211" s="29"/>
      <c r="T211" s="29"/>
      <c r="U211" s="29"/>
      <c r="V211" s="29"/>
      <c r="W211" s="29"/>
      <c r="X211" s="29"/>
      <c r="Y211" s="29"/>
      <c r="Z211" s="29"/>
      <c r="AA211" s="29"/>
      <c r="AB211" s="29"/>
      <c r="AC211" s="29"/>
      <c r="AD211" s="207"/>
    </row>
    <row r="212" spans="18:30" ht="29.25" customHeight="1" x14ac:dyDescent="0.25">
      <c r="R212" s="29"/>
      <c r="S212" s="29"/>
      <c r="T212" s="29"/>
      <c r="U212" s="29"/>
      <c r="V212" s="29"/>
      <c r="W212" s="29"/>
      <c r="X212" s="29"/>
      <c r="Y212" s="29"/>
      <c r="Z212" s="29"/>
      <c r="AA212" s="29"/>
      <c r="AB212" s="29"/>
      <c r="AC212" s="29"/>
      <c r="AD212" s="207"/>
    </row>
    <row r="213" spans="18:30" ht="29.25" customHeight="1" x14ac:dyDescent="0.25">
      <c r="R213" s="29"/>
      <c r="S213" s="29"/>
      <c r="T213" s="29"/>
      <c r="U213" s="29"/>
      <c r="V213" s="29"/>
      <c r="W213" s="29"/>
      <c r="X213" s="29"/>
      <c r="Y213" s="29"/>
      <c r="Z213" s="29"/>
      <c r="AA213" s="29"/>
      <c r="AB213" s="29"/>
      <c r="AC213" s="29"/>
      <c r="AD213" s="207"/>
    </row>
    <row r="214" spans="18:30" ht="29.25" customHeight="1" x14ac:dyDescent="0.25">
      <c r="R214" s="29"/>
      <c r="S214" s="29"/>
      <c r="T214" s="29"/>
      <c r="U214" s="29"/>
      <c r="V214" s="29"/>
      <c r="W214" s="29"/>
      <c r="X214" s="29"/>
      <c r="Y214" s="29"/>
      <c r="Z214" s="29"/>
      <c r="AA214" s="29"/>
      <c r="AB214" s="29"/>
      <c r="AC214" s="29"/>
      <c r="AD214" s="207"/>
    </row>
    <row r="215" spans="18:30" ht="29.25" customHeight="1" x14ac:dyDescent="0.25">
      <c r="R215" s="29"/>
      <c r="S215" s="29"/>
      <c r="T215" s="29"/>
      <c r="U215" s="29"/>
      <c r="V215" s="29"/>
      <c r="W215" s="29"/>
      <c r="X215" s="29"/>
      <c r="Y215" s="29"/>
      <c r="Z215" s="29"/>
      <c r="AA215" s="29"/>
      <c r="AB215" s="29"/>
      <c r="AC215" s="29"/>
      <c r="AD215" s="207"/>
    </row>
    <row r="216" spans="18:30" ht="29.25" customHeight="1" x14ac:dyDescent="0.25">
      <c r="R216" s="29"/>
      <c r="S216" s="29"/>
      <c r="T216" s="29"/>
      <c r="U216" s="29"/>
      <c r="V216" s="29"/>
      <c r="W216" s="29"/>
      <c r="X216" s="29"/>
      <c r="Y216" s="29"/>
      <c r="Z216" s="29"/>
      <c r="AA216" s="29"/>
      <c r="AB216" s="29"/>
      <c r="AC216" s="29"/>
      <c r="AD216" s="207"/>
    </row>
    <row r="217" spans="18:30" ht="29.25" customHeight="1" x14ac:dyDescent="0.25">
      <c r="R217" s="29"/>
      <c r="S217" s="29"/>
      <c r="T217" s="29"/>
      <c r="U217" s="29"/>
      <c r="V217" s="29"/>
      <c r="W217" s="29"/>
      <c r="X217" s="29"/>
      <c r="Y217" s="29"/>
      <c r="Z217" s="29"/>
      <c r="AA217" s="29"/>
      <c r="AB217" s="29"/>
      <c r="AC217" s="29"/>
      <c r="AD217" s="207"/>
    </row>
    <row r="218" spans="18:30" ht="29.25" customHeight="1" x14ac:dyDescent="0.25">
      <c r="R218" s="29"/>
      <c r="S218" s="29"/>
      <c r="T218" s="29"/>
      <c r="U218" s="29"/>
      <c r="V218" s="29"/>
      <c r="W218" s="29"/>
      <c r="X218" s="29"/>
      <c r="Y218" s="29"/>
      <c r="Z218" s="29"/>
      <c r="AA218" s="29"/>
      <c r="AB218" s="29"/>
      <c r="AC218" s="29"/>
      <c r="AD218" s="207"/>
    </row>
    <row r="219" spans="18:30" ht="29.25" customHeight="1" x14ac:dyDescent="0.25">
      <c r="R219" s="29"/>
      <c r="S219" s="29"/>
      <c r="T219" s="29"/>
      <c r="U219" s="29"/>
      <c r="V219" s="29"/>
      <c r="W219" s="29"/>
      <c r="X219" s="29"/>
      <c r="Y219" s="29"/>
      <c r="Z219" s="29"/>
      <c r="AA219" s="29"/>
      <c r="AB219" s="29"/>
      <c r="AC219" s="29"/>
      <c r="AD219" s="207"/>
    </row>
    <row r="220" spans="18:30" ht="29.25" customHeight="1" x14ac:dyDescent="0.25">
      <c r="R220" s="29"/>
      <c r="S220" s="29"/>
      <c r="T220" s="29"/>
      <c r="U220" s="29"/>
      <c r="V220" s="29"/>
      <c r="W220" s="29"/>
      <c r="X220" s="29"/>
      <c r="Y220" s="29"/>
      <c r="Z220" s="29"/>
      <c r="AA220" s="29"/>
      <c r="AB220" s="29"/>
      <c r="AC220" s="29"/>
      <c r="AD220" s="207"/>
    </row>
    <row r="221" spans="18:30" ht="29.25" customHeight="1" x14ac:dyDescent="0.25">
      <c r="R221" s="29"/>
      <c r="S221" s="29"/>
      <c r="T221" s="29"/>
      <c r="U221" s="29"/>
      <c r="V221" s="29"/>
      <c r="W221" s="29"/>
      <c r="X221" s="29"/>
      <c r="Y221" s="29"/>
      <c r="Z221" s="29"/>
      <c r="AA221" s="29"/>
      <c r="AB221" s="29"/>
      <c r="AC221" s="29"/>
      <c r="AD221" s="207"/>
    </row>
    <row r="222" spans="18:30" ht="29.25" customHeight="1" x14ac:dyDescent="0.25">
      <c r="R222" s="29"/>
      <c r="S222" s="29"/>
      <c r="T222" s="29"/>
      <c r="U222" s="29"/>
      <c r="V222" s="29"/>
      <c r="W222" s="29"/>
      <c r="X222" s="29"/>
      <c r="Y222" s="29"/>
      <c r="Z222" s="29"/>
      <c r="AA222" s="29"/>
      <c r="AB222" s="29"/>
      <c r="AC222" s="29"/>
      <c r="AD222" s="207"/>
    </row>
    <row r="223" spans="18:30" ht="29.25" customHeight="1" x14ac:dyDescent="0.25">
      <c r="R223" s="29"/>
      <c r="S223" s="29"/>
      <c r="T223" s="29"/>
      <c r="U223" s="29"/>
      <c r="V223" s="29"/>
      <c r="W223" s="29"/>
      <c r="X223" s="29"/>
      <c r="Y223" s="29"/>
      <c r="Z223" s="29"/>
      <c r="AA223" s="29"/>
      <c r="AB223" s="29"/>
      <c r="AC223" s="29"/>
      <c r="AD223" s="207"/>
    </row>
    <row r="224" spans="18:30" ht="29.25" customHeight="1" x14ac:dyDescent="0.25">
      <c r="R224" s="29"/>
      <c r="S224" s="29"/>
      <c r="T224" s="29"/>
      <c r="U224" s="29"/>
      <c r="V224" s="29"/>
      <c r="W224" s="29"/>
      <c r="X224" s="29"/>
      <c r="Y224" s="29"/>
      <c r="Z224" s="29"/>
      <c r="AA224" s="29"/>
      <c r="AB224" s="29"/>
      <c r="AC224" s="29"/>
      <c r="AD224" s="207"/>
    </row>
    <row r="225" spans="18:30" ht="29.25" customHeight="1" x14ac:dyDescent="0.25">
      <c r="R225" s="29"/>
      <c r="S225" s="29"/>
      <c r="T225" s="29"/>
      <c r="U225" s="29"/>
      <c r="V225" s="29"/>
      <c r="W225" s="29"/>
      <c r="X225" s="29"/>
      <c r="Y225" s="29"/>
      <c r="Z225" s="29"/>
      <c r="AA225" s="29"/>
      <c r="AB225" s="29"/>
      <c r="AC225" s="29"/>
      <c r="AD225" s="207"/>
    </row>
    <row r="226" spans="18:30" ht="29.25" customHeight="1" x14ac:dyDescent="0.25">
      <c r="R226" s="29"/>
      <c r="S226" s="29"/>
      <c r="T226" s="29"/>
      <c r="U226" s="29"/>
      <c r="V226" s="29"/>
      <c r="W226" s="29"/>
      <c r="X226" s="29"/>
      <c r="Y226" s="29"/>
      <c r="Z226" s="29"/>
      <c r="AA226" s="29"/>
      <c r="AB226" s="29"/>
      <c r="AC226" s="29"/>
      <c r="AD226" s="207"/>
    </row>
    <row r="227" spans="18:30" ht="29.25" customHeight="1" x14ac:dyDescent="0.25">
      <c r="R227" s="29"/>
      <c r="S227" s="29"/>
      <c r="T227" s="29"/>
      <c r="U227" s="29"/>
      <c r="V227" s="29"/>
      <c r="W227" s="29"/>
      <c r="X227" s="29"/>
      <c r="Y227" s="29"/>
      <c r="Z227" s="29"/>
      <c r="AA227" s="29"/>
      <c r="AB227" s="29"/>
      <c r="AC227" s="29"/>
      <c r="AD227" s="207"/>
    </row>
    <row r="228" spans="18:30" ht="29.25" customHeight="1" x14ac:dyDescent="0.25">
      <c r="R228" s="29"/>
      <c r="S228" s="29"/>
      <c r="T228" s="29"/>
      <c r="U228" s="29"/>
      <c r="V228" s="29"/>
      <c r="W228" s="29"/>
      <c r="X228" s="29"/>
      <c r="Y228" s="29"/>
      <c r="Z228" s="29"/>
      <c r="AA228" s="29"/>
      <c r="AB228" s="29"/>
      <c r="AC228" s="29"/>
      <c r="AD228" s="207"/>
    </row>
    <row r="229" spans="18:30" ht="29.25" customHeight="1" x14ac:dyDescent="0.25">
      <c r="R229" s="29"/>
      <c r="S229" s="29"/>
      <c r="T229" s="29"/>
      <c r="U229" s="29"/>
      <c r="V229" s="29"/>
      <c r="W229" s="29"/>
      <c r="X229" s="29"/>
      <c r="Y229" s="29"/>
      <c r="Z229" s="29"/>
      <c r="AA229" s="29"/>
      <c r="AB229" s="29"/>
      <c r="AC229" s="29"/>
      <c r="AD229" s="207"/>
    </row>
    <row r="230" spans="18:30" ht="29.25" customHeight="1" x14ac:dyDescent="0.25">
      <c r="R230" s="29"/>
      <c r="S230" s="29"/>
      <c r="T230" s="29"/>
      <c r="U230" s="29"/>
      <c r="V230" s="29"/>
      <c r="W230" s="29"/>
      <c r="X230" s="29"/>
      <c r="Y230" s="29"/>
      <c r="Z230" s="29"/>
      <c r="AA230" s="29"/>
      <c r="AB230" s="29"/>
      <c r="AC230" s="29"/>
      <c r="AD230" s="207"/>
    </row>
    <row r="231" spans="18:30" ht="29.25" customHeight="1" x14ac:dyDescent="0.25">
      <c r="R231" s="29"/>
      <c r="S231" s="29"/>
      <c r="T231" s="29"/>
      <c r="U231" s="29"/>
      <c r="V231" s="29"/>
      <c r="W231" s="29"/>
      <c r="X231" s="29"/>
      <c r="Y231" s="29"/>
      <c r="Z231" s="29"/>
      <c r="AA231" s="29"/>
      <c r="AB231" s="29"/>
      <c r="AC231" s="29"/>
      <c r="AD231" s="207"/>
    </row>
    <row r="232" spans="18:30" ht="29.25" customHeight="1" x14ac:dyDescent="0.25">
      <c r="R232" s="29"/>
      <c r="S232" s="29"/>
      <c r="T232" s="29"/>
      <c r="U232" s="29"/>
      <c r="V232" s="29"/>
      <c r="W232" s="29"/>
      <c r="X232" s="29"/>
      <c r="Y232" s="29"/>
      <c r="Z232" s="29"/>
      <c r="AA232" s="29"/>
      <c r="AB232" s="29"/>
      <c r="AC232" s="29"/>
      <c r="AD232" s="207"/>
    </row>
    <row r="233" spans="18:30" ht="29.25" customHeight="1" x14ac:dyDescent="0.25">
      <c r="R233" s="29"/>
      <c r="S233" s="29"/>
      <c r="T233" s="29"/>
      <c r="U233" s="29"/>
      <c r="V233" s="29"/>
      <c r="W233" s="29"/>
      <c r="X233" s="29"/>
      <c r="Y233" s="29"/>
      <c r="Z233" s="29"/>
      <c r="AA233" s="29"/>
      <c r="AB233" s="29"/>
      <c r="AC233" s="29"/>
      <c r="AD233" s="207"/>
    </row>
    <row r="234" spans="18:30" ht="29.25" customHeight="1" x14ac:dyDescent="0.25">
      <c r="R234" s="29"/>
      <c r="S234" s="29"/>
      <c r="T234" s="29"/>
      <c r="U234" s="29"/>
      <c r="V234" s="29"/>
      <c r="W234" s="29"/>
      <c r="X234" s="29"/>
      <c r="Y234" s="29"/>
      <c r="Z234" s="29"/>
      <c r="AA234" s="29"/>
      <c r="AB234" s="29"/>
      <c r="AC234" s="29"/>
      <c r="AD234" s="207"/>
    </row>
    <row r="235" spans="18:30" ht="29.25" customHeight="1" x14ac:dyDescent="0.25">
      <c r="R235" s="29"/>
      <c r="S235" s="29"/>
      <c r="T235" s="29"/>
      <c r="U235" s="29"/>
      <c r="V235" s="29"/>
      <c r="W235" s="29"/>
      <c r="X235" s="29"/>
      <c r="Y235" s="29"/>
      <c r="Z235" s="29"/>
      <c r="AA235" s="29"/>
      <c r="AB235" s="29"/>
      <c r="AC235" s="29"/>
      <c r="AD235" s="207"/>
    </row>
    <row r="236" spans="18:30" ht="29.25" customHeight="1" x14ac:dyDescent="0.25">
      <c r="R236" s="29"/>
      <c r="S236" s="29"/>
      <c r="T236" s="29"/>
      <c r="U236" s="29"/>
      <c r="V236" s="29"/>
      <c r="W236" s="29"/>
      <c r="X236" s="29"/>
      <c r="Y236" s="29"/>
      <c r="Z236" s="29"/>
      <c r="AA236" s="29"/>
      <c r="AB236" s="29"/>
      <c r="AC236" s="29"/>
      <c r="AD236" s="207"/>
    </row>
    <row r="237" spans="18:30" ht="29.25" customHeight="1" x14ac:dyDescent="0.25">
      <c r="R237" s="29"/>
      <c r="S237" s="29"/>
      <c r="T237" s="29"/>
      <c r="U237" s="29"/>
      <c r="V237" s="29"/>
      <c r="W237" s="29"/>
      <c r="X237" s="29"/>
      <c r="Y237" s="29"/>
      <c r="Z237" s="29"/>
      <c r="AA237" s="29"/>
      <c r="AB237" s="29"/>
      <c r="AC237" s="29"/>
      <c r="AD237" s="207"/>
    </row>
    <row r="238" spans="18:30" ht="29.25" customHeight="1" x14ac:dyDescent="0.25">
      <c r="R238" s="29"/>
      <c r="S238" s="29"/>
      <c r="T238" s="29"/>
      <c r="U238" s="29"/>
      <c r="V238" s="29"/>
      <c r="W238" s="29"/>
      <c r="X238" s="29"/>
      <c r="Y238" s="29"/>
      <c r="Z238" s="29"/>
      <c r="AA238" s="29"/>
      <c r="AB238" s="29"/>
      <c r="AC238" s="29"/>
      <c r="AD238" s="207"/>
    </row>
    <row r="239" spans="18:30" ht="29.25" customHeight="1" x14ac:dyDescent="0.25">
      <c r="R239" s="29"/>
      <c r="S239" s="29"/>
      <c r="T239" s="29"/>
      <c r="U239" s="29"/>
      <c r="V239" s="29"/>
      <c r="W239" s="29"/>
      <c r="X239" s="29"/>
      <c r="Y239" s="29"/>
      <c r="Z239" s="29"/>
      <c r="AA239" s="29"/>
      <c r="AB239" s="29"/>
      <c r="AC239" s="29"/>
      <c r="AD239" s="207"/>
    </row>
    <row r="240" spans="18:30" ht="29.25" customHeight="1" x14ac:dyDescent="0.25">
      <c r="R240" s="29"/>
      <c r="S240" s="29"/>
      <c r="T240" s="29"/>
      <c r="U240" s="29"/>
      <c r="V240" s="29"/>
      <c r="W240" s="29"/>
      <c r="X240" s="29"/>
      <c r="Y240" s="29"/>
      <c r="Z240" s="29"/>
      <c r="AA240" s="29"/>
      <c r="AB240" s="29"/>
      <c r="AC240" s="29"/>
      <c r="AD240" s="207"/>
    </row>
    <row r="241" spans="18:30" ht="29.25" customHeight="1" x14ac:dyDescent="0.25">
      <c r="R241" s="29"/>
      <c r="S241" s="29"/>
      <c r="T241" s="29"/>
      <c r="U241" s="29"/>
      <c r="V241" s="29"/>
      <c r="W241" s="29"/>
      <c r="X241" s="29"/>
      <c r="Y241" s="29"/>
      <c r="Z241" s="29"/>
      <c r="AA241" s="29"/>
      <c r="AB241" s="29"/>
      <c r="AC241" s="29"/>
      <c r="AD241" s="207"/>
    </row>
    <row r="242" spans="18:30" ht="29.25" customHeight="1" x14ac:dyDescent="0.25">
      <c r="R242" s="29"/>
      <c r="S242" s="29"/>
      <c r="T242" s="29"/>
      <c r="U242" s="29"/>
      <c r="V242" s="29"/>
      <c r="W242" s="29"/>
      <c r="X242" s="29"/>
      <c r="Y242" s="29"/>
      <c r="Z242" s="29"/>
      <c r="AA242" s="29"/>
      <c r="AB242" s="29"/>
      <c r="AC242" s="29"/>
      <c r="AD242" s="207"/>
    </row>
    <row r="243" spans="18:30" ht="29.25" customHeight="1" x14ac:dyDescent="0.25">
      <c r="R243" s="29"/>
      <c r="S243" s="29"/>
      <c r="T243" s="29"/>
      <c r="U243" s="29"/>
      <c r="V243" s="29"/>
      <c r="W243" s="29"/>
      <c r="X243" s="29"/>
      <c r="Y243" s="29"/>
      <c r="Z243" s="29"/>
      <c r="AA243" s="29"/>
      <c r="AB243" s="29"/>
      <c r="AC243" s="29"/>
      <c r="AD243" s="207"/>
    </row>
    <row r="244" spans="18:30" ht="29.25" customHeight="1" x14ac:dyDescent="0.25">
      <c r="R244" s="29"/>
      <c r="S244" s="29"/>
      <c r="T244" s="29"/>
      <c r="U244" s="29"/>
      <c r="V244" s="29"/>
      <c r="W244" s="29"/>
      <c r="X244" s="29"/>
      <c r="Y244" s="29"/>
      <c r="Z244" s="29"/>
      <c r="AA244" s="29"/>
      <c r="AB244" s="29"/>
      <c r="AC244" s="29"/>
      <c r="AD244" s="207"/>
    </row>
    <row r="245" spans="18:30" ht="29.25" customHeight="1" x14ac:dyDescent="0.25">
      <c r="R245" s="29"/>
      <c r="S245" s="29"/>
      <c r="T245" s="29"/>
      <c r="U245" s="29"/>
      <c r="V245" s="29"/>
      <c r="W245" s="29"/>
      <c r="X245" s="29"/>
      <c r="Y245" s="29"/>
      <c r="Z245" s="29"/>
      <c r="AA245" s="29"/>
      <c r="AB245" s="29"/>
      <c r="AC245" s="29"/>
      <c r="AD245" s="207"/>
    </row>
    <row r="246" spans="18:30" ht="29.25" customHeight="1" x14ac:dyDescent="0.25">
      <c r="R246" s="29"/>
      <c r="S246" s="29"/>
      <c r="T246" s="29"/>
      <c r="U246" s="29"/>
      <c r="V246" s="29"/>
      <c r="W246" s="29"/>
      <c r="X246" s="29"/>
      <c r="Y246" s="29"/>
      <c r="Z246" s="29"/>
      <c r="AA246" s="29"/>
      <c r="AB246" s="29"/>
      <c r="AC246" s="29"/>
      <c r="AD246" s="207"/>
    </row>
    <row r="247" spans="18:30" ht="29.25" customHeight="1" x14ac:dyDescent="0.25">
      <c r="R247" s="29"/>
      <c r="S247" s="29"/>
      <c r="T247" s="29"/>
      <c r="U247" s="29"/>
      <c r="V247" s="29"/>
      <c r="W247" s="29"/>
      <c r="X247" s="29"/>
      <c r="Y247" s="29"/>
      <c r="Z247" s="29"/>
      <c r="AA247" s="29"/>
      <c r="AB247" s="29"/>
      <c r="AC247" s="29"/>
      <c r="AD247" s="207"/>
    </row>
    <row r="248" spans="18:30" ht="29.25" customHeight="1" x14ac:dyDescent="0.25">
      <c r="R248" s="29"/>
      <c r="S248" s="29"/>
      <c r="T248" s="29"/>
      <c r="U248" s="29"/>
      <c r="V248" s="29"/>
      <c r="W248" s="29"/>
      <c r="X248" s="29"/>
      <c r="Y248" s="29"/>
      <c r="Z248" s="29"/>
      <c r="AA248" s="29"/>
      <c r="AB248" s="29"/>
      <c r="AC248" s="29"/>
      <c r="AD248" s="207"/>
    </row>
    <row r="249" spans="18:30" ht="29.25" customHeight="1" x14ac:dyDescent="0.25">
      <c r="R249" s="29"/>
      <c r="S249" s="29"/>
      <c r="T249" s="29"/>
      <c r="U249" s="29"/>
      <c r="V249" s="29"/>
      <c r="W249" s="29"/>
      <c r="X249" s="29"/>
      <c r="Y249" s="29"/>
      <c r="Z249" s="29"/>
      <c r="AA249" s="29"/>
      <c r="AB249" s="29"/>
      <c r="AC249" s="29"/>
      <c r="AD249" s="207"/>
    </row>
    <row r="250" spans="18:30" ht="29.25" customHeight="1" x14ac:dyDescent="0.25">
      <c r="R250" s="29"/>
      <c r="S250" s="29"/>
      <c r="T250" s="29"/>
      <c r="U250" s="29"/>
      <c r="V250" s="29"/>
      <c r="W250" s="29"/>
      <c r="X250" s="29"/>
      <c r="Y250" s="29"/>
      <c r="Z250" s="29"/>
      <c r="AA250" s="29"/>
      <c r="AB250" s="29"/>
      <c r="AC250" s="29"/>
      <c r="AD250" s="207"/>
    </row>
    <row r="251" spans="18:30" ht="29.25" customHeight="1" x14ac:dyDescent="0.25">
      <c r="R251" s="29"/>
      <c r="S251" s="29"/>
      <c r="T251" s="29"/>
      <c r="U251" s="29"/>
      <c r="V251" s="29"/>
      <c r="W251" s="29"/>
      <c r="X251" s="29"/>
      <c r="Y251" s="29"/>
      <c r="Z251" s="29"/>
      <c r="AA251" s="29"/>
      <c r="AB251" s="29"/>
      <c r="AC251" s="29"/>
      <c r="AD251" s="207"/>
    </row>
    <row r="252" spans="18:30" ht="29.25" customHeight="1" x14ac:dyDescent="0.25">
      <c r="R252" s="29"/>
      <c r="S252" s="29"/>
      <c r="T252" s="29"/>
      <c r="U252" s="29"/>
      <c r="V252" s="29"/>
      <c r="W252" s="29"/>
      <c r="X252" s="29"/>
      <c r="Y252" s="29"/>
      <c r="Z252" s="29"/>
      <c r="AA252" s="29"/>
      <c r="AB252" s="29"/>
      <c r="AC252" s="29"/>
      <c r="AD252" s="207"/>
    </row>
    <row r="253" spans="18:30" ht="29.25" customHeight="1" x14ac:dyDescent="0.25">
      <c r="R253" s="29"/>
      <c r="S253" s="29"/>
      <c r="T253" s="29"/>
      <c r="U253" s="29"/>
      <c r="V253" s="29"/>
      <c r="W253" s="29"/>
      <c r="X253" s="29"/>
      <c r="Y253" s="29"/>
      <c r="Z253" s="29"/>
      <c r="AA253" s="29"/>
      <c r="AB253" s="29"/>
      <c r="AC253" s="29"/>
      <c r="AD253" s="207"/>
    </row>
    <row r="254" spans="18:30" ht="29.25" customHeight="1" x14ac:dyDescent="0.25">
      <c r="R254" s="29"/>
      <c r="S254" s="29"/>
      <c r="T254" s="29"/>
      <c r="U254" s="29"/>
      <c r="V254" s="29"/>
      <c r="W254" s="29"/>
      <c r="X254" s="29"/>
      <c r="Y254" s="29"/>
      <c r="Z254" s="29"/>
      <c r="AA254" s="29"/>
      <c r="AB254" s="29"/>
      <c r="AC254" s="29"/>
      <c r="AD254" s="207"/>
    </row>
    <row r="255" spans="18:30" ht="29.25" customHeight="1" x14ac:dyDescent="0.25">
      <c r="R255" s="29"/>
      <c r="S255" s="29"/>
      <c r="T255" s="29"/>
      <c r="U255" s="29"/>
      <c r="V255" s="29"/>
      <c r="W255" s="29"/>
      <c r="X255" s="29"/>
      <c r="Y255" s="29"/>
      <c r="Z255" s="29"/>
      <c r="AA255" s="29"/>
      <c r="AB255" s="29"/>
      <c r="AC255" s="29"/>
      <c r="AD255" s="207"/>
    </row>
    <row r="256" spans="18:30" ht="29.25" customHeight="1" x14ac:dyDescent="0.25">
      <c r="R256" s="29"/>
      <c r="S256" s="29"/>
      <c r="T256" s="29"/>
      <c r="U256" s="29"/>
      <c r="V256" s="29"/>
      <c r="W256" s="29"/>
      <c r="X256" s="29"/>
      <c r="Y256" s="29"/>
      <c r="Z256" s="29"/>
      <c r="AA256" s="29"/>
      <c r="AB256" s="29"/>
      <c r="AC256" s="29"/>
      <c r="AD256" s="207"/>
    </row>
    <row r="257" spans="18:30" ht="29.25" customHeight="1" x14ac:dyDescent="0.25">
      <c r="R257" s="29"/>
      <c r="S257" s="29"/>
      <c r="T257" s="29"/>
      <c r="U257" s="29"/>
      <c r="V257" s="29"/>
      <c r="W257" s="29"/>
      <c r="X257" s="29"/>
      <c r="Y257" s="29"/>
      <c r="Z257" s="29"/>
      <c r="AA257" s="29"/>
      <c r="AB257" s="29"/>
      <c r="AC257" s="29"/>
      <c r="AD257" s="207"/>
    </row>
    <row r="258" spans="18:30" ht="29.25" customHeight="1" x14ac:dyDescent="0.25">
      <c r="R258" s="29"/>
      <c r="S258" s="29"/>
      <c r="T258" s="29"/>
      <c r="U258" s="29"/>
      <c r="V258" s="29"/>
      <c r="W258" s="29"/>
      <c r="X258" s="29"/>
      <c r="Y258" s="29"/>
      <c r="Z258" s="29"/>
      <c r="AA258" s="29"/>
      <c r="AB258" s="29"/>
      <c r="AC258" s="29"/>
      <c r="AD258" s="207"/>
    </row>
    <row r="259" spans="18:30" ht="29.25" customHeight="1" x14ac:dyDescent="0.25">
      <c r="R259" s="29"/>
      <c r="S259" s="29"/>
      <c r="T259" s="29"/>
      <c r="U259" s="29"/>
      <c r="V259" s="29"/>
      <c r="W259" s="29"/>
      <c r="X259" s="29"/>
      <c r="Y259" s="29"/>
      <c r="Z259" s="29"/>
      <c r="AA259" s="29"/>
      <c r="AB259" s="29"/>
      <c r="AC259" s="29"/>
      <c r="AD259" s="207"/>
    </row>
    <row r="260" spans="18:30" ht="29.25" customHeight="1" x14ac:dyDescent="0.25">
      <c r="R260" s="29"/>
      <c r="S260" s="29"/>
      <c r="T260" s="29"/>
      <c r="U260" s="29"/>
      <c r="V260" s="29"/>
      <c r="W260" s="29"/>
      <c r="X260" s="29"/>
      <c r="Y260" s="29"/>
      <c r="Z260" s="29"/>
      <c r="AA260" s="29"/>
      <c r="AB260" s="29"/>
      <c r="AC260" s="29"/>
      <c r="AD260" s="207"/>
    </row>
    <row r="261" spans="18:30" ht="29.25" customHeight="1" x14ac:dyDescent="0.25">
      <c r="R261" s="29"/>
      <c r="S261" s="29"/>
      <c r="T261" s="29"/>
      <c r="U261" s="29"/>
      <c r="V261" s="29"/>
      <c r="W261" s="29"/>
      <c r="X261" s="29"/>
      <c r="Y261" s="29"/>
      <c r="Z261" s="29"/>
      <c r="AA261" s="29"/>
      <c r="AB261" s="29"/>
      <c r="AC261" s="29"/>
      <c r="AD261" s="207"/>
    </row>
    <row r="262" spans="18:30" ht="29.25" customHeight="1" x14ac:dyDescent="0.25">
      <c r="R262" s="29"/>
      <c r="S262" s="29"/>
      <c r="T262" s="29"/>
      <c r="U262" s="29"/>
      <c r="V262" s="29"/>
      <c r="W262" s="29"/>
      <c r="X262" s="29"/>
      <c r="Y262" s="29"/>
      <c r="Z262" s="29"/>
      <c r="AA262" s="29"/>
      <c r="AB262" s="29"/>
      <c r="AC262" s="29"/>
      <c r="AD262" s="207"/>
    </row>
    <row r="263" spans="18:30" ht="29.25" customHeight="1" x14ac:dyDescent="0.25">
      <c r="R263" s="29"/>
      <c r="S263" s="29"/>
      <c r="T263" s="29"/>
      <c r="U263" s="29"/>
      <c r="V263" s="29"/>
      <c r="W263" s="29"/>
      <c r="X263" s="29"/>
      <c r="Y263" s="29"/>
      <c r="Z263" s="29"/>
      <c r="AA263" s="29"/>
      <c r="AB263" s="29"/>
      <c r="AC263" s="29"/>
      <c r="AD263" s="207"/>
    </row>
    <row r="264" spans="18:30" ht="29.25" customHeight="1" x14ac:dyDescent="0.25">
      <c r="R264" s="29"/>
      <c r="S264" s="29"/>
      <c r="T264" s="29"/>
      <c r="U264" s="29"/>
      <c r="V264" s="29"/>
      <c r="W264" s="29"/>
      <c r="X264" s="29"/>
      <c r="Y264" s="29"/>
      <c r="Z264" s="29"/>
      <c r="AA264" s="29"/>
      <c r="AB264" s="29"/>
      <c r="AC264" s="29"/>
      <c r="AD264" s="207"/>
    </row>
    <row r="265" spans="18:30" ht="29.25" customHeight="1" x14ac:dyDescent="0.25">
      <c r="R265" s="29"/>
      <c r="S265" s="29"/>
      <c r="T265" s="29"/>
      <c r="U265" s="29"/>
      <c r="V265" s="29"/>
      <c r="W265" s="29"/>
      <c r="X265" s="29"/>
      <c r="Y265" s="29"/>
      <c r="Z265" s="29"/>
      <c r="AA265" s="29"/>
      <c r="AB265" s="29"/>
      <c r="AC265" s="29"/>
      <c r="AD265" s="207"/>
    </row>
    <row r="266" spans="18:30" ht="29.25" customHeight="1" x14ac:dyDescent="0.25">
      <c r="R266" s="29"/>
      <c r="S266" s="29"/>
      <c r="T266" s="29"/>
      <c r="U266" s="29"/>
      <c r="V266" s="29"/>
      <c r="W266" s="29"/>
      <c r="X266" s="29"/>
      <c r="Y266" s="29"/>
      <c r="Z266" s="29"/>
      <c r="AA266" s="29"/>
      <c r="AB266" s="29"/>
      <c r="AC266" s="29"/>
      <c r="AD266" s="207"/>
    </row>
    <row r="267" spans="18:30" ht="29.25" customHeight="1" x14ac:dyDescent="0.25">
      <c r="R267" s="29"/>
      <c r="S267" s="29"/>
      <c r="T267" s="29"/>
      <c r="U267" s="29"/>
      <c r="V267" s="29"/>
      <c r="W267" s="29"/>
      <c r="X267" s="29"/>
      <c r="Y267" s="29"/>
      <c r="Z267" s="29"/>
      <c r="AA267" s="29"/>
      <c r="AB267" s="29"/>
      <c r="AC267" s="29"/>
      <c r="AD267" s="207"/>
    </row>
    <row r="268" spans="18:30" ht="29.25" customHeight="1" x14ac:dyDescent="0.25">
      <c r="R268" s="29"/>
      <c r="S268" s="29"/>
      <c r="T268" s="29"/>
      <c r="U268" s="29"/>
      <c r="V268" s="29"/>
      <c r="W268" s="29"/>
      <c r="X268" s="29"/>
      <c r="Y268" s="29"/>
      <c r="Z268" s="29"/>
      <c r="AA268" s="29"/>
      <c r="AB268" s="29"/>
      <c r="AC268" s="29"/>
      <c r="AD268" s="207"/>
    </row>
    <row r="269" spans="18:30" ht="29.25" customHeight="1" x14ac:dyDescent="0.25">
      <c r="R269" s="29"/>
      <c r="S269" s="29"/>
      <c r="T269" s="29"/>
      <c r="U269" s="29"/>
      <c r="V269" s="29"/>
      <c r="W269" s="29"/>
      <c r="X269" s="29"/>
      <c r="Y269" s="29"/>
      <c r="Z269" s="29"/>
      <c r="AA269" s="29"/>
      <c r="AB269" s="29"/>
      <c r="AC269" s="29"/>
      <c r="AD269" s="207"/>
    </row>
    <row r="270" spans="18:30" ht="29.25" customHeight="1" x14ac:dyDescent="0.25">
      <c r="R270" s="29"/>
      <c r="S270" s="29"/>
      <c r="T270" s="29"/>
      <c r="U270" s="29"/>
      <c r="V270" s="29"/>
      <c r="W270" s="29"/>
      <c r="X270" s="29"/>
      <c r="Y270" s="29"/>
      <c r="Z270" s="29"/>
      <c r="AA270" s="29"/>
      <c r="AB270" s="29"/>
      <c r="AC270" s="29"/>
      <c r="AD270" s="207"/>
    </row>
    <row r="271" spans="18:30" ht="29.25" customHeight="1" x14ac:dyDescent="0.25">
      <c r="R271" s="29"/>
      <c r="S271" s="29"/>
      <c r="T271" s="29"/>
      <c r="U271" s="29"/>
      <c r="V271" s="29"/>
      <c r="W271" s="29"/>
      <c r="X271" s="29"/>
      <c r="Y271" s="29"/>
      <c r="Z271" s="29"/>
      <c r="AA271" s="29"/>
      <c r="AB271" s="29"/>
      <c r="AC271" s="29"/>
      <c r="AD271" s="207"/>
    </row>
    <row r="272" spans="18:30" ht="29.25" customHeight="1" x14ac:dyDescent="0.25">
      <c r="R272" s="29"/>
      <c r="S272" s="29"/>
      <c r="T272" s="29"/>
      <c r="U272" s="29"/>
      <c r="V272" s="29"/>
      <c r="W272" s="29"/>
      <c r="X272" s="29"/>
      <c r="Y272" s="29"/>
      <c r="Z272" s="29"/>
      <c r="AA272" s="29"/>
      <c r="AB272" s="29"/>
      <c r="AC272" s="29"/>
      <c r="AD272" s="207"/>
    </row>
    <row r="273" spans="18:30" ht="29.25" customHeight="1" x14ac:dyDescent="0.25">
      <c r="R273" s="29"/>
      <c r="S273" s="29"/>
      <c r="T273" s="29"/>
      <c r="U273" s="29"/>
      <c r="V273" s="29"/>
      <c r="W273" s="29"/>
      <c r="X273" s="29"/>
      <c r="Y273" s="29"/>
      <c r="Z273" s="29"/>
      <c r="AA273" s="29"/>
      <c r="AB273" s="29"/>
      <c r="AC273" s="29"/>
      <c r="AD273" s="207"/>
    </row>
    <row r="274" spans="18:30" ht="29.25" customHeight="1" x14ac:dyDescent="0.25">
      <c r="R274" s="29"/>
      <c r="S274" s="29"/>
      <c r="T274" s="29"/>
      <c r="U274" s="29"/>
      <c r="V274" s="29"/>
      <c r="W274" s="29"/>
      <c r="X274" s="29"/>
      <c r="Y274" s="29"/>
      <c r="Z274" s="29"/>
      <c r="AA274" s="29"/>
      <c r="AB274" s="29"/>
      <c r="AC274" s="29"/>
      <c r="AD274" s="207"/>
    </row>
    <row r="275" spans="18:30" ht="29.25" customHeight="1" x14ac:dyDescent="0.25">
      <c r="R275" s="29"/>
      <c r="S275" s="29"/>
      <c r="T275" s="29"/>
      <c r="U275" s="29"/>
      <c r="V275" s="29"/>
      <c r="W275" s="29"/>
      <c r="X275" s="29"/>
      <c r="Y275" s="29"/>
      <c r="Z275" s="29"/>
      <c r="AA275" s="29"/>
      <c r="AB275" s="29"/>
      <c r="AC275" s="29"/>
      <c r="AD275" s="207"/>
    </row>
    <row r="276" spans="18:30" ht="29.25" customHeight="1" x14ac:dyDescent="0.25">
      <c r="R276" s="29"/>
      <c r="S276" s="29"/>
      <c r="T276" s="29"/>
      <c r="U276" s="29"/>
      <c r="V276" s="29"/>
      <c r="W276" s="29"/>
      <c r="X276" s="29"/>
      <c r="Y276" s="29"/>
      <c r="Z276" s="29"/>
      <c r="AA276" s="29"/>
      <c r="AB276" s="29"/>
      <c r="AC276" s="29"/>
      <c r="AD276" s="207"/>
    </row>
    <row r="277" spans="18:30" ht="29.25" customHeight="1" x14ac:dyDescent="0.25">
      <c r="R277" s="29"/>
      <c r="S277" s="29"/>
      <c r="T277" s="29"/>
      <c r="U277" s="29"/>
      <c r="V277" s="29"/>
      <c r="W277" s="29"/>
      <c r="X277" s="29"/>
      <c r="Y277" s="29"/>
      <c r="Z277" s="29"/>
      <c r="AA277" s="29"/>
      <c r="AB277" s="29"/>
      <c r="AC277" s="29"/>
      <c r="AD277" s="207"/>
    </row>
    <row r="278" spans="18:30" ht="29.25" customHeight="1" x14ac:dyDescent="0.25">
      <c r="R278" s="29"/>
      <c r="S278" s="29"/>
      <c r="T278" s="29"/>
      <c r="U278" s="29"/>
      <c r="V278" s="29"/>
      <c r="W278" s="29"/>
      <c r="X278" s="29"/>
      <c r="Y278" s="29"/>
      <c r="Z278" s="29"/>
      <c r="AA278" s="29"/>
      <c r="AB278" s="29"/>
      <c r="AC278" s="29"/>
      <c r="AD278" s="207"/>
    </row>
    <row r="279" spans="18:30" ht="29.25" customHeight="1" x14ac:dyDescent="0.25">
      <c r="R279" s="29"/>
      <c r="S279" s="29"/>
      <c r="T279" s="29"/>
      <c r="U279" s="29"/>
      <c r="V279" s="29"/>
      <c r="W279" s="29"/>
      <c r="X279" s="29"/>
      <c r="Y279" s="29"/>
      <c r="Z279" s="29"/>
      <c r="AA279" s="29"/>
      <c r="AB279" s="29"/>
      <c r="AC279" s="29"/>
      <c r="AD279" s="207"/>
    </row>
    <row r="280" spans="18:30" ht="29.25" customHeight="1" x14ac:dyDescent="0.25">
      <c r="R280" s="29"/>
      <c r="S280" s="29"/>
      <c r="T280" s="29"/>
      <c r="U280" s="29"/>
      <c r="V280" s="29"/>
      <c r="W280" s="29"/>
      <c r="X280" s="29"/>
      <c r="Y280" s="29"/>
      <c r="Z280" s="29"/>
      <c r="AA280" s="29"/>
      <c r="AB280" s="29"/>
      <c r="AC280" s="29"/>
      <c r="AD280" s="207"/>
    </row>
    <row r="281" spans="18:30" ht="29.25" customHeight="1" x14ac:dyDescent="0.25">
      <c r="R281" s="29"/>
      <c r="S281" s="29"/>
      <c r="T281" s="29"/>
      <c r="U281" s="29"/>
      <c r="V281" s="29"/>
      <c r="W281" s="29"/>
      <c r="X281" s="29"/>
      <c r="Y281" s="29"/>
      <c r="Z281" s="29"/>
      <c r="AA281" s="29"/>
      <c r="AB281" s="29"/>
      <c r="AC281" s="29"/>
      <c r="AD281" s="207"/>
    </row>
    <row r="282" spans="18:30" ht="29.25" customHeight="1" x14ac:dyDescent="0.25">
      <c r="R282" s="29"/>
      <c r="S282" s="29"/>
      <c r="T282" s="29"/>
      <c r="U282" s="29"/>
      <c r="V282" s="29"/>
      <c r="W282" s="29"/>
      <c r="X282" s="29"/>
      <c r="Y282" s="29"/>
      <c r="Z282" s="29"/>
      <c r="AA282" s="29"/>
      <c r="AB282" s="29"/>
      <c r="AC282" s="29"/>
      <c r="AD282" s="207"/>
    </row>
    <row r="283" spans="18:30" ht="29.25" customHeight="1" x14ac:dyDescent="0.25">
      <c r="R283" s="29"/>
      <c r="S283" s="29"/>
      <c r="T283" s="29"/>
      <c r="U283" s="29"/>
      <c r="V283" s="29"/>
      <c r="W283" s="29"/>
      <c r="X283" s="29"/>
      <c r="Y283" s="29"/>
      <c r="Z283" s="29"/>
      <c r="AA283" s="29"/>
      <c r="AB283" s="29"/>
      <c r="AC283" s="29"/>
      <c r="AD283" s="207"/>
    </row>
    <row r="284" spans="18:30" ht="29.25" customHeight="1" x14ac:dyDescent="0.25">
      <c r="R284" s="29"/>
      <c r="S284" s="29"/>
      <c r="T284" s="29"/>
      <c r="U284" s="29"/>
      <c r="V284" s="29"/>
      <c r="W284" s="29"/>
      <c r="X284" s="29"/>
      <c r="Y284" s="29"/>
      <c r="Z284" s="29"/>
      <c r="AA284" s="29"/>
      <c r="AB284" s="29"/>
      <c r="AC284" s="29"/>
      <c r="AD284" s="207"/>
    </row>
    <row r="285" spans="18:30" ht="29.25" customHeight="1" x14ac:dyDescent="0.25">
      <c r="R285" s="29"/>
      <c r="S285" s="29"/>
      <c r="T285" s="29"/>
      <c r="U285" s="29"/>
      <c r="V285" s="29"/>
      <c r="W285" s="29"/>
      <c r="X285" s="29"/>
      <c r="Y285" s="29"/>
      <c r="Z285" s="29"/>
      <c r="AA285" s="29"/>
      <c r="AB285" s="29"/>
      <c r="AC285" s="29"/>
      <c r="AD285" s="207"/>
    </row>
    <row r="286" spans="18:30" ht="29.25" customHeight="1" x14ac:dyDescent="0.25">
      <c r="R286" s="29"/>
      <c r="S286" s="29"/>
      <c r="T286" s="29"/>
      <c r="U286" s="29"/>
      <c r="V286" s="29"/>
      <c r="W286" s="29"/>
      <c r="X286" s="29"/>
      <c r="Y286" s="29"/>
      <c r="Z286" s="29"/>
      <c r="AA286" s="29"/>
      <c r="AB286" s="29"/>
      <c r="AC286" s="29"/>
      <c r="AD286" s="207"/>
    </row>
    <row r="287" spans="18:30" ht="29.25" customHeight="1" x14ac:dyDescent="0.25">
      <c r="R287" s="29"/>
      <c r="S287" s="29"/>
      <c r="T287" s="29"/>
      <c r="U287" s="29"/>
      <c r="V287" s="29"/>
      <c r="W287" s="29"/>
      <c r="X287" s="29"/>
      <c r="Y287" s="29"/>
      <c r="Z287" s="29"/>
      <c r="AA287" s="29"/>
      <c r="AB287" s="29"/>
      <c r="AC287" s="29"/>
      <c r="AD287" s="207"/>
    </row>
    <row r="288" spans="18:30" ht="29.25" customHeight="1" x14ac:dyDescent="0.25">
      <c r="R288" s="29"/>
      <c r="S288" s="29"/>
      <c r="T288" s="29"/>
      <c r="U288" s="29"/>
      <c r="V288" s="29"/>
      <c r="W288" s="29"/>
      <c r="X288" s="29"/>
      <c r="Y288" s="29"/>
      <c r="Z288" s="29"/>
      <c r="AA288" s="29"/>
      <c r="AB288" s="29"/>
      <c r="AC288" s="29"/>
      <c r="AD288" s="207"/>
    </row>
    <row r="289" spans="18:30" ht="29.25" customHeight="1" x14ac:dyDescent="0.25">
      <c r="R289" s="29"/>
      <c r="S289" s="29"/>
      <c r="T289" s="29"/>
      <c r="U289" s="29"/>
      <c r="V289" s="29"/>
      <c r="W289" s="29"/>
      <c r="X289" s="29"/>
      <c r="Y289" s="29"/>
      <c r="Z289" s="29"/>
      <c r="AA289" s="29"/>
      <c r="AB289" s="29"/>
      <c r="AC289" s="29"/>
      <c r="AD289" s="207"/>
    </row>
    <row r="290" spans="18:30" ht="29.25" customHeight="1" x14ac:dyDescent="0.25">
      <c r="R290" s="29"/>
      <c r="S290" s="29"/>
      <c r="T290" s="29"/>
      <c r="U290" s="29"/>
      <c r="V290" s="29"/>
      <c r="W290" s="29"/>
      <c r="X290" s="29"/>
      <c r="Y290" s="29"/>
      <c r="Z290" s="29"/>
      <c r="AA290" s="29"/>
      <c r="AB290" s="29"/>
      <c r="AC290" s="29"/>
      <c r="AD290" s="207"/>
    </row>
    <row r="291" spans="18:30" ht="29.25" customHeight="1" x14ac:dyDescent="0.25">
      <c r="R291" s="29"/>
      <c r="S291" s="29"/>
      <c r="T291" s="29"/>
      <c r="U291" s="29"/>
      <c r="V291" s="29"/>
      <c r="W291" s="29"/>
      <c r="X291" s="29"/>
      <c r="Y291" s="29"/>
      <c r="Z291" s="29"/>
      <c r="AA291" s="29"/>
      <c r="AB291" s="29"/>
      <c r="AC291" s="29"/>
      <c r="AD291" s="207"/>
    </row>
    <row r="292" spans="18:30" ht="29.25" customHeight="1" x14ac:dyDescent="0.25">
      <c r="R292" s="29"/>
      <c r="S292" s="29"/>
      <c r="T292" s="29"/>
      <c r="U292" s="29"/>
      <c r="V292" s="29"/>
      <c r="W292" s="29"/>
      <c r="X292" s="29"/>
      <c r="Y292" s="29"/>
      <c r="Z292" s="29"/>
      <c r="AA292" s="29"/>
      <c r="AB292" s="29"/>
      <c r="AC292" s="29"/>
      <c r="AD292" s="207"/>
    </row>
    <row r="293" spans="18:30" ht="29.25" customHeight="1" x14ac:dyDescent="0.25">
      <c r="R293" s="29"/>
      <c r="S293" s="29"/>
      <c r="T293" s="29"/>
      <c r="U293" s="29"/>
      <c r="V293" s="29"/>
      <c r="W293" s="29"/>
      <c r="X293" s="29"/>
      <c r="Y293" s="29"/>
      <c r="Z293" s="29"/>
      <c r="AA293" s="29"/>
      <c r="AB293" s="29"/>
      <c r="AC293" s="29"/>
      <c r="AD293" s="207"/>
    </row>
    <row r="294" spans="18:30" ht="29.25" customHeight="1" x14ac:dyDescent="0.25">
      <c r="R294" s="29"/>
      <c r="S294" s="29"/>
      <c r="T294" s="29"/>
      <c r="U294" s="29"/>
      <c r="V294" s="29"/>
      <c r="W294" s="29"/>
      <c r="X294" s="29"/>
      <c r="Y294" s="29"/>
      <c r="Z294" s="29"/>
      <c r="AA294" s="29"/>
      <c r="AB294" s="29"/>
      <c r="AC294" s="29"/>
      <c r="AD294" s="207"/>
    </row>
    <row r="295" spans="18:30" ht="29.25" customHeight="1" x14ac:dyDescent="0.25">
      <c r="R295" s="29"/>
      <c r="S295" s="29"/>
      <c r="T295" s="29"/>
      <c r="U295" s="29"/>
      <c r="V295" s="29"/>
      <c r="W295" s="29"/>
      <c r="X295" s="29"/>
      <c r="Y295" s="29"/>
      <c r="Z295" s="29"/>
      <c r="AA295" s="29"/>
      <c r="AB295" s="29"/>
      <c r="AC295" s="29"/>
      <c r="AD295" s="207"/>
    </row>
    <row r="296" spans="18:30" ht="29.25" customHeight="1" x14ac:dyDescent="0.25">
      <c r="R296" s="29"/>
      <c r="S296" s="29"/>
      <c r="T296" s="29"/>
      <c r="U296" s="29"/>
      <c r="V296" s="29"/>
      <c r="W296" s="29"/>
      <c r="X296" s="29"/>
      <c r="Y296" s="29"/>
      <c r="Z296" s="29"/>
      <c r="AA296" s="29"/>
      <c r="AB296" s="29"/>
      <c r="AC296" s="29"/>
      <c r="AD296" s="207"/>
    </row>
    <row r="297" spans="18:30" ht="29.25" customHeight="1" x14ac:dyDescent="0.25">
      <c r="R297" s="29"/>
      <c r="S297" s="29"/>
      <c r="T297" s="29"/>
      <c r="U297" s="29"/>
      <c r="V297" s="29"/>
      <c r="W297" s="29"/>
      <c r="X297" s="29"/>
      <c r="Y297" s="29"/>
      <c r="Z297" s="29"/>
      <c r="AA297" s="29"/>
      <c r="AB297" s="29"/>
      <c r="AC297" s="29"/>
      <c r="AD297" s="207"/>
    </row>
    <row r="298" spans="18:30" ht="29.25" customHeight="1" x14ac:dyDescent="0.25">
      <c r="R298" s="29"/>
      <c r="S298" s="29"/>
      <c r="T298" s="29"/>
      <c r="U298" s="29"/>
      <c r="V298" s="29"/>
      <c r="W298" s="29"/>
      <c r="X298" s="29"/>
      <c r="Y298" s="29"/>
      <c r="Z298" s="29"/>
      <c r="AA298" s="29"/>
      <c r="AB298" s="29"/>
      <c r="AC298" s="29"/>
      <c r="AD298" s="207"/>
    </row>
    <row r="299" spans="18:30" ht="29.25" customHeight="1" x14ac:dyDescent="0.25">
      <c r="R299" s="29"/>
      <c r="S299" s="29"/>
      <c r="T299" s="29"/>
      <c r="U299" s="29"/>
      <c r="V299" s="29"/>
      <c r="W299" s="29"/>
      <c r="X299" s="29"/>
      <c r="Y299" s="29"/>
      <c r="Z299" s="29"/>
      <c r="AA299" s="29"/>
      <c r="AB299" s="29"/>
      <c r="AC299" s="29"/>
      <c r="AD299" s="207"/>
    </row>
    <row r="300" spans="18:30" ht="29.25" customHeight="1" x14ac:dyDescent="0.25">
      <c r="R300" s="29"/>
      <c r="S300" s="29"/>
      <c r="T300" s="29"/>
      <c r="U300" s="29"/>
      <c r="V300" s="29"/>
      <c r="W300" s="29"/>
      <c r="X300" s="29"/>
      <c r="Y300" s="29"/>
      <c r="Z300" s="29"/>
      <c r="AA300" s="29"/>
      <c r="AB300" s="29"/>
      <c r="AC300" s="29"/>
      <c r="AD300" s="207"/>
    </row>
    <row r="301" spans="18:30" ht="29.25" customHeight="1" x14ac:dyDescent="0.25">
      <c r="R301" s="29"/>
      <c r="S301" s="29"/>
      <c r="T301" s="29"/>
      <c r="U301" s="29"/>
      <c r="V301" s="29"/>
      <c r="W301" s="29"/>
      <c r="X301" s="29"/>
      <c r="Y301" s="29"/>
      <c r="Z301" s="29"/>
      <c r="AA301" s="29"/>
      <c r="AB301" s="29"/>
      <c r="AC301" s="29"/>
      <c r="AD301" s="207"/>
    </row>
    <row r="302" spans="18:30" ht="29.25" customHeight="1" x14ac:dyDescent="0.25">
      <c r="R302" s="29"/>
      <c r="S302" s="29"/>
      <c r="T302" s="29"/>
      <c r="U302" s="29"/>
      <c r="V302" s="29"/>
      <c r="W302" s="29"/>
      <c r="X302" s="29"/>
      <c r="Y302" s="29"/>
      <c r="Z302" s="29"/>
      <c r="AA302" s="29"/>
      <c r="AB302" s="29"/>
      <c r="AC302" s="29"/>
      <c r="AD302" s="207"/>
    </row>
    <row r="303" spans="18:30" ht="29.25" customHeight="1" x14ac:dyDescent="0.25">
      <c r="R303" s="29"/>
      <c r="S303" s="29"/>
      <c r="T303" s="29"/>
      <c r="U303" s="29"/>
      <c r="V303" s="29"/>
      <c r="W303" s="29"/>
      <c r="X303" s="29"/>
      <c r="Y303" s="29"/>
      <c r="Z303" s="29"/>
      <c r="AA303" s="29"/>
      <c r="AB303" s="29"/>
      <c r="AC303" s="29"/>
      <c r="AD303" s="207"/>
    </row>
    <row r="304" spans="18:30" ht="29.25" customHeight="1" x14ac:dyDescent="0.25">
      <c r="R304" s="29"/>
      <c r="S304" s="29"/>
      <c r="T304" s="29"/>
      <c r="U304" s="29"/>
      <c r="V304" s="29"/>
      <c r="W304" s="29"/>
      <c r="X304" s="29"/>
      <c r="Y304" s="29"/>
      <c r="Z304" s="29"/>
      <c r="AA304" s="29"/>
      <c r="AB304" s="29"/>
      <c r="AC304" s="29"/>
      <c r="AD304" s="207"/>
    </row>
    <row r="305" spans="18:30" ht="29.25" customHeight="1" x14ac:dyDescent="0.25">
      <c r="R305" s="29"/>
      <c r="S305" s="29"/>
      <c r="T305" s="29"/>
      <c r="U305" s="29"/>
      <c r="V305" s="29"/>
      <c r="W305" s="29"/>
      <c r="X305" s="29"/>
      <c r="Y305" s="29"/>
      <c r="Z305" s="29"/>
      <c r="AA305" s="29"/>
      <c r="AB305" s="29"/>
      <c r="AC305" s="29"/>
      <c r="AD305" s="207"/>
    </row>
    <row r="306" spans="18:30" ht="29.25" customHeight="1" x14ac:dyDescent="0.25">
      <c r="R306" s="29"/>
      <c r="S306" s="29"/>
      <c r="T306" s="29"/>
      <c r="U306" s="29"/>
      <c r="V306" s="29"/>
      <c r="W306" s="29"/>
      <c r="X306" s="29"/>
      <c r="Y306" s="29"/>
      <c r="Z306" s="29"/>
      <c r="AA306" s="29"/>
      <c r="AB306" s="29"/>
      <c r="AC306" s="29"/>
      <c r="AD306" s="207"/>
    </row>
    <row r="307" spans="18:30" ht="29.25" customHeight="1" x14ac:dyDescent="0.25">
      <c r="R307" s="29"/>
      <c r="S307" s="29"/>
      <c r="T307" s="29"/>
      <c r="U307" s="29"/>
      <c r="V307" s="29"/>
      <c r="W307" s="29"/>
      <c r="X307" s="29"/>
      <c r="Y307" s="29"/>
      <c r="Z307" s="29"/>
      <c r="AA307" s="29"/>
      <c r="AB307" s="29"/>
      <c r="AC307" s="29"/>
      <c r="AD307" s="207"/>
    </row>
    <row r="308" spans="18:30" ht="29.25" customHeight="1" x14ac:dyDescent="0.25">
      <c r="R308" s="29"/>
      <c r="S308" s="29"/>
      <c r="T308" s="29"/>
      <c r="U308" s="29"/>
      <c r="V308" s="29"/>
      <c r="W308" s="29"/>
      <c r="X308" s="29"/>
      <c r="Y308" s="29"/>
      <c r="Z308" s="29"/>
      <c r="AA308" s="29"/>
      <c r="AB308" s="29"/>
      <c r="AC308" s="29"/>
      <c r="AD308" s="207"/>
    </row>
    <row r="309" spans="18:30" ht="29.25" customHeight="1" x14ac:dyDescent="0.25">
      <c r="R309" s="29"/>
      <c r="S309" s="29"/>
      <c r="T309" s="29"/>
      <c r="U309" s="29"/>
      <c r="V309" s="29"/>
      <c r="W309" s="29"/>
      <c r="X309" s="29"/>
      <c r="Y309" s="29"/>
      <c r="Z309" s="29"/>
      <c r="AA309" s="29"/>
      <c r="AB309" s="29"/>
      <c r="AC309" s="29"/>
      <c r="AD309" s="207"/>
    </row>
    <row r="310" spans="18:30" ht="29.25" customHeight="1" x14ac:dyDescent="0.25">
      <c r="R310" s="29"/>
      <c r="S310" s="29"/>
      <c r="T310" s="29"/>
      <c r="U310" s="29"/>
      <c r="V310" s="29"/>
      <c r="W310" s="29"/>
      <c r="X310" s="29"/>
      <c r="Y310" s="29"/>
      <c r="Z310" s="29"/>
      <c r="AA310" s="29"/>
      <c r="AB310" s="29"/>
      <c r="AC310" s="29"/>
      <c r="AD310" s="207"/>
    </row>
    <row r="311" spans="18:30" ht="29.25" customHeight="1" x14ac:dyDescent="0.25">
      <c r="R311" s="29"/>
      <c r="S311" s="29"/>
      <c r="T311" s="29"/>
      <c r="U311" s="29"/>
      <c r="V311" s="29"/>
      <c r="W311" s="29"/>
      <c r="X311" s="29"/>
      <c r="Y311" s="29"/>
      <c r="Z311" s="29"/>
      <c r="AA311" s="29"/>
      <c r="AB311" s="29"/>
      <c r="AC311" s="29"/>
      <c r="AD311" s="207"/>
    </row>
    <row r="312" spans="18:30" ht="29.25" customHeight="1" x14ac:dyDescent="0.25">
      <c r="R312" s="29"/>
      <c r="S312" s="29"/>
      <c r="T312" s="29"/>
      <c r="U312" s="29"/>
      <c r="V312" s="29"/>
      <c r="W312" s="29"/>
      <c r="X312" s="29"/>
      <c r="Y312" s="29"/>
      <c r="Z312" s="29"/>
      <c r="AA312" s="29"/>
      <c r="AB312" s="29"/>
      <c r="AC312" s="29"/>
      <c r="AD312" s="207"/>
    </row>
    <row r="313" spans="18:30" ht="29.25" customHeight="1" x14ac:dyDescent="0.25">
      <c r="R313" s="29"/>
      <c r="S313" s="29"/>
      <c r="T313" s="29"/>
      <c r="U313" s="29"/>
      <c r="V313" s="29"/>
      <c r="W313" s="29"/>
      <c r="X313" s="29"/>
      <c r="Y313" s="29"/>
      <c r="Z313" s="29"/>
      <c r="AA313" s="29"/>
      <c r="AB313" s="29"/>
      <c r="AC313" s="29"/>
      <c r="AD313" s="207"/>
    </row>
    <row r="314" spans="18:30" ht="29.25" customHeight="1" x14ac:dyDescent="0.25">
      <c r="R314" s="29"/>
      <c r="S314" s="29"/>
      <c r="T314" s="29"/>
      <c r="U314" s="29"/>
      <c r="V314" s="29"/>
      <c r="W314" s="29"/>
      <c r="X314" s="29"/>
      <c r="Y314" s="29"/>
      <c r="Z314" s="29"/>
      <c r="AA314" s="29"/>
      <c r="AB314" s="29"/>
      <c r="AC314" s="29"/>
      <c r="AD314" s="207"/>
    </row>
    <row r="315" spans="18:30" ht="29.25" customHeight="1" x14ac:dyDescent="0.25">
      <c r="R315" s="29"/>
      <c r="S315" s="29"/>
      <c r="T315" s="29"/>
      <c r="U315" s="29"/>
      <c r="V315" s="29"/>
      <c r="W315" s="29"/>
      <c r="X315" s="29"/>
      <c r="Y315" s="29"/>
      <c r="Z315" s="29"/>
      <c r="AA315" s="29"/>
      <c r="AB315" s="29"/>
      <c r="AC315" s="29"/>
      <c r="AD315" s="207"/>
    </row>
    <row r="316" spans="18:30" ht="29.25" customHeight="1" x14ac:dyDescent="0.25">
      <c r="R316" s="29"/>
      <c r="S316" s="29"/>
      <c r="T316" s="29"/>
      <c r="U316" s="29"/>
      <c r="V316" s="29"/>
      <c r="W316" s="29"/>
      <c r="X316" s="29"/>
      <c r="Y316" s="29"/>
      <c r="Z316" s="29"/>
      <c r="AA316" s="29"/>
      <c r="AB316" s="29"/>
      <c r="AC316" s="29"/>
      <c r="AD316" s="207"/>
    </row>
    <row r="317" spans="18:30" ht="29.25" customHeight="1" x14ac:dyDescent="0.25">
      <c r="R317" s="29"/>
      <c r="S317" s="29"/>
      <c r="T317" s="29"/>
      <c r="U317" s="29"/>
      <c r="V317" s="29"/>
      <c r="W317" s="29"/>
      <c r="X317" s="29"/>
      <c r="Y317" s="29"/>
      <c r="Z317" s="29"/>
      <c r="AA317" s="29"/>
      <c r="AB317" s="29"/>
      <c r="AC317" s="29"/>
      <c r="AD317" s="207"/>
    </row>
    <row r="318" spans="18:30" ht="29.25" customHeight="1" x14ac:dyDescent="0.25">
      <c r="R318" s="29"/>
      <c r="S318" s="29"/>
      <c r="T318" s="29"/>
      <c r="U318" s="29"/>
      <c r="V318" s="29"/>
      <c r="W318" s="29"/>
      <c r="X318" s="29"/>
      <c r="Y318" s="29"/>
      <c r="Z318" s="29"/>
      <c r="AA318" s="29"/>
      <c r="AB318" s="29"/>
      <c r="AC318" s="29"/>
      <c r="AD318" s="207"/>
    </row>
    <row r="319" spans="18:30" ht="29.25" customHeight="1" x14ac:dyDescent="0.25">
      <c r="R319" s="29"/>
      <c r="S319" s="29"/>
      <c r="T319" s="29"/>
      <c r="U319" s="29"/>
      <c r="V319" s="29"/>
      <c r="W319" s="29"/>
      <c r="X319" s="29"/>
      <c r="Y319" s="29"/>
      <c r="Z319" s="29"/>
      <c r="AA319" s="29"/>
      <c r="AB319" s="29"/>
      <c r="AC319" s="29"/>
      <c r="AD319" s="207"/>
    </row>
    <row r="320" spans="18:30" ht="29.25" customHeight="1" x14ac:dyDescent="0.25">
      <c r="R320" s="29"/>
      <c r="S320" s="29"/>
      <c r="T320" s="29"/>
      <c r="U320" s="29"/>
      <c r="V320" s="29"/>
      <c r="W320" s="29"/>
      <c r="X320" s="29"/>
      <c r="Y320" s="29"/>
      <c r="Z320" s="29"/>
      <c r="AA320" s="29"/>
      <c r="AB320" s="29"/>
      <c r="AC320" s="29"/>
      <c r="AD320" s="207"/>
    </row>
    <row r="321" spans="18:30" ht="29.25" customHeight="1" x14ac:dyDescent="0.25">
      <c r="R321" s="29"/>
      <c r="S321" s="29"/>
      <c r="T321" s="29"/>
      <c r="U321" s="29"/>
      <c r="V321" s="29"/>
      <c r="W321" s="29"/>
      <c r="X321" s="29"/>
      <c r="Y321" s="29"/>
      <c r="Z321" s="29"/>
      <c r="AA321" s="29"/>
      <c r="AB321" s="29"/>
      <c r="AC321" s="29"/>
      <c r="AD321" s="207"/>
    </row>
    <row r="322" spans="18:30" ht="29.25" customHeight="1" x14ac:dyDescent="0.25">
      <c r="R322" s="29"/>
      <c r="S322" s="29"/>
      <c r="T322" s="29"/>
      <c r="U322" s="29"/>
      <c r="V322" s="29"/>
      <c r="W322" s="29"/>
      <c r="X322" s="29"/>
      <c r="Y322" s="29"/>
      <c r="Z322" s="29"/>
      <c r="AA322" s="29"/>
      <c r="AB322" s="29"/>
      <c r="AC322" s="29"/>
      <c r="AD322" s="207"/>
    </row>
    <row r="323" spans="18:30" ht="29.25" customHeight="1" x14ac:dyDescent="0.25">
      <c r="R323" s="29"/>
      <c r="S323" s="29"/>
      <c r="T323" s="29"/>
      <c r="U323" s="29"/>
      <c r="V323" s="29"/>
      <c r="W323" s="29"/>
      <c r="X323" s="29"/>
      <c r="Y323" s="29"/>
      <c r="Z323" s="29"/>
      <c r="AA323" s="29"/>
      <c r="AB323" s="29"/>
      <c r="AC323" s="29"/>
      <c r="AD323" s="207"/>
    </row>
    <row r="324" spans="18:30" ht="29.25" customHeight="1" x14ac:dyDescent="0.25">
      <c r="R324" s="29"/>
      <c r="S324" s="29"/>
      <c r="T324" s="29"/>
      <c r="U324" s="29"/>
      <c r="V324" s="29"/>
      <c r="W324" s="29"/>
      <c r="X324" s="29"/>
      <c r="Y324" s="29"/>
      <c r="Z324" s="29"/>
      <c r="AA324" s="29"/>
      <c r="AB324" s="29"/>
      <c r="AC324" s="29"/>
      <c r="AD324" s="207"/>
    </row>
    <row r="325" spans="18:30" ht="29.25" customHeight="1" x14ac:dyDescent="0.25">
      <c r="R325" s="29"/>
      <c r="S325" s="29"/>
      <c r="T325" s="29"/>
      <c r="U325" s="29"/>
      <c r="V325" s="29"/>
      <c r="W325" s="29"/>
      <c r="X325" s="29"/>
      <c r="Y325" s="29"/>
      <c r="Z325" s="29"/>
      <c r="AA325" s="29"/>
      <c r="AB325" s="29"/>
      <c r="AC325" s="29"/>
      <c r="AD325" s="207"/>
    </row>
    <row r="326" spans="18:30" ht="29.25" customHeight="1" x14ac:dyDescent="0.25">
      <c r="R326" s="29"/>
      <c r="S326" s="29"/>
      <c r="T326" s="29"/>
      <c r="U326" s="29"/>
      <c r="V326" s="29"/>
      <c r="W326" s="29"/>
      <c r="X326" s="29"/>
      <c r="Y326" s="29"/>
      <c r="Z326" s="29"/>
      <c r="AA326" s="29"/>
      <c r="AB326" s="29"/>
      <c r="AC326" s="29"/>
      <c r="AD326" s="207"/>
    </row>
    <row r="327" spans="18:30" ht="29.25" customHeight="1" x14ac:dyDescent="0.25">
      <c r="R327" s="29"/>
      <c r="S327" s="29"/>
      <c r="T327" s="29"/>
      <c r="U327" s="29"/>
      <c r="V327" s="29"/>
      <c r="W327" s="29"/>
      <c r="X327" s="29"/>
      <c r="Y327" s="29"/>
      <c r="Z327" s="29"/>
      <c r="AA327" s="29"/>
      <c r="AB327" s="29"/>
      <c r="AC327" s="29"/>
      <c r="AD327" s="207"/>
    </row>
    <row r="328" spans="18:30" ht="29.25" customHeight="1" x14ac:dyDescent="0.25">
      <c r="R328" s="29"/>
      <c r="S328" s="29"/>
      <c r="T328" s="29"/>
      <c r="U328" s="29"/>
      <c r="V328" s="29"/>
      <c r="W328" s="29"/>
      <c r="X328" s="29"/>
      <c r="Y328" s="29"/>
      <c r="Z328" s="29"/>
      <c r="AA328" s="29"/>
      <c r="AB328" s="29"/>
      <c r="AC328" s="29"/>
      <c r="AD328" s="207"/>
    </row>
    <row r="329" spans="18:30" ht="29.25" customHeight="1" x14ac:dyDescent="0.25">
      <c r="R329" s="29"/>
      <c r="S329" s="29"/>
      <c r="T329" s="29"/>
      <c r="U329" s="29"/>
      <c r="V329" s="29"/>
      <c r="W329" s="29"/>
      <c r="X329" s="29"/>
      <c r="Y329" s="29"/>
      <c r="Z329" s="29"/>
      <c r="AA329" s="29"/>
      <c r="AB329" s="29"/>
      <c r="AC329" s="29"/>
      <c r="AD329" s="207"/>
    </row>
    <row r="330" spans="18:30" ht="29.25" customHeight="1" x14ac:dyDescent="0.25">
      <c r="R330" s="29"/>
      <c r="S330" s="29"/>
      <c r="T330" s="29"/>
      <c r="U330" s="29"/>
      <c r="V330" s="29"/>
      <c r="W330" s="29"/>
      <c r="X330" s="29"/>
      <c r="Y330" s="29"/>
      <c r="Z330" s="29"/>
      <c r="AA330" s="29"/>
      <c r="AB330" s="29"/>
      <c r="AC330" s="29"/>
      <c r="AD330" s="207"/>
    </row>
    <row r="331" spans="18:30" ht="29.25" customHeight="1" x14ac:dyDescent="0.25">
      <c r="R331" s="29"/>
      <c r="S331" s="29"/>
      <c r="T331" s="29"/>
      <c r="U331" s="29"/>
      <c r="V331" s="29"/>
      <c r="W331" s="29"/>
      <c r="X331" s="29"/>
      <c r="Y331" s="29"/>
      <c r="Z331" s="29"/>
      <c r="AA331" s="29"/>
      <c r="AB331" s="29"/>
      <c r="AC331" s="29"/>
      <c r="AD331" s="207"/>
    </row>
    <row r="332" spans="18:30" ht="29.25" customHeight="1" x14ac:dyDescent="0.25">
      <c r="R332" s="29"/>
      <c r="S332" s="29"/>
      <c r="T332" s="29"/>
      <c r="U332" s="29"/>
      <c r="V332" s="29"/>
      <c r="W332" s="29"/>
      <c r="X332" s="29"/>
      <c r="Y332" s="29"/>
      <c r="Z332" s="29"/>
      <c r="AA332" s="29"/>
      <c r="AB332" s="29"/>
      <c r="AC332" s="29"/>
      <c r="AD332" s="207"/>
    </row>
    <row r="333" spans="18:30" ht="29.25" customHeight="1" x14ac:dyDescent="0.25">
      <c r="R333" s="29"/>
      <c r="S333" s="29"/>
      <c r="T333" s="29"/>
      <c r="U333" s="29"/>
      <c r="V333" s="29"/>
      <c r="W333" s="29"/>
      <c r="X333" s="29"/>
      <c r="Y333" s="29"/>
      <c r="Z333" s="29"/>
      <c r="AA333" s="29"/>
      <c r="AB333" s="29"/>
      <c r="AC333" s="29"/>
      <c r="AD333" s="207"/>
    </row>
    <row r="334" spans="18:30" ht="29.25" customHeight="1" x14ac:dyDescent="0.25">
      <c r="R334" s="29"/>
      <c r="S334" s="29"/>
      <c r="T334" s="29"/>
      <c r="U334" s="29"/>
      <c r="V334" s="29"/>
      <c r="W334" s="29"/>
      <c r="X334" s="29"/>
      <c r="Y334" s="29"/>
      <c r="Z334" s="29"/>
      <c r="AA334" s="29"/>
      <c r="AB334" s="29"/>
      <c r="AC334" s="29"/>
      <c r="AD334" s="207"/>
    </row>
    <row r="335" spans="18:30" ht="29.25" customHeight="1" x14ac:dyDescent="0.25">
      <c r="R335" s="29"/>
      <c r="S335" s="29"/>
      <c r="T335" s="29"/>
      <c r="U335" s="29"/>
      <c r="V335" s="29"/>
      <c r="W335" s="29"/>
      <c r="X335" s="29"/>
      <c r="Y335" s="29"/>
      <c r="Z335" s="29"/>
      <c r="AA335" s="29"/>
      <c r="AB335" s="29"/>
      <c r="AC335" s="29"/>
      <c r="AD335" s="207"/>
    </row>
    <row r="336" spans="18:30" ht="29.25" customHeight="1" x14ac:dyDescent="0.25">
      <c r="R336" s="29"/>
      <c r="S336" s="29"/>
      <c r="T336" s="29"/>
      <c r="U336" s="29"/>
      <c r="V336" s="29"/>
      <c r="W336" s="29"/>
      <c r="X336" s="29"/>
      <c r="Y336" s="29"/>
      <c r="Z336" s="29"/>
      <c r="AA336" s="29"/>
      <c r="AB336" s="29"/>
      <c r="AC336" s="29"/>
      <c r="AD336" s="207"/>
    </row>
    <row r="337" spans="18:30" ht="29.25" customHeight="1" x14ac:dyDescent="0.25">
      <c r="R337" s="29"/>
      <c r="S337" s="29"/>
      <c r="T337" s="29"/>
      <c r="U337" s="29"/>
      <c r="V337" s="29"/>
      <c r="W337" s="29"/>
      <c r="X337" s="29"/>
      <c r="Y337" s="29"/>
      <c r="Z337" s="29"/>
      <c r="AA337" s="29"/>
      <c r="AB337" s="29"/>
      <c r="AC337" s="29"/>
      <c r="AD337" s="207"/>
    </row>
    <row r="338" spans="18:30" ht="29.25" customHeight="1" x14ac:dyDescent="0.25">
      <c r="R338" s="29"/>
      <c r="S338" s="29"/>
      <c r="T338" s="29"/>
      <c r="U338" s="29"/>
      <c r="V338" s="29"/>
      <c r="W338" s="29"/>
      <c r="X338" s="29"/>
      <c r="Y338" s="29"/>
      <c r="Z338" s="29"/>
      <c r="AA338" s="29"/>
      <c r="AB338" s="29"/>
      <c r="AC338" s="29"/>
      <c r="AD338" s="207"/>
    </row>
    <row r="339" spans="18:30" ht="29.25" customHeight="1" x14ac:dyDescent="0.25">
      <c r="R339" s="29"/>
      <c r="S339" s="29"/>
      <c r="T339" s="29"/>
      <c r="U339" s="29"/>
      <c r="V339" s="29"/>
      <c r="W339" s="29"/>
      <c r="X339" s="29"/>
      <c r="Y339" s="29"/>
      <c r="Z339" s="29"/>
      <c r="AA339" s="29"/>
      <c r="AB339" s="29"/>
      <c r="AC339" s="29"/>
      <c r="AD339" s="207"/>
    </row>
    <row r="340" spans="18:30" ht="29.25" customHeight="1" x14ac:dyDescent="0.25">
      <c r="R340" s="29"/>
      <c r="S340" s="29"/>
      <c r="T340" s="29"/>
      <c r="U340" s="29"/>
      <c r="V340" s="29"/>
      <c r="W340" s="29"/>
      <c r="X340" s="29"/>
      <c r="Y340" s="29"/>
      <c r="Z340" s="29"/>
      <c r="AA340" s="29"/>
      <c r="AB340" s="29"/>
      <c r="AC340" s="29"/>
      <c r="AD340" s="207"/>
    </row>
    <row r="341" spans="18:30" ht="29.25" customHeight="1" x14ac:dyDescent="0.25">
      <c r="R341" s="29"/>
      <c r="S341" s="29"/>
      <c r="T341" s="29"/>
      <c r="U341" s="29"/>
      <c r="V341" s="29"/>
      <c r="W341" s="29"/>
      <c r="X341" s="29"/>
      <c r="Y341" s="29"/>
      <c r="Z341" s="29"/>
      <c r="AA341" s="29"/>
      <c r="AB341" s="29"/>
      <c r="AC341" s="29"/>
      <c r="AD341" s="207"/>
    </row>
    <row r="342" spans="18:30" ht="29.25" customHeight="1" x14ac:dyDescent="0.25">
      <c r="R342" s="29"/>
      <c r="S342" s="29"/>
      <c r="T342" s="29"/>
      <c r="U342" s="29"/>
      <c r="V342" s="29"/>
      <c r="W342" s="29"/>
      <c r="X342" s="29"/>
      <c r="Y342" s="29"/>
      <c r="Z342" s="29"/>
      <c r="AA342" s="29"/>
      <c r="AB342" s="29"/>
      <c r="AC342" s="29"/>
      <c r="AD342" s="207"/>
    </row>
    <row r="343" spans="18:30" ht="29.25" customHeight="1" x14ac:dyDescent="0.25">
      <c r="R343" s="29"/>
      <c r="S343" s="29"/>
      <c r="T343" s="29"/>
      <c r="U343" s="29"/>
      <c r="V343" s="29"/>
      <c r="W343" s="29"/>
      <c r="X343" s="29"/>
      <c r="Y343" s="29"/>
      <c r="Z343" s="29"/>
      <c r="AA343" s="29"/>
      <c r="AB343" s="29"/>
      <c r="AC343" s="29"/>
      <c r="AD343" s="207"/>
    </row>
    <row r="344" spans="18:30" ht="29.25" customHeight="1" x14ac:dyDescent="0.25">
      <c r="R344" s="29"/>
      <c r="S344" s="29"/>
      <c r="T344" s="29"/>
      <c r="U344" s="29"/>
      <c r="V344" s="29"/>
      <c r="W344" s="29"/>
      <c r="X344" s="29"/>
      <c r="Y344" s="29"/>
      <c r="Z344" s="29"/>
      <c r="AA344" s="29"/>
      <c r="AB344" s="29"/>
      <c r="AC344" s="29"/>
      <c r="AD344" s="207"/>
    </row>
    <row r="345" spans="18:30" ht="29.25" customHeight="1" x14ac:dyDescent="0.25">
      <c r="R345" s="29"/>
      <c r="S345" s="29"/>
      <c r="T345" s="29"/>
      <c r="U345" s="29"/>
      <c r="V345" s="29"/>
      <c r="W345" s="29"/>
      <c r="X345" s="29"/>
      <c r="Y345" s="29"/>
      <c r="Z345" s="29"/>
      <c r="AA345" s="29"/>
      <c r="AB345" s="29"/>
      <c r="AC345" s="29"/>
      <c r="AD345" s="207"/>
    </row>
    <row r="346" spans="18:30" ht="29.25" customHeight="1" x14ac:dyDescent="0.25">
      <c r="R346" s="29"/>
      <c r="S346" s="29"/>
      <c r="T346" s="29"/>
      <c r="U346" s="29"/>
      <c r="V346" s="29"/>
      <c r="W346" s="29"/>
      <c r="X346" s="29"/>
      <c r="Y346" s="29"/>
      <c r="Z346" s="29"/>
      <c r="AA346" s="29"/>
      <c r="AB346" s="29"/>
      <c r="AC346" s="29"/>
      <c r="AD346" s="207"/>
    </row>
    <row r="347" spans="18:30" ht="29.25" customHeight="1" x14ac:dyDescent="0.25">
      <c r="R347" s="29"/>
      <c r="S347" s="29"/>
      <c r="T347" s="29"/>
      <c r="U347" s="29"/>
      <c r="V347" s="29"/>
      <c r="W347" s="29"/>
      <c r="X347" s="29"/>
      <c r="Y347" s="29"/>
      <c r="Z347" s="29"/>
      <c r="AA347" s="29"/>
      <c r="AB347" s="29"/>
      <c r="AC347" s="29"/>
      <c r="AD347" s="207"/>
    </row>
    <row r="348" spans="18:30" ht="29.25" customHeight="1" x14ac:dyDescent="0.25">
      <c r="R348" s="29"/>
      <c r="S348" s="29"/>
      <c r="T348" s="29"/>
      <c r="U348" s="29"/>
      <c r="V348" s="29"/>
      <c r="W348" s="29"/>
      <c r="X348" s="29"/>
      <c r="Y348" s="29"/>
      <c r="Z348" s="29"/>
      <c r="AA348" s="29"/>
      <c r="AB348" s="29"/>
      <c r="AC348" s="29"/>
      <c r="AD348" s="207"/>
    </row>
    <row r="349" spans="18:30" ht="29.25" customHeight="1" x14ac:dyDescent="0.25">
      <c r="R349" s="29"/>
      <c r="S349" s="29"/>
      <c r="T349" s="29"/>
      <c r="U349" s="29"/>
      <c r="V349" s="29"/>
      <c r="W349" s="29"/>
      <c r="X349" s="29"/>
      <c r="Y349" s="29"/>
      <c r="Z349" s="29"/>
      <c r="AA349" s="29"/>
      <c r="AB349" s="29"/>
      <c r="AC349" s="29"/>
      <c r="AD349" s="207"/>
    </row>
    <row r="350" spans="18:30" ht="29.25" customHeight="1" x14ac:dyDescent="0.25">
      <c r="R350" s="29"/>
      <c r="S350" s="29"/>
      <c r="T350" s="29"/>
      <c r="U350" s="29"/>
      <c r="V350" s="29"/>
      <c r="W350" s="29"/>
      <c r="X350" s="29"/>
      <c r="Y350" s="29"/>
      <c r="Z350" s="29"/>
      <c r="AA350" s="29"/>
      <c r="AB350" s="29"/>
      <c r="AC350" s="29"/>
      <c r="AD350" s="207"/>
    </row>
    <row r="351" spans="18:30" ht="29.25" customHeight="1" x14ac:dyDescent="0.25">
      <c r="R351" s="29"/>
      <c r="S351" s="29"/>
      <c r="T351" s="29"/>
      <c r="U351" s="29"/>
      <c r="V351" s="29"/>
      <c r="W351" s="29"/>
      <c r="X351" s="29"/>
      <c r="Y351" s="29"/>
      <c r="Z351" s="29"/>
      <c r="AA351" s="29"/>
      <c r="AB351" s="29"/>
      <c r="AC351" s="29"/>
      <c r="AD351" s="207"/>
    </row>
    <row r="352" spans="18:30" ht="29.25" customHeight="1" x14ac:dyDescent="0.25">
      <c r="R352" s="29"/>
      <c r="S352" s="29"/>
      <c r="T352" s="29"/>
      <c r="U352" s="29"/>
      <c r="V352" s="29"/>
      <c r="W352" s="29"/>
      <c r="X352" s="29"/>
      <c r="Y352" s="29"/>
      <c r="Z352" s="29"/>
      <c r="AA352" s="29"/>
      <c r="AB352" s="29"/>
      <c r="AC352" s="29"/>
      <c r="AD352" s="207"/>
    </row>
    <row r="353" spans="18:30" ht="29.25" customHeight="1" x14ac:dyDescent="0.25">
      <c r="R353" s="29"/>
      <c r="S353" s="29"/>
      <c r="T353" s="29"/>
      <c r="U353" s="29"/>
      <c r="V353" s="29"/>
      <c r="W353" s="29"/>
      <c r="X353" s="29"/>
      <c r="Y353" s="29"/>
      <c r="Z353" s="29"/>
      <c r="AA353" s="29"/>
      <c r="AB353" s="29"/>
      <c r="AC353" s="29"/>
      <c r="AD353" s="207"/>
    </row>
    <row r="354" spans="18:30" ht="29.25" customHeight="1" x14ac:dyDescent="0.25">
      <c r="R354" s="29"/>
      <c r="S354" s="29"/>
      <c r="T354" s="29"/>
      <c r="U354" s="29"/>
      <c r="V354" s="29"/>
      <c r="W354" s="29"/>
      <c r="X354" s="29"/>
      <c r="Y354" s="29"/>
      <c r="Z354" s="29"/>
      <c r="AA354" s="29"/>
      <c r="AB354" s="29"/>
      <c r="AC354" s="29"/>
      <c r="AD354" s="207"/>
    </row>
    <row r="355" spans="18:30" ht="29.25" customHeight="1" x14ac:dyDescent="0.25">
      <c r="R355" s="29"/>
      <c r="S355" s="29"/>
      <c r="T355" s="29"/>
      <c r="U355" s="29"/>
      <c r="V355" s="29"/>
      <c r="W355" s="29"/>
      <c r="X355" s="29"/>
      <c r="Y355" s="29"/>
      <c r="Z355" s="29"/>
      <c r="AA355" s="29"/>
      <c r="AB355" s="29"/>
      <c r="AC355" s="29"/>
      <c r="AD355" s="207"/>
    </row>
    <row r="356" spans="18:30" ht="29.25" customHeight="1" x14ac:dyDescent="0.25">
      <c r="R356" s="29"/>
      <c r="S356" s="29"/>
      <c r="T356" s="29"/>
      <c r="U356" s="29"/>
      <c r="V356" s="29"/>
      <c r="W356" s="29"/>
      <c r="X356" s="29"/>
      <c r="Y356" s="29"/>
      <c r="Z356" s="29"/>
      <c r="AA356" s="29"/>
      <c r="AB356" s="29"/>
      <c r="AC356" s="29"/>
      <c r="AD356" s="207"/>
    </row>
    <row r="357" spans="18:30" ht="29.25" customHeight="1" x14ac:dyDescent="0.25">
      <c r="R357" s="29"/>
      <c r="S357" s="29"/>
      <c r="T357" s="29"/>
      <c r="U357" s="29"/>
      <c r="V357" s="29"/>
      <c r="W357" s="29"/>
      <c r="X357" s="29"/>
      <c r="Y357" s="29"/>
      <c r="Z357" s="29"/>
      <c r="AA357" s="29"/>
      <c r="AB357" s="29"/>
      <c r="AC357" s="29"/>
      <c r="AD357" s="207"/>
    </row>
    <row r="358" spans="18:30" ht="29.25" customHeight="1" x14ac:dyDescent="0.25">
      <c r="R358" s="29"/>
      <c r="S358" s="29"/>
      <c r="T358" s="29"/>
      <c r="U358" s="29"/>
      <c r="V358" s="29"/>
      <c r="W358" s="29"/>
      <c r="X358" s="29"/>
      <c r="Y358" s="29"/>
      <c r="Z358" s="29"/>
      <c r="AA358" s="29"/>
      <c r="AB358" s="29"/>
      <c r="AC358" s="29"/>
      <c r="AD358" s="207"/>
    </row>
    <row r="359" spans="18:30" ht="29.25" customHeight="1" x14ac:dyDescent="0.25">
      <c r="R359" s="29"/>
      <c r="S359" s="29"/>
      <c r="T359" s="29"/>
      <c r="U359" s="29"/>
      <c r="V359" s="29"/>
      <c r="W359" s="29"/>
      <c r="X359" s="29"/>
      <c r="Y359" s="29"/>
      <c r="Z359" s="29"/>
      <c r="AA359" s="29"/>
      <c r="AB359" s="29"/>
      <c r="AC359" s="29"/>
      <c r="AD359" s="207"/>
    </row>
    <row r="360" spans="18:30" ht="29.25" customHeight="1" x14ac:dyDescent="0.25">
      <c r="R360" s="29"/>
      <c r="S360" s="29"/>
      <c r="T360" s="29"/>
      <c r="U360" s="29"/>
      <c r="V360" s="29"/>
      <c r="W360" s="29"/>
      <c r="X360" s="29"/>
      <c r="Y360" s="29"/>
      <c r="Z360" s="29"/>
      <c r="AA360" s="29"/>
      <c r="AB360" s="29"/>
      <c r="AC360" s="29"/>
      <c r="AD360" s="207"/>
    </row>
    <row r="361" spans="18:30" ht="29.25" customHeight="1" x14ac:dyDescent="0.25">
      <c r="R361" s="29"/>
      <c r="S361" s="29"/>
      <c r="T361" s="29"/>
      <c r="U361" s="29"/>
      <c r="V361" s="29"/>
      <c r="W361" s="29"/>
      <c r="X361" s="29"/>
      <c r="Y361" s="29"/>
      <c r="Z361" s="29"/>
      <c r="AA361" s="29"/>
      <c r="AB361" s="29"/>
      <c r="AC361" s="29"/>
      <c r="AD361" s="207"/>
    </row>
    <row r="362" spans="18:30" ht="29.25" customHeight="1" x14ac:dyDescent="0.25">
      <c r="R362" s="29"/>
      <c r="S362" s="29"/>
      <c r="T362" s="29"/>
      <c r="U362" s="29"/>
      <c r="V362" s="29"/>
      <c r="W362" s="29"/>
      <c r="X362" s="29"/>
      <c r="Y362" s="29"/>
      <c r="Z362" s="29"/>
      <c r="AA362" s="29"/>
      <c r="AB362" s="29"/>
      <c r="AC362" s="29"/>
      <c r="AD362" s="207"/>
    </row>
    <row r="363" spans="18:30" ht="29.25" customHeight="1" x14ac:dyDescent="0.25">
      <c r="R363" s="29"/>
      <c r="S363" s="29"/>
      <c r="T363" s="29"/>
      <c r="U363" s="29"/>
      <c r="V363" s="29"/>
      <c r="W363" s="29"/>
      <c r="X363" s="29"/>
      <c r="Y363" s="29"/>
      <c r="Z363" s="29"/>
      <c r="AA363" s="29"/>
      <c r="AB363" s="29"/>
      <c r="AC363" s="29"/>
      <c r="AD363" s="207"/>
    </row>
    <row r="364" spans="18:30" ht="29.25" customHeight="1" x14ac:dyDescent="0.25">
      <c r="R364" s="29"/>
      <c r="S364" s="29"/>
      <c r="T364" s="29"/>
      <c r="U364" s="29"/>
      <c r="V364" s="29"/>
      <c r="W364" s="29"/>
      <c r="X364" s="29"/>
      <c r="Y364" s="29"/>
      <c r="Z364" s="29"/>
      <c r="AA364" s="29"/>
      <c r="AB364" s="29"/>
      <c r="AC364" s="29"/>
      <c r="AD364" s="207"/>
    </row>
    <row r="365" spans="18:30" ht="29.25" customHeight="1" x14ac:dyDescent="0.25">
      <c r="R365" s="29"/>
      <c r="S365" s="29"/>
      <c r="T365" s="29"/>
      <c r="U365" s="29"/>
      <c r="V365" s="29"/>
      <c r="W365" s="29"/>
      <c r="X365" s="29"/>
      <c r="Y365" s="29"/>
      <c r="Z365" s="29"/>
      <c r="AA365" s="29"/>
      <c r="AB365" s="29"/>
      <c r="AC365" s="29"/>
      <c r="AD365" s="207"/>
    </row>
    <row r="366" spans="18:30" ht="29.25" customHeight="1" x14ac:dyDescent="0.25">
      <c r="R366" s="29"/>
      <c r="S366" s="29"/>
      <c r="T366" s="29"/>
      <c r="U366" s="29"/>
      <c r="V366" s="29"/>
      <c r="W366" s="29"/>
      <c r="X366" s="29"/>
      <c r="Y366" s="29"/>
      <c r="Z366" s="29"/>
      <c r="AA366" s="29"/>
      <c r="AB366" s="29"/>
      <c r="AC366" s="29"/>
      <c r="AD366" s="207"/>
    </row>
    <row r="367" spans="18:30" ht="29.25" customHeight="1" x14ac:dyDescent="0.25">
      <c r="R367" s="29"/>
      <c r="S367" s="29"/>
      <c r="T367" s="29"/>
      <c r="U367" s="29"/>
      <c r="V367" s="29"/>
      <c r="W367" s="29"/>
      <c r="X367" s="29"/>
      <c r="Y367" s="29"/>
      <c r="Z367" s="29"/>
      <c r="AA367" s="29"/>
      <c r="AB367" s="29"/>
      <c r="AC367" s="29"/>
      <c r="AD367" s="207"/>
    </row>
    <row r="368" spans="18:30" ht="29.25" customHeight="1" x14ac:dyDescent="0.25">
      <c r="R368" s="29"/>
      <c r="S368" s="29"/>
      <c r="T368" s="29"/>
      <c r="U368" s="29"/>
      <c r="V368" s="29"/>
      <c r="W368" s="29"/>
      <c r="X368" s="29"/>
      <c r="Y368" s="29"/>
      <c r="Z368" s="29"/>
      <c r="AA368" s="29"/>
      <c r="AB368" s="29"/>
      <c r="AC368" s="29"/>
      <c r="AD368" s="207"/>
    </row>
    <row r="369" spans="18:30" ht="29.25" customHeight="1" x14ac:dyDescent="0.25">
      <c r="R369" s="29"/>
      <c r="S369" s="29"/>
      <c r="T369" s="29"/>
      <c r="U369" s="29"/>
      <c r="V369" s="29"/>
      <c r="W369" s="29"/>
      <c r="X369" s="29"/>
      <c r="Y369" s="29"/>
      <c r="Z369" s="29"/>
      <c r="AA369" s="29"/>
      <c r="AB369" s="29"/>
      <c r="AC369" s="29"/>
      <c r="AD369" s="207"/>
    </row>
    <row r="370" spans="18:30" ht="29.25" customHeight="1" x14ac:dyDescent="0.25">
      <c r="R370" s="29"/>
      <c r="S370" s="29"/>
      <c r="T370" s="29"/>
      <c r="U370" s="29"/>
      <c r="V370" s="29"/>
      <c r="W370" s="29"/>
      <c r="X370" s="29"/>
      <c r="Y370" s="29"/>
      <c r="Z370" s="29"/>
      <c r="AA370" s="29"/>
      <c r="AB370" s="29"/>
      <c r="AC370" s="29"/>
      <c r="AD370" s="207"/>
    </row>
    <row r="371" spans="18:30" ht="29.25" customHeight="1" x14ac:dyDescent="0.25">
      <c r="R371" s="29"/>
      <c r="S371" s="29"/>
      <c r="T371" s="29"/>
      <c r="U371" s="29"/>
      <c r="V371" s="29"/>
      <c r="W371" s="29"/>
      <c r="X371" s="29"/>
      <c r="Y371" s="29"/>
      <c r="Z371" s="29"/>
      <c r="AA371" s="29"/>
      <c r="AB371" s="29"/>
      <c r="AC371" s="29"/>
      <c r="AD371" s="207"/>
    </row>
    <row r="372" spans="18:30" ht="29.25" customHeight="1" x14ac:dyDescent="0.25">
      <c r="R372" s="29"/>
      <c r="S372" s="29"/>
      <c r="T372" s="29"/>
      <c r="U372" s="29"/>
      <c r="V372" s="29"/>
      <c r="W372" s="29"/>
      <c r="X372" s="29"/>
      <c r="Y372" s="29"/>
      <c r="Z372" s="29"/>
      <c r="AA372" s="29"/>
      <c r="AB372" s="29"/>
      <c r="AC372" s="29"/>
      <c r="AD372" s="207"/>
    </row>
    <row r="373" spans="18:30" ht="29.25" customHeight="1" x14ac:dyDescent="0.25">
      <c r="R373" s="29"/>
      <c r="S373" s="29"/>
      <c r="T373" s="29"/>
      <c r="U373" s="29"/>
      <c r="V373" s="29"/>
      <c r="W373" s="29"/>
      <c r="X373" s="29"/>
      <c r="Y373" s="29"/>
      <c r="Z373" s="29"/>
      <c r="AA373" s="29"/>
      <c r="AB373" s="29"/>
      <c r="AC373" s="29"/>
      <c r="AD373" s="207"/>
    </row>
    <row r="374" spans="18:30" ht="29.25" customHeight="1" x14ac:dyDescent="0.25">
      <c r="R374" s="29"/>
      <c r="S374" s="29"/>
      <c r="T374" s="29"/>
      <c r="U374" s="29"/>
      <c r="V374" s="29"/>
      <c r="W374" s="29"/>
      <c r="X374" s="29"/>
      <c r="Y374" s="29"/>
      <c r="Z374" s="29"/>
      <c r="AA374" s="29"/>
      <c r="AB374" s="29"/>
      <c r="AC374" s="29"/>
      <c r="AD374" s="207"/>
    </row>
    <row r="375" spans="18:30" ht="29.25" customHeight="1" x14ac:dyDescent="0.25">
      <c r="R375" s="29"/>
      <c r="S375" s="29"/>
      <c r="T375" s="29"/>
      <c r="U375" s="29"/>
      <c r="V375" s="29"/>
      <c r="W375" s="29"/>
      <c r="X375" s="29"/>
      <c r="Y375" s="29"/>
      <c r="Z375" s="29"/>
      <c r="AA375" s="29"/>
      <c r="AB375" s="29"/>
      <c r="AC375" s="29"/>
      <c r="AD375" s="207"/>
    </row>
    <row r="376" spans="18:30" ht="29.25" customHeight="1" x14ac:dyDescent="0.25">
      <c r="R376" s="29"/>
      <c r="S376" s="29"/>
      <c r="T376" s="29"/>
      <c r="U376" s="29"/>
      <c r="V376" s="29"/>
      <c r="W376" s="29"/>
      <c r="X376" s="29"/>
      <c r="Y376" s="29"/>
      <c r="Z376" s="29"/>
      <c r="AA376" s="29"/>
      <c r="AB376" s="29"/>
      <c r="AC376" s="29"/>
      <c r="AD376" s="207"/>
    </row>
    <row r="377" spans="18:30" ht="29.25" customHeight="1" x14ac:dyDescent="0.25">
      <c r="R377" s="29"/>
      <c r="S377" s="29"/>
      <c r="T377" s="29"/>
      <c r="U377" s="29"/>
      <c r="V377" s="29"/>
      <c r="W377" s="29"/>
      <c r="X377" s="29"/>
      <c r="Y377" s="29"/>
      <c r="Z377" s="29"/>
      <c r="AA377" s="29"/>
      <c r="AB377" s="29"/>
      <c r="AC377" s="29"/>
      <c r="AD377" s="207"/>
    </row>
    <row r="378" spans="18:30" ht="29.25" customHeight="1" x14ac:dyDescent="0.25">
      <c r="R378" s="29"/>
      <c r="S378" s="29"/>
      <c r="T378" s="29"/>
      <c r="U378" s="29"/>
      <c r="V378" s="29"/>
      <c r="W378" s="29"/>
      <c r="X378" s="29"/>
      <c r="Y378" s="29"/>
      <c r="Z378" s="29"/>
      <c r="AA378" s="29"/>
      <c r="AB378" s="29"/>
      <c r="AC378" s="29"/>
      <c r="AD378" s="207"/>
    </row>
    <row r="379" spans="18:30" ht="29.25" customHeight="1" x14ac:dyDescent="0.25">
      <c r="R379" s="29"/>
      <c r="S379" s="29"/>
      <c r="T379" s="29"/>
      <c r="U379" s="29"/>
      <c r="V379" s="29"/>
      <c r="W379" s="29"/>
      <c r="X379" s="29"/>
      <c r="Y379" s="29"/>
      <c r="Z379" s="29"/>
      <c r="AA379" s="29"/>
      <c r="AB379" s="29"/>
      <c r="AC379" s="29"/>
      <c r="AD379" s="207"/>
    </row>
    <row r="380" spans="18:30" ht="29.25" customHeight="1" x14ac:dyDescent="0.25">
      <c r="R380" s="29"/>
      <c r="S380" s="29"/>
      <c r="T380" s="29"/>
      <c r="U380" s="29"/>
      <c r="V380" s="29"/>
      <c r="W380" s="29"/>
      <c r="X380" s="29"/>
      <c r="Y380" s="29"/>
      <c r="Z380" s="29"/>
      <c r="AA380" s="29"/>
      <c r="AB380" s="29"/>
      <c r="AC380" s="29"/>
      <c r="AD380" s="207"/>
    </row>
    <row r="381" spans="18:30" ht="29.25" customHeight="1" x14ac:dyDescent="0.25">
      <c r="R381" s="29"/>
      <c r="S381" s="29"/>
      <c r="T381" s="29"/>
      <c r="U381" s="29"/>
      <c r="V381" s="29"/>
      <c r="W381" s="29"/>
      <c r="X381" s="29"/>
      <c r="Y381" s="29"/>
      <c r="Z381" s="29"/>
      <c r="AA381" s="29"/>
      <c r="AB381" s="29"/>
      <c r="AC381" s="29"/>
      <c r="AD381" s="207"/>
    </row>
    <row r="382" spans="18:30" ht="29.25" customHeight="1" x14ac:dyDescent="0.25">
      <c r="R382" s="29"/>
      <c r="S382" s="29"/>
      <c r="T382" s="29"/>
      <c r="U382" s="29"/>
      <c r="V382" s="29"/>
      <c r="W382" s="29"/>
      <c r="X382" s="29"/>
      <c r="Y382" s="29"/>
      <c r="Z382" s="29"/>
      <c r="AA382" s="29"/>
      <c r="AB382" s="29"/>
      <c r="AC382" s="29"/>
      <c r="AD382" s="207"/>
    </row>
    <row r="383" spans="18:30" ht="29.25" customHeight="1" x14ac:dyDescent="0.25">
      <c r="R383" s="29"/>
      <c r="S383" s="29"/>
      <c r="T383" s="29"/>
      <c r="U383" s="29"/>
      <c r="V383" s="29"/>
      <c r="W383" s="29"/>
      <c r="X383" s="29"/>
      <c r="Y383" s="29"/>
      <c r="Z383" s="29"/>
      <c r="AA383" s="29"/>
      <c r="AB383" s="29"/>
      <c r="AC383" s="29"/>
      <c r="AD383" s="207"/>
    </row>
    <row r="384" spans="18:30" ht="29.25" customHeight="1" x14ac:dyDescent="0.25">
      <c r="R384" s="29"/>
      <c r="S384" s="29"/>
      <c r="T384" s="29"/>
      <c r="U384" s="29"/>
      <c r="V384" s="29"/>
      <c r="W384" s="29"/>
      <c r="X384" s="29"/>
      <c r="Y384" s="29"/>
      <c r="Z384" s="29"/>
      <c r="AA384" s="29"/>
      <c r="AB384" s="29"/>
      <c r="AC384" s="29"/>
      <c r="AD384" s="207"/>
    </row>
    <row r="385" spans="18:30" ht="29.25" customHeight="1" x14ac:dyDescent="0.25">
      <c r="R385" s="29"/>
      <c r="S385" s="29"/>
      <c r="T385" s="29"/>
      <c r="U385" s="29"/>
      <c r="V385" s="29"/>
      <c r="W385" s="29"/>
      <c r="X385" s="29"/>
      <c r="Y385" s="29"/>
      <c r="Z385" s="29"/>
      <c r="AA385" s="29"/>
      <c r="AB385" s="29"/>
      <c r="AC385" s="29"/>
      <c r="AD385" s="207"/>
    </row>
    <row r="386" spans="18:30" ht="29.25" customHeight="1" x14ac:dyDescent="0.25">
      <c r="R386" s="29"/>
      <c r="S386" s="29"/>
      <c r="T386" s="29"/>
      <c r="U386" s="29"/>
      <c r="V386" s="29"/>
      <c r="W386" s="29"/>
      <c r="X386" s="29"/>
      <c r="Y386" s="29"/>
      <c r="Z386" s="29"/>
      <c r="AA386" s="29"/>
      <c r="AB386" s="29"/>
      <c r="AC386" s="29"/>
      <c r="AD386" s="207"/>
    </row>
    <row r="387" spans="18:30" ht="29.25" customHeight="1" x14ac:dyDescent="0.25">
      <c r="R387" s="29"/>
      <c r="S387" s="29"/>
      <c r="T387" s="29"/>
      <c r="U387" s="29"/>
      <c r="V387" s="29"/>
      <c r="W387" s="29"/>
      <c r="X387" s="29"/>
      <c r="Y387" s="29"/>
      <c r="Z387" s="29"/>
      <c r="AA387" s="29"/>
      <c r="AB387" s="29"/>
      <c r="AC387" s="29"/>
      <c r="AD387" s="207"/>
    </row>
    <row r="388" spans="18:30" ht="29.25" customHeight="1" x14ac:dyDescent="0.25">
      <c r="R388" s="29"/>
      <c r="S388" s="29"/>
      <c r="T388" s="29"/>
      <c r="U388" s="29"/>
      <c r="V388" s="29"/>
      <c r="W388" s="29"/>
      <c r="X388" s="29"/>
      <c r="Y388" s="29"/>
      <c r="Z388" s="29"/>
      <c r="AA388" s="29"/>
      <c r="AB388" s="29"/>
      <c r="AC388" s="29"/>
      <c r="AD388" s="207"/>
    </row>
    <row r="389" spans="18:30" ht="29.25" customHeight="1" x14ac:dyDescent="0.25">
      <c r="R389" s="29"/>
      <c r="S389" s="29"/>
      <c r="T389" s="29"/>
      <c r="U389" s="29"/>
      <c r="V389" s="29"/>
      <c r="W389" s="29"/>
      <c r="X389" s="29"/>
      <c r="Y389" s="29"/>
      <c r="Z389" s="29"/>
      <c r="AA389" s="29"/>
      <c r="AB389" s="29"/>
      <c r="AC389" s="29"/>
      <c r="AD389" s="207"/>
    </row>
    <row r="390" spans="18:30" ht="29.25" customHeight="1" x14ac:dyDescent="0.25">
      <c r="R390" s="29"/>
      <c r="S390" s="29"/>
      <c r="T390" s="29"/>
      <c r="U390" s="29"/>
      <c r="V390" s="29"/>
      <c r="W390" s="29"/>
      <c r="X390" s="29"/>
      <c r="Y390" s="29"/>
      <c r="Z390" s="29"/>
      <c r="AA390" s="29"/>
      <c r="AB390" s="29"/>
      <c r="AC390" s="29"/>
      <c r="AD390" s="207"/>
    </row>
    <row r="391" spans="18:30" ht="29.25" customHeight="1" x14ac:dyDescent="0.25">
      <c r="R391" s="29"/>
      <c r="S391" s="29"/>
      <c r="T391" s="29"/>
      <c r="U391" s="29"/>
      <c r="V391" s="29"/>
      <c r="W391" s="29"/>
      <c r="X391" s="29"/>
      <c r="Y391" s="29"/>
      <c r="Z391" s="29"/>
      <c r="AA391" s="29"/>
      <c r="AB391" s="29"/>
      <c r="AC391" s="29"/>
      <c r="AD391" s="207"/>
    </row>
    <row r="392" spans="18:30" ht="29.25" customHeight="1" x14ac:dyDescent="0.25">
      <c r="R392" s="29"/>
      <c r="S392" s="29"/>
      <c r="T392" s="29"/>
      <c r="U392" s="29"/>
      <c r="V392" s="29"/>
      <c r="W392" s="29"/>
      <c r="X392" s="29"/>
      <c r="Y392" s="29"/>
      <c r="Z392" s="29"/>
      <c r="AA392" s="29"/>
      <c r="AB392" s="29"/>
      <c r="AC392" s="29"/>
      <c r="AD392" s="207"/>
    </row>
    <row r="393" spans="18:30" ht="29.25" customHeight="1" x14ac:dyDescent="0.25">
      <c r="R393" s="29"/>
      <c r="S393" s="29"/>
      <c r="T393" s="29"/>
      <c r="U393" s="29"/>
      <c r="V393" s="29"/>
      <c r="W393" s="29"/>
      <c r="X393" s="29"/>
      <c r="Y393" s="29"/>
      <c r="Z393" s="29"/>
      <c r="AA393" s="29"/>
      <c r="AB393" s="29"/>
      <c r="AC393" s="29"/>
      <c r="AD393" s="207"/>
    </row>
    <row r="394" spans="18:30" ht="29.25" customHeight="1" x14ac:dyDescent="0.25">
      <c r="R394" s="29"/>
      <c r="S394" s="29"/>
      <c r="T394" s="29"/>
      <c r="U394" s="29"/>
      <c r="V394" s="29"/>
      <c r="W394" s="29"/>
      <c r="X394" s="29"/>
      <c r="Y394" s="29"/>
      <c r="Z394" s="29"/>
      <c r="AA394" s="29"/>
      <c r="AB394" s="29"/>
      <c r="AC394" s="29"/>
      <c r="AD394" s="207"/>
    </row>
    <row r="395" spans="18:30" ht="29.25" customHeight="1" x14ac:dyDescent="0.25">
      <c r="R395" s="29"/>
      <c r="S395" s="29"/>
      <c r="T395" s="29"/>
      <c r="U395" s="29"/>
      <c r="V395" s="29"/>
      <c r="W395" s="29"/>
      <c r="X395" s="29"/>
      <c r="Y395" s="29"/>
      <c r="Z395" s="29"/>
      <c r="AA395" s="29"/>
      <c r="AB395" s="29"/>
      <c r="AC395" s="29"/>
      <c r="AD395" s="207"/>
    </row>
    <row r="396" spans="18:30" ht="29.25" customHeight="1" x14ac:dyDescent="0.25">
      <c r="R396" s="29"/>
      <c r="S396" s="29"/>
      <c r="T396" s="29"/>
      <c r="U396" s="29"/>
      <c r="V396" s="29"/>
      <c r="W396" s="29"/>
      <c r="X396" s="29"/>
      <c r="Y396" s="29"/>
      <c r="Z396" s="29"/>
      <c r="AA396" s="29"/>
      <c r="AB396" s="29"/>
      <c r="AC396" s="29"/>
      <c r="AD396" s="207"/>
    </row>
    <row r="397" spans="18:30" ht="29.25" customHeight="1" x14ac:dyDescent="0.25">
      <c r="R397" s="29"/>
      <c r="S397" s="29"/>
      <c r="T397" s="29"/>
      <c r="U397" s="29"/>
      <c r="V397" s="29"/>
      <c r="W397" s="29"/>
      <c r="X397" s="29"/>
      <c r="Y397" s="29"/>
      <c r="Z397" s="29"/>
      <c r="AA397" s="29"/>
      <c r="AB397" s="29"/>
      <c r="AC397" s="29"/>
      <c r="AD397" s="207"/>
    </row>
    <row r="398" spans="18:30" ht="29.25" customHeight="1" x14ac:dyDescent="0.25">
      <c r="R398" s="29"/>
      <c r="S398" s="29"/>
      <c r="T398" s="29"/>
      <c r="U398" s="29"/>
      <c r="V398" s="29"/>
      <c r="W398" s="29"/>
      <c r="X398" s="29"/>
      <c r="Y398" s="29"/>
      <c r="Z398" s="29"/>
      <c r="AA398" s="29"/>
      <c r="AB398" s="29"/>
      <c r="AC398" s="29"/>
      <c r="AD398" s="207"/>
    </row>
    <row r="399" spans="18:30" ht="29.25" customHeight="1" x14ac:dyDescent="0.25">
      <c r="R399" s="29"/>
      <c r="S399" s="29"/>
      <c r="T399" s="29"/>
      <c r="U399" s="29"/>
      <c r="V399" s="29"/>
      <c r="W399" s="29"/>
      <c r="X399" s="29"/>
      <c r="Y399" s="29"/>
      <c r="Z399" s="29"/>
      <c r="AA399" s="29"/>
      <c r="AB399" s="29"/>
      <c r="AC399" s="29"/>
      <c r="AD399" s="207"/>
    </row>
    <row r="400" spans="18:30" ht="29.25" customHeight="1" x14ac:dyDescent="0.25">
      <c r="R400" s="29"/>
      <c r="S400" s="29"/>
      <c r="T400" s="29"/>
      <c r="U400" s="29"/>
      <c r="V400" s="29"/>
      <c r="W400" s="29"/>
      <c r="X400" s="29"/>
      <c r="Y400" s="29"/>
      <c r="Z400" s="29"/>
      <c r="AA400" s="29"/>
      <c r="AB400" s="29"/>
      <c r="AC400" s="29"/>
      <c r="AD400" s="207"/>
    </row>
    <row r="401" spans="18:30" ht="29.25" customHeight="1" x14ac:dyDescent="0.25">
      <c r="R401" s="29"/>
      <c r="S401" s="29"/>
      <c r="T401" s="29"/>
      <c r="U401" s="29"/>
      <c r="V401" s="29"/>
      <c r="W401" s="29"/>
      <c r="X401" s="29"/>
      <c r="Y401" s="29"/>
      <c r="Z401" s="29"/>
      <c r="AA401" s="29"/>
      <c r="AB401" s="29"/>
      <c r="AC401" s="29"/>
      <c r="AD401" s="207"/>
    </row>
    <row r="402" spans="18:30" ht="29.25" customHeight="1" x14ac:dyDescent="0.25">
      <c r="R402" s="29"/>
      <c r="S402" s="29"/>
      <c r="T402" s="29"/>
      <c r="U402" s="29"/>
      <c r="V402" s="29"/>
      <c r="W402" s="29"/>
      <c r="X402" s="29"/>
      <c r="Y402" s="29"/>
      <c r="Z402" s="29"/>
      <c r="AA402" s="29"/>
      <c r="AB402" s="29"/>
      <c r="AC402" s="29"/>
      <c r="AD402" s="207"/>
    </row>
    <row r="403" spans="18:30" ht="29.25" customHeight="1" x14ac:dyDescent="0.25">
      <c r="R403" s="29"/>
      <c r="S403" s="29"/>
      <c r="T403" s="29"/>
      <c r="U403" s="29"/>
      <c r="V403" s="29"/>
      <c r="W403" s="29"/>
      <c r="X403" s="29"/>
      <c r="Y403" s="29"/>
      <c r="Z403" s="29"/>
      <c r="AA403" s="29"/>
      <c r="AB403" s="29"/>
      <c r="AC403" s="29"/>
      <c r="AD403" s="207"/>
    </row>
    <row r="404" spans="18:30" ht="29.25" customHeight="1" x14ac:dyDescent="0.25">
      <c r="R404" s="29"/>
      <c r="S404" s="29"/>
      <c r="T404" s="29"/>
      <c r="U404" s="29"/>
      <c r="V404" s="29"/>
      <c r="W404" s="29"/>
      <c r="X404" s="29"/>
      <c r="Y404" s="29"/>
      <c r="Z404" s="29"/>
      <c r="AA404" s="29"/>
      <c r="AB404" s="29"/>
      <c r="AC404" s="29"/>
      <c r="AD404" s="207"/>
    </row>
    <row r="405" spans="18:30" ht="29.25" customHeight="1" x14ac:dyDescent="0.25">
      <c r="R405" s="29"/>
      <c r="S405" s="29"/>
      <c r="T405" s="29"/>
      <c r="U405" s="29"/>
      <c r="V405" s="29"/>
      <c r="W405" s="29"/>
      <c r="X405" s="29"/>
      <c r="Y405" s="29"/>
      <c r="Z405" s="29"/>
      <c r="AA405" s="29"/>
      <c r="AB405" s="29"/>
      <c r="AC405" s="29"/>
      <c r="AD405" s="207"/>
    </row>
    <row r="406" spans="18:30" ht="29.25" customHeight="1" x14ac:dyDescent="0.25">
      <c r="R406" s="29"/>
      <c r="S406" s="29"/>
      <c r="T406" s="29"/>
      <c r="U406" s="29"/>
      <c r="V406" s="29"/>
      <c r="W406" s="29"/>
      <c r="X406" s="29"/>
      <c r="Y406" s="29"/>
      <c r="Z406" s="29"/>
      <c r="AA406" s="29"/>
      <c r="AB406" s="29"/>
      <c r="AC406" s="29"/>
      <c r="AD406" s="207"/>
    </row>
    <row r="407" spans="18:30" ht="29.25" customHeight="1" x14ac:dyDescent="0.25">
      <c r="R407" s="29"/>
      <c r="S407" s="29"/>
      <c r="T407" s="29"/>
      <c r="U407" s="29"/>
      <c r="V407" s="29"/>
      <c r="W407" s="29"/>
      <c r="X407" s="29"/>
      <c r="Y407" s="29"/>
      <c r="Z407" s="29"/>
      <c r="AA407" s="29"/>
      <c r="AB407" s="29"/>
      <c r="AC407" s="29"/>
      <c r="AD407" s="207"/>
    </row>
    <row r="408" spans="18:30" ht="29.25" customHeight="1" x14ac:dyDescent="0.25">
      <c r="R408" s="29"/>
      <c r="S408" s="29"/>
      <c r="T408" s="29"/>
      <c r="U408" s="29"/>
      <c r="V408" s="29"/>
      <c r="W408" s="29"/>
      <c r="X408" s="29"/>
      <c r="Y408" s="29"/>
      <c r="Z408" s="29"/>
      <c r="AA408" s="29"/>
      <c r="AB408" s="29"/>
      <c r="AC408" s="29"/>
      <c r="AD408" s="207"/>
    </row>
    <row r="409" spans="18:30" ht="29.25" customHeight="1" x14ac:dyDescent="0.25">
      <c r="R409" s="29"/>
      <c r="S409" s="29"/>
      <c r="T409" s="29"/>
      <c r="U409" s="29"/>
      <c r="V409" s="29"/>
      <c r="W409" s="29"/>
      <c r="X409" s="29"/>
      <c r="Y409" s="29"/>
      <c r="Z409" s="29"/>
      <c r="AA409" s="29"/>
      <c r="AB409" s="29"/>
      <c r="AC409" s="29"/>
      <c r="AD409" s="207"/>
    </row>
    <row r="410" spans="18:30" ht="29.25" customHeight="1" x14ac:dyDescent="0.25">
      <c r="R410" s="29"/>
      <c r="S410" s="29"/>
      <c r="T410" s="29"/>
      <c r="U410" s="29"/>
      <c r="V410" s="29"/>
      <c r="W410" s="29"/>
      <c r="X410" s="29"/>
      <c r="Y410" s="29"/>
      <c r="Z410" s="29"/>
      <c r="AA410" s="29"/>
      <c r="AB410" s="29"/>
      <c r="AC410" s="29"/>
      <c r="AD410" s="207"/>
    </row>
    <row r="411" spans="18:30" ht="29.25" customHeight="1" x14ac:dyDescent="0.25">
      <c r="R411" s="29"/>
      <c r="S411" s="29"/>
      <c r="T411" s="29"/>
      <c r="U411" s="29"/>
      <c r="V411" s="29"/>
      <c r="W411" s="29"/>
      <c r="X411" s="29"/>
      <c r="Y411" s="29"/>
      <c r="Z411" s="29"/>
      <c r="AA411" s="29"/>
      <c r="AB411" s="29"/>
      <c r="AC411" s="29"/>
      <c r="AD411" s="207"/>
    </row>
    <row r="412" spans="18:30" ht="29.25" customHeight="1" x14ac:dyDescent="0.25">
      <c r="R412" s="29"/>
      <c r="S412" s="29"/>
      <c r="T412" s="29"/>
      <c r="U412" s="29"/>
      <c r="V412" s="29"/>
      <c r="W412" s="29"/>
      <c r="X412" s="29"/>
      <c r="Y412" s="29"/>
      <c r="Z412" s="29"/>
      <c r="AA412" s="29"/>
      <c r="AB412" s="29"/>
      <c r="AC412" s="29"/>
      <c r="AD412" s="207"/>
    </row>
    <row r="413" spans="18:30" ht="29.25" customHeight="1" x14ac:dyDescent="0.25">
      <c r="R413" s="29"/>
      <c r="S413" s="29"/>
      <c r="T413" s="29"/>
      <c r="U413" s="29"/>
      <c r="V413" s="29"/>
      <c r="W413" s="29"/>
      <c r="X413" s="29"/>
      <c r="Y413" s="29"/>
      <c r="Z413" s="29"/>
      <c r="AA413" s="29"/>
      <c r="AB413" s="29"/>
      <c r="AC413" s="29"/>
      <c r="AD413" s="207"/>
    </row>
    <row r="414" spans="18:30" ht="29.25" customHeight="1" x14ac:dyDescent="0.25">
      <c r="R414" s="29"/>
      <c r="S414" s="29"/>
      <c r="T414" s="29"/>
      <c r="U414" s="29"/>
      <c r="V414" s="29"/>
      <c r="W414" s="29"/>
      <c r="X414" s="29"/>
      <c r="Y414" s="29"/>
      <c r="Z414" s="29"/>
      <c r="AA414" s="29"/>
      <c r="AB414" s="29"/>
      <c r="AC414" s="29"/>
      <c r="AD414" s="207"/>
    </row>
    <row r="415" spans="18:30" ht="29.25" customHeight="1" x14ac:dyDescent="0.25">
      <c r="R415" s="29"/>
      <c r="S415" s="29"/>
      <c r="T415" s="29"/>
      <c r="U415" s="29"/>
      <c r="V415" s="29"/>
      <c r="W415" s="29"/>
      <c r="X415" s="29"/>
      <c r="Y415" s="29"/>
      <c r="Z415" s="29"/>
      <c r="AA415" s="29"/>
      <c r="AB415" s="29"/>
      <c r="AC415" s="29"/>
      <c r="AD415" s="207"/>
    </row>
    <row r="416" spans="18:30" ht="29.25" customHeight="1" x14ac:dyDescent="0.25">
      <c r="R416" s="29"/>
      <c r="S416" s="29"/>
      <c r="T416" s="29"/>
      <c r="U416" s="29"/>
      <c r="V416" s="29"/>
      <c r="W416" s="29"/>
      <c r="X416" s="29"/>
      <c r="Y416" s="29"/>
      <c r="Z416" s="29"/>
      <c r="AA416" s="29"/>
      <c r="AB416" s="29"/>
      <c r="AC416" s="29"/>
      <c r="AD416" s="207"/>
    </row>
    <row r="417" spans="18:30" ht="29.25" customHeight="1" x14ac:dyDescent="0.25">
      <c r="R417" s="29"/>
      <c r="S417" s="29"/>
      <c r="T417" s="29"/>
      <c r="U417" s="29"/>
      <c r="V417" s="29"/>
      <c r="W417" s="29"/>
      <c r="X417" s="29"/>
      <c r="Y417" s="29"/>
      <c r="Z417" s="29"/>
      <c r="AA417" s="29"/>
      <c r="AB417" s="29"/>
      <c r="AC417" s="29"/>
      <c r="AD417" s="207"/>
    </row>
    <row r="418" spans="18:30" ht="29.25" customHeight="1" x14ac:dyDescent="0.25">
      <c r="R418" s="29"/>
      <c r="S418" s="29"/>
      <c r="T418" s="29"/>
      <c r="U418" s="29"/>
      <c r="V418" s="29"/>
      <c r="W418" s="29"/>
      <c r="X418" s="29"/>
      <c r="Y418" s="29"/>
      <c r="Z418" s="29"/>
      <c r="AA418" s="29"/>
      <c r="AB418" s="29"/>
      <c r="AC418" s="29"/>
      <c r="AD418" s="207"/>
    </row>
    <row r="419" spans="18:30" ht="29.25" customHeight="1" x14ac:dyDescent="0.25">
      <c r="R419" s="29"/>
      <c r="S419" s="29"/>
      <c r="T419" s="29"/>
      <c r="U419" s="29"/>
      <c r="V419" s="29"/>
      <c r="W419" s="29"/>
      <c r="X419" s="29"/>
      <c r="Y419" s="29"/>
      <c r="Z419" s="29"/>
      <c r="AA419" s="29"/>
      <c r="AB419" s="29"/>
      <c r="AC419" s="29"/>
      <c r="AD419" s="207"/>
    </row>
    <row r="420" spans="18:30" ht="29.25" customHeight="1" x14ac:dyDescent="0.25">
      <c r="R420" s="29"/>
      <c r="S420" s="29"/>
      <c r="T420" s="29"/>
      <c r="U420" s="29"/>
      <c r="V420" s="29"/>
      <c r="W420" s="29"/>
      <c r="X420" s="29"/>
      <c r="Y420" s="29"/>
      <c r="Z420" s="29"/>
      <c r="AA420" s="29"/>
      <c r="AB420" s="29"/>
      <c r="AC420" s="29"/>
      <c r="AD420" s="207"/>
    </row>
    <row r="421" spans="18:30" ht="29.25" customHeight="1" x14ac:dyDescent="0.25">
      <c r="R421" s="29"/>
      <c r="S421" s="29"/>
      <c r="T421" s="29"/>
      <c r="U421" s="29"/>
      <c r="V421" s="29"/>
      <c r="W421" s="29"/>
      <c r="X421" s="29"/>
      <c r="Y421" s="29"/>
      <c r="Z421" s="29"/>
      <c r="AA421" s="29"/>
      <c r="AB421" s="29"/>
      <c r="AC421" s="29"/>
      <c r="AD421" s="207"/>
    </row>
    <row r="422" spans="18:30" ht="29.25" customHeight="1" x14ac:dyDescent="0.25">
      <c r="R422" s="29"/>
      <c r="S422" s="29"/>
      <c r="T422" s="29"/>
      <c r="U422" s="29"/>
      <c r="V422" s="29"/>
      <c r="W422" s="29"/>
      <c r="X422" s="29"/>
      <c r="Y422" s="29"/>
      <c r="Z422" s="29"/>
      <c r="AA422" s="29"/>
      <c r="AB422" s="29"/>
      <c r="AC422" s="29"/>
      <c r="AD422" s="207"/>
    </row>
    <row r="423" spans="18:30" ht="29.25" customHeight="1" x14ac:dyDescent="0.25">
      <c r="R423" s="29"/>
      <c r="S423" s="29"/>
      <c r="T423" s="29"/>
      <c r="U423" s="29"/>
      <c r="V423" s="29"/>
      <c r="W423" s="29"/>
      <c r="X423" s="29"/>
      <c r="Y423" s="29"/>
      <c r="Z423" s="29"/>
      <c r="AA423" s="29"/>
      <c r="AB423" s="29"/>
      <c r="AC423" s="29"/>
      <c r="AD423" s="207"/>
    </row>
    <row r="424" spans="18:30" ht="29.25" customHeight="1" x14ac:dyDescent="0.25">
      <c r="R424" s="29"/>
      <c r="S424" s="29"/>
      <c r="T424" s="29"/>
      <c r="U424" s="29"/>
      <c r="V424" s="29"/>
      <c r="W424" s="29"/>
      <c r="X424" s="29"/>
      <c r="Y424" s="29"/>
      <c r="Z424" s="29"/>
      <c r="AA424" s="29"/>
      <c r="AB424" s="29"/>
      <c r="AC424" s="29"/>
      <c r="AD424" s="207"/>
    </row>
    <row r="425" spans="18:30" ht="29.25" customHeight="1" x14ac:dyDescent="0.25">
      <c r="R425" s="29"/>
      <c r="S425" s="29"/>
      <c r="T425" s="29"/>
      <c r="U425" s="29"/>
      <c r="V425" s="29"/>
      <c r="W425" s="29"/>
      <c r="X425" s="29"/>
      <c r="Y425" s="29"/>
      <c r="Z425" s="29"/>
      <c r="AA425" s="29"/>
      <c r="AB425" s="29"/>
      <c r="AC425" s="29"/>
      <c r="AD425" s="207"/>
    </row>
    <row r="426" spans="18:30" ht="29.25" customHeight="1" x14ac:dyDescent="0.25">
      <c r="R426" s="29"/>
      <c r="S426" s="29"/>
      <c r="T426" s="29"/>
      <c r="U426" s="29"/>
      <c r="V426" s="29"/>
      <c r="W426" s="29"/>
      <c r="X426" s="29"/>
      <c r="Y426" s="29"/>
      <c r="Z426" s="29"/>
      <c r="AA426" s="29"/>
      <c r="AB426" s="29"/>
      <c r="AC426" s="29"/>
      <c r="AD426" s="207"/>
    </row>
    <row r="427" spans="18:30" ht="29.25" customHeight="1" x14ac:dyDescent="0.25">
      <c r="R427" s="29"/>
      <c r="S427" s="29"/>
      <c r="T427" s="29"/>
      <c r="U427" s="29"/>
      <c r="V427" s="29"/>
      <c r="W427" s="29"/>
      <c r="X427" s="29"/>
      <c r="Y427" s="29"/>
      <c r="Z427" s="29"/>
      <c r="AA427" s="29"/>
      <c r="AB427" s="29"/>
      <c r="AC427" s="29"/>
      <c r="AD427" s="207"/>
    </row>
    <row r="428" spans="18:30" ht="29.25" customHeight="1" x14ac:dyDescent="0.25">
      <c r="R428" s="29"/>
      <c r="S428" s="29"/>
      <c r="T428" s="29"/>
      <c r="U428" s="29"/>
      <c r="V428" s="29"/>
      <c r="W428" s="29"/>
      <c r="X428" s="29"/>
      <c r="Y428" s="29"/>
      <c r="Z428" s="29"/>
      <c r="AA428" s="29"/>
      <c r="AB428" s="29"/>
      <c r="AC428" s="29"/>
      <c r="AD428" s="207"/>
    </row>
    <row r="429" spans="18:30" ht="29.25" customHeight="1" x14ac:dyDescent="0.25">
      <c r="R429" s="29"/>
      <c r="S429" s="29"/>
      <c r="T429" s="29"/>
      <c r="U429" s="29"/>
      <c r="V429" s="29"/>
      <c r="W429" s="29"/>
      <c r="X429" s="29"/>
      <c r="Y429" s="29"/>
      <c r="Z429" s="29"/>
      <c r="AA429" s="29"/>
      <c r="AB429" s="29"/>
      <c r="AC429" s="29"/>
      <c r="AD429" s="207"/>
    </row>
    <row r="430" spans="18:30" ht="29.25" customHeight="1" x14ac:dyDescent="0.25">
      <c r="R430" s="29"/>
      <c r="S430" s="29"/>
      <c r="T430" s="29"/>
      <c r="U430" s="29"/>
      <c r="V430" s="29"/>
      <c r="W430" s="29"/>
      <c r="X430" s="29"/>
      <c r="Y430" s="29"/>
      <c r="Z430" s="29"/>
      <c r="AA430" s="29"/>
      <c r="AB430" s="29"/>
      <c r="AC430" s="29"/>
      <c r="AD430" s="207"/>
    </row>
    <row r="431" spans="18:30" ht="29.25" customHeight="1" x14ac:dyDescent="0.25">
      <c r="R431" s="29"/>
      <c r="S431" s="29"/>
      <c r="T431" s="29"/>
      <c r="U431" s="29"/>
      <c r="V431" s="29"/>
      <c r="W431" s="29"/>
      <c r="X431" s="29"/>
      <c r="Y431" s="29"/>
      <c r="Z431" s="29"/>
      <c r="AA431" s="29"/>
      <c r="AB431" s="29"/>
      <c r="AC431" s="29"/>
      <c r="AD431" s="207"/>
    </row>
    <row r="432" spans="18:30" ht="29.25" customHeight="1" x14ac:dyDescent="0.25">
      <c r="R432" s="29"/>
      <c r="S432" s="29"/>
      <c r="T432" s="29"/>
      <c r="U432" s="29"/>
      <c r="V432" s="29"/>
      <c r="W432" s="29"/>
      <c r="X432" s="29"/>
      <c r="Y432" s="29"/>
      <c r="Z432" s="29"/>
      <c r="AA432" s="29"/>
      <c r="AB432" s="29"/>
      <c r="AC432" s="29"/>
      <c r="AD432" s="207"/>
    </row>
    <row r="433" spans="18:30" ht="29.25" customHeight="1" x14ac:dyDescent="0.25">
      <c r="R433" s="29"/>
      <c r="S433" s="29"/>
      <c r="T433" s="29"/>
      <c r="U433" s="29"/>
      <c r="V433" s="29"/>
      <c r="W433" s="29"/>
      <c r="X433" s="29"/>
      <c r="Y433" s="29"/>
      <c r="Z433" s="29"/>
      <c r="AA433" s="29"/>
      <c r="AB433" s="29"/>
      <c r="AC433" s="29"/>
      <c r="AD433" s="207"/>
    </row>
    <row r="434" spans="18:30" ht="29.25" customHeight="1" x14ac:dyDescent="0.25">
      <c r="R434" s="29"/>
      <c r="S434" s="29"/>
      <c r="T434" s="29"/>
      <c r="U434" s="29"/>
      <c r="V434" s="29"/>
      <c r="W434" s="29"/>
      <c r="X434" s="29"/>
      <c r="Y434" s="29"/>
      <c r="Z434" s="29"/>
      <c r="AA434" s="29"/>
      <c r="AB434" s="29"/>
      <c r="AC434" s="29"/>
      <c r="AD434" s="207"/>
    </row>
    <row r="435" spans="18:30" ht="29.25" customHeight="1" x14ac:dyDescent="0.25">
      <c r="R435" s="29"/>
      <c r="S435" s="29"/>
      <c r="T435" s="29"/>
      <c r="U435" s="29"/>
      <c r="V435" s="29"/>
      <c r="W435" s="29"/>
      <c r="X435" s="29"/>
      <c r="Y435" s="29"/>
      <c r="Z435" s="29"/>
      <c r="AA435" s="29"/>
      <c r="AB435" s="29"/>
      <c r="AC435" s="29"/>
      <c r="AD435" s="207"/>
    </row>
    <row r="436" spans="18:30" ht="29.25" customHeight="1" x14ac:dyDescent="0.25">
      <c r="R436" s="29"/>
      <c r="S436" s="29"/>
      <c r="T436" s="29"/>
      <c r="U436" s="29"/>
      <c r="V436" s="29"/>
      <c r="W436" s="29"/>
      <c r="X436" s="29"/>
      <c r="Y436" s="29"/>
      <c r="Z436" s="29"/>
      <c r="AA436" s="29"/>
      <c r="AB436" s="29"/>
      <c r="AC436" s="29"/>
      <c r="AD436" s="207"/>
    </row>
    <row r="437" spans="18:30" ht="29.25" customHeight="1" x14ac:dyDescent="0.25">
      <c r="R437" s="29"/>
      <c r="S437" s="29"/>
      <c r="T437" s="29"/>
      <c r="U437" s="29"/>
      <c r="V437" s="29"/>
      <c r="W437" s="29"/>
      <c r="X437" s="29"/>
      <c r="Y437" s="29"/>
      <c r="Z437" s="29"/>
      <c r="AA437" s="29"/>
      <c r="AB437" s="29"/>
      <c r="AC437" s="29"/>
      <c r="AD437" s="207"/>
    </row>
    <row r="438" spans="18:30" ht="29.25" customHeight="1" x14ac:dyDescent="0.25">
      <c r="R438" s="29"/>
      <c r="S438" s="29"/>
      <c r="T438" s="29"/>
      <c r="U438" s="29"/>
      <c r="V438" s="29"/>
      <c r="W438" s="29"/>
      <c r="X438" s="29"/>
      <c r="Y438" s="29"/>
      <c r="Z438" s="29"/>
      <c r="AA438" s="29"/>
      <c r="AB438" s="29"/>
      <c r="AC438" s="29"/>
      <c r="AD438" s="207"/>
    </row>
    <row r="439" spans="18:30" ht="29.25" customHeight="1" x14ac:dyDescent="0.25">
      <c r="R439" s="29"/>
      <c r="S439" s="29"/>
      <c r="T439" s="29"/>
      <c r="U439" s="29"/>
      <c r="V439" s="29"/>
      <c r="W439" s="29"/>
      <c r="X439" s="29"/>
      <c r="Y439" s="29"/>
      <c r="Z439" s="29"/>
      <c r="AA439" s="29"/>
      <c r="AB439" s="29"/>
      <c r="AC439" s="29"/>
      <c r="AD439" s="207"/>
    </row>
    <row r="440" spans="18:30" ht="29.25" customHeight="1" x14ac:dyDescent="0.25">
      <c r="R440" s="29"/>
      <c r="S440" s="29"/>
      <c r="T440" s="29"/>
      <c r="U440" s="29"/>
      <c r="V440" s="29"/>
      <c r="W440" s="29"/>
      <c r="X440" s="29"/>
      <c r="Y440" s="29"/>
      <c r="Z440" s="29"/>
      <c r="AA440" s="29"/>
      <c r="AB440" s="29"/>
      <c r="AC440" s="29"/>
      <c r="AD440" s="207"/>
    </row>
    <row r="441" spans="18:30" ht="29.25" customHeight="1" x14ac:dyDescent="0.25">
      <c r="R441" s="29"/>
      <c r="S441" s="29"/>
      <c r="T441" s="29"/>
      <c r="U441" s="29"/>
      <c r="V441" s="29"/>
      <c r="W441" s="29"/>
      <c r="X441" s="29"/>
      <c r="Y441" s="29"/>
      <c r="Z441" s="29"/>
      <c r="AA441" s="29"/>
      <c r="AB441" s="29"/>
      <c r="AC441" s="29"/>
      <c r="AD441" s="207"/>
    </row>
    <row r="442" spans="18:30" ht="29.25" customHeight="1" x14ac:dyDescent="0.25">
      <c r="R442" s="29"/>
      <c r="S442" s="29"/>
      <c r="T442" s="29"/>
      <c r="U442" s="29"/>
      <c r="V442" s="29"/>
      <c r="W442" s="29"/>
      <c r="X442" s="29"/>
      <c r="Y442" s="29"/>
      <c r="Z442" s="29"/>
      <c r="AA442" s="29"/>
      <c r="AB442" s="29"/>
      <c r="AC442" s="29"/>
      <c r="AD442" s="207"/>
    </row>
    <row r="443" spans="18:30" ht="29.25" customHeight="1" x14ac:dyDescent="0.25">
      <c r="R443" s="29"/>
      <c r="S443" s="29"/>
      <c r="T443" s="29"/>
      <c r="U443" s="29"/>
      <c r="V443" s="29"/>
      <c r="W443" s="29"/>
      <c r="X443" s="29"/>
      <c r="Y443" s="29"/>
      <c r="Z443" s="29"/>
      <c r="AA443" s="29"/>
      <c r="AB443" s="29"/>
      <c r="AC443" s="29"/>
      <c r="AD443" s="207"/>
    </row>
    <row r="444" spans="18:30" ht="29.25" customHeight="1" x14ac:dyDescent="0.25">
      <c r="R444" s="29"/>
      <c r="S444" s="29"/>
      <c r="T444" s="29"/>
      <c r="U444" s="29"/>
      <c r="V444" s="29"/>
      <c r="W444" s="29"/>
      <c r="X444" s="29"/>
      <c r="Y444" s="29"/>
      <c r="Z444" s="29"/>
      <c r="AA444" s="29"/>
      <c r="AB444" s="29"/>
      <c r="AC444" s="29"/>
      <c r="AD444" s="207"/>
    </row>
    <row r="445" spans="18:30" ht="29.25" customHeight="1" x14ac:dyDescent="0.25">
      <c r="R445" s="29"/>
      <c r="S445" s="29"/>
      <c r="T445" s="29"/>
      <c r="U445" s="29"/>
      <c r="V445" s="29"/>
      <c r="W445" s="29"/>
      <c r="X445" s="29"/>
      <c r="Y445" s="29"/>
      <c r="Z445" s="29"/>
      <c r="AA445" s="29"/>
      <c r="AB445" s="29"/>
      <c r="AC445" s="29"/>
      <c r="AD445" s="207"/>
    </row>
    <row r="446" spans="18:30" ht="29.25" customHeight="1" x14ac:dyDescent="0.25">
      <c r="R446" s="29"/>
      <c r="S446" s="29"/>
      <c r="T446" s="29"/>
      <c r="U446" s="29"/>
      <c r="V446" s="29"/>
      <c r="W446" s="29"/>
      <c r="X446" s="29"/>
      <c r="Y446" s="29"/>
      <c r="Z446" s="29"/>
      <c r="AA446" s="29"/>
      <c r="AB446" s="29"/>
      <c r="AC446" s="29"/>
      <c r="AD446" s="207"/>
    </row>
    <row r="447" spans="18:30" ht="29.25" customHeight="1" x14ac:dyDescent="0.25">
      <c r="R447" s="29"/>
      <c r="S447" s="29"/>
      <c r="T447" s="29"/>
      <c r="U447" s="29"/>
      <c r="V447" s="29"/>
      <c r="W447" s="29"/>
      <c r="X447" s="29"/>
      <c r="Y447" s="29"/>
      <c r="Z447" s="29"/>
      <c r="AA447" s="29"/>
      <c r="AB447" s="29"/>
      <c r="AC447" s="29"/>
      <c r="AD447" s="207"/>
    </row>
    <row r="448" spans="18:30" ht="29.25" customHeight="1" x14ac:dyDescent="0.25">
      <c r="R448" s="29"/>
      <c r="S448" s="29"/>
      <c r="T448" s="29"/>
      <c r="U448" s="29"/>
      <c r="V448" s="29"/>
      <c r="W448" s="29"/>
      <c r="X448" s="29"/>
      <c r="Y448" s="29"/>
      <c r="Z448" s="29"/>
      <c r="AA448" s="29"/>
      <c r="AB448" s="29"/>
      <c r="AC448" s="29"/>
      <c r="AD448" s="207"/>
    </row>
    <row r="449" spans="18:30" ht="29.25" customHeight="1" x14ac:dyDescent="0.25">
      <c r="R449" s="29"/>
      <c r="S449" s="29"/>
      <c r="T449" s="29"/>
      <c r="U449" s="29"/>
      <c r="V449" s="29"/>
      <c r="W449" s="29"/>
      <c r="X449" s="29"/>
      <c r="Y449" s="29"/>
      <c r="Z449" s="29"/>
      <c r="AA449" s="29"/>
      <c r="AB449" s="29"/>
      <c r="AC449" s="29"/>
      <c r="AD449" s="207"/>
    </row>
    <row r="450" spans="18:30" ht="29.25" customHeight="1" x14ac:dyDescent="0.25">
      <c r="R450" s="29"/>
      <c r="S450" s="29"/>
      <c r="T450" s="29"/>
      <c r="U450" s="29"/>
      <c r="V450" s="29"/>
      <c r="W450" s="29"/>
      <c r="X450" s="29"/>
      <c r="Y450" s="29"/>
      <c r="Z450" s="29"/>
      <c r="AA450" s="29"/>
      <c r="AB450" s="29"/>
      <c r="AC450" s="29"/>
      <c r="AD450" s="207"/>
    </row>
    <row r="451" spans="18:30" ht="29.25" customHeight="1" x14ac:dyDescent="0.25">
      <c r="R451" s="29"/>
      <c r="S451" s="29"/>
      <c r="T451" s="29"/>
      <c r="U451" s="29"/>
      <c r="V451" s="29"/>
      <c r="W451" s="29"/>
      <c r="X451" s="29"/>
      <c r="Y451" s="29"/>
      <c r="Z451" s="29"/>
      <c r="AA451" s="29"/>
      <c r="AB451" s="29"/>
      <c r="AC451" s="29"/>
      <c r="AD451" s="207"/>
    </row>
    <row r="452" spans="18:30" ht="29.25" customHeight="1" x14ac:dyDescent="0.25">
      <c r="R452" s="29"/>
      <c r="S452" s="29"/>
      <c r="T452" s="29"/>
      <c r="U452" s="29"/>
      <c r="V452" s="29"/>
      <c r="W452" s="29"/>
      <c r="X452" s="29"/>
      <c r="Y452" s="29"/>
      <c r="Z452" s="29"/>
      <c r="AA452" s="29"/>
      <c r="AB452" s="29"/>
      <c r="AC452" s="29"/>
      <c r="AD452" s="207"/>
    </row>
    <row r="453" spans="18:30" ht="29.25" customHeight="1" x14ac:dyDescent="0.25">
      <c r="R453" s="29"/>
      <c r="S453" s="29"/>
      <c r="T453" s="29"/>
      <c r="U453" s="29"/>
      <c r="V453" s="29"/>
      <c r="W453" s="29"/>
      <c r="X453" s="29"/>
      <c r="Y453" s="29"/>
      <c r="Z453" s="29"/>
      <c r="AA453" s="29"/>
      <c r="AB453" s="29"/>
      <c r="AC453" s="29"/>
      <c r="AD453" s="207"/>
    </row>
    <row r="454" spans="18:30" ht="29.25" customHeight="1" x14ac:dyDescent="0.25">
      <c r="R454" s="29"/>
      <c r="S454" s="29"/>
      <c r="T454" s="29"/>
      <c r="U454" s="29"/>
      <c r="V454" s="29"/>
      <c r="W454" s="29"/>
      <c r="X454" s="29"/>
      <c r="Y454" s="29"/>
      <c r="Z454" s="29"/>
      <c r="AA454" s="29"/>
      <c r="AB454" s="29"/>
      <c r="AC454" s="29"/>
      <c r="AD454" s="207"/>
    </row>
    <row r="455" spans="18:30" ht="29.25" customHeight="1" x14ac:dyDescent="0.25">
      <c r="R455" s="29"/>
      <c r="S455" s="29"/>
      <c r="T455" s="29"/>
      <c r="U455" s="29"/>
      <c r="V455" s="29"/>
      <c r="W455" s="29"/>
      <c r="X455" s="29"/>
      <c r="Y455" s="29"/>
      <c r="Z455" s="29"/>
      <c r="AA455" s="29"/>
      <c r="AB455" s="29"/>
      <c r="AC455" s="29"/>
      <c r="AD455" s="207"/>
    </row>
    <row r="456" spans="18:30" ht="29.25" customHeight="1" x14ac:dyDescent="0.25">
      <c r="R456" s="29"/>
      <c r="S456" s="29"/>
      <c r="T456" s="29"/>
      <c r="U456" s="29"/>
      <c r="V456" s="29"/>
      <c r="W456" s="29"/>
      <c r="X456" s="29"/>
      <c r="Y456" s="29"/>
      <c r="Z456" s="29"/>
      <c r="AA456" s="29"/>
      <c r="AB456" s="29"/>
      <c r="AC456" s="29"/>
      <c r="AD456" s="207"/>
    </row>
    <row r="457" spans="18:30" ht="29.25" customHeight="1" x14ac:dyDescent="0.25">
      <c r="R457" s="29"/>
      <c r="S457" s="29"/>
      <c r="T457" s="29"/>
      <c r="U457" s="29"/>
      <c r="V457" s="29"/>
      <c r="W457" s="29"/>
      <c r="X457" s="29"/>
      <c r="Y457" s="29"/>
      <c r="Z457" s="29"/>
      <c r="AA457" s="29"/>
      <c r="AB457" s="29"/>
      <c r="AC457" s="29"/>
      <c r="AD457" s="207"/>
    </row>
    <row r="458" spans="18:30" ht="29.25" customHeight="1" x14ac:dyDescent="0.25">
      <c r="R458" s="29"/>
      <c r="S458" s="29"/>
      <c r="T458" s="29"/>
      <c r="U458" s="29"/>
      <c r="V458" s="29"/>
      <c r="W458" s="29"/>
      <c r="X458" s="29"/>
      <c r="Y458" s="29"/>
      <c r="Z458" s="29"/>
      <c r="AA458" s="29"/>
      <c r="AB458" s="29"/>
      <c r="AC458" s="29"/>
      <c r="AD458" s="207"/>
    </row>
    <row r="459" spans="18:30" ht="29.25" customHeight="1" x14ac:dyDescent="0.25">
      <c r="R459" s="29"/>
      <c r="S459" s="29"/>
      <c r="T459" s="29"/>
      <c r="U459" s="29"/>
      <c r="V459" s="29"/>
      <c r="W459" s="29"/>
      <c r="X459" s="29"/>
      <c r="Y459" s="29"/>
      <c r="Z459" s="29"/>
      <c r="AA459" s="29"/>
      <c r="AB459" s="29"/>
      <c r="AC459" s="29"/>
      <c r="AD459" s="207"/>
    </row>
    <row r="460" spans="18:30" ht="29.25" customHeight="1" x14ac:dyDescent="0.25">
      <c r="R460" s="29"/>
      <c r="S460" s="29"/>
      <c r="T460" s="29"/>
      <c r="U460" s="29"/>
      <c r="V460" s="29"/>
      <c r="W460" s="29"/>
      <c r="X460" s="29"/>
      <c r="Y460" s="29"/>
      <c r="Z460" s="29"/>
      <c r="AA460" s="29"/>
      <c r="AB460" s="29"/>
      <c r="AC460" s="29"/>
      <c r="AD460" s="207"/>
    </row>
    <row r="461" spans="18:30" ht="29.25" customHeight="1" x14ac:dyDescent="0.25">
      <c r="R461" s="29"/>
      <c r="S461" s="29"/>
      <c r="T461" s="29"/>
      <c r="U461" s="29"/>
      <c r="V461" s="29"/>
      <c r="W461" s="29"/>
      <c r="X461" s="29"/>
      <c r="Y461" s="29"/>
      <c r="Z461" s="29"/>
      <c r="AA461" s="29"/>
      <c r="AB461" s="29"/>
      <c r="AC461" s="29"/>
      <c r="AD461" s="207"/>
    </row>
    <row r="462" spans="18:30" ht="29.25" customHeight="1" x14ac:dyDescent="0.25">
      <c r="R462" s="29"/>
      <c r="S462" s="29"/>
      <c r="T462" s="29"/>
      <c r="U462" s="29"/>
      <c r="V462" s="29"/>
      <c r="W462" s="29"/>
      <c r="X462" s="29"/>
      <c r="Y462" s="29"/>
      <c r="Z462" s="29"/>
      <c r="AA462" s="29"/>
      <c r="AB462" s="29"/>
      <c r="AC462" s="29"/>
      <c r="AD462" s="207"/>
    </row>
    <row r="463" spans="18:30" ht="29.25" customHeight="1" x14ac:dyDescent="0.25">
      <c r="R463" s="29"/>
      <c r="S463" s="29"/>
      <c r="T463" s="29"/>
      <c r="U463" s="29"/>
      <c r="V463" s="29"/>
      <c r="W463" s="29"/>
      <c r="X463" s="29"/>
      <c r="Y463" s="29"/>
      <c r="Z463" s="29"/>
      <c r="AA463" s="29"/>
      <c r="AB463" s="29"/>
      <c r="AC463" s="29"/>
      <c r="AD463" s="207"/>
    </row>
    <row r="464" spans="18:30" ht="29.25" customHeight="1" x14ac:dyDescent="0.25">
      <c r="R464" s="29"/>
      <c r="S464" s="29"/>
      <c r="T464" s="29"/>
      <c r="U464" s="29"/>
      <c r="V464" s="29"/>
      <c r="W464" s="29"/>
      <c r="X464" s="29"/>
      <c r="Y464" s="29"/>
      <c r="Z464" s="29"/>
      <c r="AA464" s="29"/>
      <c r="AB464" s="29"/>
      <c r="AC464" s="29"/>
      <c r="AD464" s="207"/>
    </row>
    <row r="465" spans="18:30" ht="29.25" customHeight="1" x14ac:dyDescent="0.25">
      <c r="R465" s="29"/>
      <c r="S465" s="29"/>
      <c r="T465" s="29"/>
      <c r="U465" s="29"/>
      <c r="V465" s="29"/>
      <c r="W465" s="29"/>
      <c r="X465" s="29"/>
      <c r="Y465" s="29"/>
      <c r="Z465" s="29"/>
      <c r="AA465" s="29"/>
      <c r="AB465" s="29"/>
      <c r="AC465" s="29"/>
      <c r="AD465" s="207"/>
    </row>
    <row r="466" spans="18:30" ht="29.25" customHeight="1" x14ac:dyDescent="0.25">
      <c r="R466" s="29"/>
      <c r="S466" s="29"/>
      <c r="T466" s="29"/>
      <c r="U466" s="29"/>
      <c r="V466" s="29"/>
      <c r="W466" s="29"/>
      <c r="X466" s="29"/>
      <c r="Y466" s="29"/>
      <c r="Z466" s="29"/>
      <c r="AA466" s="29"/>
      <c r="AB466" s="29"/>
      <c r="AC466" s="29"/>
      <c r="AD466" s="207"/>
    </row>
    <row r="467" spans="18:30" ht="29.25" customHeight="1" x14ac:dyDescent="0.25">
      <c r="R467" s="29"/>
      <c r="S467" s="29"/>
      <c r="T467" s="29"/>
      <c r="U467" s="29"/>
      <c r="V467" s="29"/>
      <c r="W467" s="29"/>
      <c r="X467" s="29"/>
      <c r="Y467" s="29"/>
      <c r="Z467" s="29"/>
      <c r="AA467" s="29"/>
      <c r="AB467" s="29"/>
      <c r="AC467" s="29"/>
      <c r="AD467" s="207"/>
    </row>
    <row r="468" spans="18:30" ht="29.25" customHeight="1" x14ac:dyDescent="0.25">
      <c r="R468" s="29"/>
      <c r="S468" s="29"/>
      <c r="T468" s="29"/>
      <c r="U468" s="29"/>
      <c r="V468" s="29"/>
      <c r="W468" s="29"/>
      <c r="X468" s="29"/>
      <c r="Y468" s="29"/>
      <c r="Z468" s="29"/>
      <c r="AA468" s="29"/>
      <c r="AB468" s="29"/>
      <c r="AC468" s="29"/>
      <c r="AD468" s="207"/>
    </row>
    <row r="469" spans="18:30" ht="29.25" customHeight="1" x14ac:dyDescent="0.25">
      <c r="R469" s="29"/>
      <c r="S469" s="29"/>
      <c r="T469" s="29"/>
      <c r="U469" s="29"/>
      <c r="V469" s="29"/>
      <c r="W469" s="29"/>
      <c r="X469" s="29"/>
      <c r="Y469" s="29"/>
      <c r="Z469" s="29"/>
      <c r="AA469" s="29"/>
      <c r="AB469" s="29"/>
      <c r="AC469" s="29"/>
      <c r="AD469" s="207"/>
    </row>
    <row r="470" spans="18:30" ht="29.25" customHeight="1" x14ac:dyDescent="0.25">
      <c r="R470" s="29"/>
      <c r="S470" s="29"/>
      <c r="T470" s="29"/>
      <c r="U470" s="29"/>
      <c r="V470" s="29"/>
      <c r="W470" s="29"/>
      <c r="X470" s="29"/>
      <c r="Y470" s="29"/>
      <c r="Z470" s="29"/>
      <c r="AA470" s="29"/>
      <c r="AB470" s="29"/>
      <c r="AC470" s="29"/>
      <c r="AD470" s="207"/>
    </row>
    <row r="471" spans="18:30" ht="29.25" customHeight="1" x14ac:dyDescent="0.25">
      <c r="R471" s="29"/>
      <c r="S471" s="29"/>
      <c r="T471" s="29"/>
      <c r="U471" s="29"/>
      <c r="V471" s="29"/>
      <c r="W471" s="29"/>
      <c r="X471" s="29"/>
      <c r="Y471" s="29"/>
      <c r="Z471" s="29"/>
      <c r="AA471" s="29"/>
      <c r="AB471" s="29"/>
      <c r="AC471" s="29"/>
      <c r="AD471" s="207"/>
    </row>
    <row r="472" spans="18:30" ht="29.25" customHeight="1" x14ac:dyDescent="0.25">
      <c r="R472" s="29"/>
      <c r="S472" s="29"/>
      <c r="T472" s="29"/>
      <c r="U472" s="29"/>
      <c r="V472" s="29"/>
      <c r="W472" s="29"/>
      <c r="X472" s="29"/>
      <c r="Y472" s="29"/>
      <c r="Z472" s="29"/>
      <c r="AA472" s="29"/>
      <c r="AB472" s="29"/>
      <c r="AC472" s="29"/>
      <c r="AD472" s="207"/>
    </row>
    <row r="473" spans="18:30" ht="29.25" customHeight="1" x14ac:dyDescent="0.25">
      <c r="R473" s="29"/>
      <c r="S473" s="29"/>
      <c r="T473" s="29"/>
      <c r="U473" s="29"/>
      <c r="V473" s="29"/>
      <c r="W473" s="29"/>
      <c r="X473" s="29"/>
      <c r="Y473" s="29"/>
      <c r="Z473" s="29"/>
      <c r="AA473" s="29"/>
      <c r="AB473" s="29"/>
      <c r="AC473" s="29"/>
      <c r="AD473" s="207"/>
    </row>
    <row r="474" spans="18:30" ht="29.25" customHeight="1" x14ac:dyDescent="0.25">
      <c r="R474" s="29"/>
      <c r="S474" s="29"/>
      <c r="T474" s="29"/>
      <c r="U474" s="29"/>
      <c r="V474" s="29"/>
      <c r="W474" s="29"/>
      <c r="X474" s="29"/>
      <c r="Y474" s="29"/>
      <c r="Z474" s="29"/>
      <c r="AA474" s="29"/>
      <c r="AB474" s="29"/>
      <c r="AC474" s="29"/>
      <c r="AD474" s="207"/>
    </row>
    <row r="475" spans="18:30" ht="29.25" customHeight="1" x14ac:dyDescent="0.25">
      <c r="R475" s="29"/>
      <c r="S475" s="29"/>
      <c r="T475" s="29"/>
      <c r="U475" s="29"/>
      <c r="V475" s="29"/>
      <c r="W475" s="29"/>
      <c r="X475" s="29"/>
      <c r="Y475" s="29"/>
      <c r="Z475" s="29"/>
      <c r="AA475" s="29"/>
      <c r="AB475" s="29"/>
      <c r="AC475" s="29"/>
      <c r="AD475" s="207"/>
    </row>
    <row r="476" spans="18:30" ht="29.25" customHeight="1" x14ac:dyDescent="0.25">
      <c r="R476" s="29"/>
      <c r="S476" s="29"/>
      <c r="T476" s="29"/>
      <c r="U476" s="29"/>
      <c r="V476" s="29"/>
      <c r="W476" s="29"/>
      <c r="X476" s="29"/>
      <c r="Y476" s="29"/>
      <c r="Z476" s="29"/>
      <c r="AA476" s="29"/>
      <c r="AB476" s="29"/>
      <c r="AC476" s="29"/>
      <c r="AD476" s="207"/>
    </row>
    <row r="477" spans="18:30" ht="29.25" customHeight="1" x14ac:dyDescent="0.25">
      <c r="R477" s="29"/>
      <c r="S477" s="29"/>
      <c r="T477" s="29"/>
      <c r="U477" s="29"/>
      <c r="V477" s="29"/>
      <c r="W477" s="29"/>
      <c r="X477" s="29"/>
      <c r="Y477" s="29"/>
      <c r="Z477" s="29"/>
      <c r="AA477" s="29"/>
      <c r="AB477" s="29"/>
      <c r="AC477" s="29"/>
      <c r="AD477" s="207"/>
    </row>
    <row r="478" spans="18:30" ht="29.25" customHeight="1" x14ac:dyDescent="0.25">
      <c r="R478" s="29"/>
      <c r="S478" s="29"/>
      <c r="T478" s="29"/>
      <c r="U478" s="29"/>
      <c r="V478" s="29"/>
      <c r="W478" s="29"/>
      <c r="X478" s="29"/>
      <c r="Y478" s="29"/>
      <c r="Z478" s="29"/>
      <c r="AA478" s="29"/>
      <c r="AB478" s="29"/>
      <c r="AC478" s="29"/>
      <c r="AD478" s="207"/>
    </row>
    <row r="479" spans="18:30" ht="29.25" customHeight="1" x14ac:dyDescent="0.25">
      <c r="R479" s="29"/>
      <c r="S479" s="29"/>
      <c r="T479" s="29"/>
      <c r="U479" s="29"/>
      <c r="V479" s="29"/>
      <c r="W479" s="29"/>
      <c r="X479" s="29"/>
      <c r="Y479" s="29"/>
      <c r="Z479" s="29"/>
      <c r="AA479" s="29"/>
      <c r="AB479" s="29"/>
      <c r="AC479" s="29"/>
      <c r="AD479" s="207"/>
    </row>
    <row r="480" spans="18:30" ht="29.25" customHeight="1" x14ac:dyDescent="0.25">
      <c r="R480" s="29"/>
      <c r="S480" s="29"/>
      <c r="T480" s="29"/>
      <c r="U480" s="29"/>
      <c r="V480" s="29"/>
      <c r="W480" s="29"/>
      <c r="X480" s="29"/>
      <c r="Y480" s="29"/>
      <c r="Z480" s="29"/>
      <c r="AA480" s="29"/>
      <c r="AB480" s="29"/>
      <c r="AC480" s="29"/>
      <c r="AD480" s="207"/>
    </row>
    <row r="481" spans="18:30" ht="29.25" customHeight="1" x14ac:dyDescent="0.25">
      <c r="R481" s="29"/>
      <c r="S481" s="29"/>
      <c r="T481" s="29"/>
      <c r="U481" s="29"/>
      <c r="V481" s="29"/>
      <c r="W481" s="29"/>
      <c r="X481" s="29"/>
      <c r="Y481" s="29"/>
      <c r="Z481" s="29"/>
      <c r="AA481" s="29"/>
      <c r="AB481" s="29"/>
      <c r="AC481" s="29"/>
      <c r="AD481" s="207"/>
    </row>
    <row r="482" spans="18:30" ht="29.25" customHeight="1" x14ac:dyDescent="0.25">
      <c r="R482" s="29"/>
      <c r="S482" s="29"/>
      <c r="T482" s="29"/>
      <c r="U482" s="29"/>
      <c r="V482" s="29"/>
      <c r="W482" s="29"/>
      <c r="X482" s="29"/>
      <c r="Y482" s="29"/>
      <c r="Z482" s="29"/>
      <c r="AA482" s="29"/>
      <c r="AB482" s="29"/>
      <c r="AC482" s="29"/>
      <c r="AD482" s="207"/>
    </row>
    <row r="483" spans="18:30" ht="29.25" customHeight="1" x14ac:dyDescent="0.25">
      <c r="R483" s="29"/>
      <c r="S483" s="29"/>
      <c r="T483" s="29"/>
      <c r="U483" s="29"/>
      <c r="V483" s="29"/>
      <c r="W483" s="29"/>
      <c r="X483" s="29"/>
      <c r="Y483" s="29"/>
      <c r="Z483" s="29"/>
      <c r="AA483" s="29"/>
      <c r="AB483" s="29"/>
      <c r="AC483" s="29"/>
      <c r="AD483" s="207"/>
    </row>
    <row r="484" spans="18:30" ht="29.25" customHeight="1" x14ac:dyDescent="0.25">
      <c r="R484" s="29"/>
      <c r="S484" s="29"/>
      <c r="T484" s="29"/>
      <c r="U484" s="29"/>
      <c r="V484" s="29"/>
      <c r="W484" s="29"/>
      <c r="X484" s="29"/>
      <c r="Y484" s="29"/>
      <c r="Z484" s="29"/>
      <c r="AA484" s="29"/>
      <c r="AB484" s="29"/>
      <c r="AC484" s="29"/>
      <c r="AD484" s="207"/>
    </row>
    <row r="485" spans="18:30" ht="29.25" customHeight="1" x14ac:dyDescent="0.25">
      <c r="R485" s="29"/>
      <c r="S485" s="29"/>
      <c r="T485" s="29"/>
      <c r="U485" s="29"/>
      <c r="V485" s="29"/>
      <c r="W485" s="29"/>
      <c r="X485" s="29"/>
      <c r="Y485" s="29"/>
      <c r="Z485" s="29"/>
      <c r="AA485" s="29"/>
      <c r="AB485" s="29"/>
      <c r="AC485" s="29"/>
      <c r="AD485" s="207"/>
    </row>
    <row r="486" spans="18:30" ht="29.25" customHeight="1" x14ac:dyDescent="0.25">
      <c r="R486" s="29"/>
      <c r="S486" s="29"/>
      <c r="T486" s="29"/>
      <c r="U486" s="29"/>
      <c r="V486" s="29"/>
      <c r="W486" s="29"/>
      <c r="X486" s="29"/>
      <c r="Y486" s="29"/>
      <c r="Z486" s="29"/>
      <c r="AA486" s="29"/>
      <c r="AB486" s="29"/>
      <c r="AC486" s="29"/>
      <c r="AD486" s="207"/>
    </row>
    <row r="487" spans="18:30" ht="29.25" customHeight="1" x14ac:dyDescent="0.25">
      <c r="R487" s="29"/>
      <c r="S487" s="29"/>
      <c r="T487" s="29"/>
      <c r="U487" s="29"/>
      <c r="V487" s="29"/>
      <c r="W487" s="29"/>
      <c r="X487" s="29"/>
      <c r="Y487" s="29"/>
      <c r="Z487" s="29"/>
      <c r="AA487" s="29"/>
      <c r="AB487" s="29"/>
      <c r="AC487" s="29"/>
      <c r="AD487" s="207"/>
    </row>
    <row r="488" spans="18:30" ht="29.25" customHeight="1" x14ac:dyDescent="0.25">
      <c r="R488" s="29"/>
      <c r="S488" s="29"/>
      <c r="T488" s="29"/>
      <c r="U488" s="29"/>
      <c r="V488" s="29"/>
      <c r="W488" s="29"/>
      <c r="X488" s="29"/>
      <c r="Y488" s="29"/>
      <c r="Z488" s="29"/>
      <c r="AA488" s="29"/>
      <c r="AB488" s="29"/>
      <c r="AC488" s="29"/>
      <c r="AD488" s="207"/>
    </row>
    <row r="489" spans="18:30" ht="29.25" customHeight="1" x14ac:dyDescent="0.25">
      <c r="R489" s="29"/>
      <c r="S489" s="29"/>
      <c r="T489" s="29"/>
      <c r="U489" s="29"/>
      <c r="V489" s="29"/>
      <c r="W489" s="29"/>
      <c r="X489" s="29"/>
      <c r="Y489" s="29"/>
      <c r="Z489" s="29"/>
      <c r="AA489" s="29"/>
      <c r="AB489" s="29"/>
      <c r="AC489" s="29"/>
      <c r="AD489" s="207"/>
    </row>
    <row r="490" spans="18:30" ht="29.25" customHeight="1" x14ac:dyDescent="0.25">
      <c r="R490" s="29"/>
      <c r="S490" s="29"/>
      <c r="T490" s="29"/>
      <c r="U490" s="29"/>
      <c r="V490" s="29"/>
      <c r="W490" s="29"/>
      <c r="X490" s="29"/>
      <c r="Y490" s="29"/>
      <c r="Z490" s="29"/>
      <c r="AA490" s="29"/>
      <c r="AB490" s="29"/>
      <c r="AC490" s="29"/>
      <c r="AD490" s="207"/>
    </row>
    <row r="491" spans="18:30" ht="29.25" customHeight="1" x14ac:dyDescent="0.25">
      <c r="R491" s="29"/>
      <c r="S491" s="29"/>
      <c r="T491" s="29"/>
      <c r="U491" s="29"/>
      <c r="V491" s="29"/>
      <c r="W491" s="29"/>
      <c r="X491" s="29"/>
      <c r="Y491" s="29"/>
      <c r="Z491" s="29"/>
      <c r="AA491" s="29"/>
      <c r="AB491" s="29"/>
      <c r="AC491" s="29"/>
      <c r="AD491" s="207"/>
    </row>
    <row r="492" spans="18:30" ht="29.25" customHeight="1" x14ac:dyDescent="0.25">
      <c r="R492" s="29"/>
      <c r="S492" s="29"/>
      <c r="T492" s="29"/>
      <c r="U492" s="29"/>
      <c r="V492" s="29"/>
      <c r="W492" s="29"/>
      <c r="X492" s="29"/>
      <c r="Y492" s="29"/>
      <c r="Z492" s="29"/>
      <c r="AA492" s="29"/>
      <c r="AB492" s="29"/>
      <c r="AC492" s="29"/>
      <c r="AD492" s="207"/>
    </row>
    <row r="493" spans="18:30" ht="29.25" customHeight="1" x14ac:dyDescent="0.25">
      <c r="R493" s="29"/>
      <c r="S493" s="29"/>
      <c r="T493" s="29"/>
      <c r="U493" s="29"/>
      <c r="V493" s="29"/>
      <c r="W493" s="29"/>
      <c r="X493" s="29"/>
      <c r="Y493" s="29"/>
      <c r="Z493" s="29"/>
      <c r="AA493" s="29"/>
      <c r="AB493" s="29"/>
      <c r="AC493" s="29"/>
      <c r="AD493" s="207"/>
    </row>
    <row r="494" spans="18:30" ht="29.25" customHeight="1" x14ac:dyDescent="0.25">
      <c r="R494" s="29"/>
      <c r="S494" s="29"/>
      <c r="T494" s="29"/>
      <c r="U494" s="29"/>
      <c r="V494" s="29"/>
      <c r="W494" s="29"/>
      <c r="X494" s="29"/>
      <c r="Y494" s="29"/>
      <c r="Z494" s="29"/>
      <c r="AA494" s="29"/>
      <c r="AB494" s="29"/>
      <c r="AC494" s="29"/>
      <c r="AD494" s="207"/>
    </row>
    <row r="495" spans="18:30" ht="29.25" customHeight="1" x14ac:dyDescent="0.25">
      <c r="R495" s="29"/>
      <c r="S495" s="29"/>
      <c r="T495" s="29"/>
      <c r="U495" s="29"/>
      <c r="V495" s="29"/>
      <c r="W495" s="29"/>
      <c r="X495" s="29"/>
      <c r="Y495" s="29"/>
      <c r="Z495" s="29"/>
      <c r="AA495" s="29"/>
      <c r="AB495" s="29"/>
      <c r="AC495" s="29"/>
      <c r="AD495" s="207"/>
    </row>
    <row r="496" spans="18:30" ht="29.25" customHeight="1" x14ac:dyDescent="0.25">
      <c r="R496" s="29"/>
      <c r="S496" s="29"/>
      <c r="T496" s="29"/>
      <c r="U496" s="29"/>
      <c r="V496" s="29"/>
      <c r="W496" s="29"/>
      <c r="X496" s="29"/>
      <c r="Y496" s="29"/>
      <c r="Z496" s="29"/>
      <c r="AA496" s="29"/>
      <c r="AB496" s="29"/>
      <c r="AC496" s="29"/>
      <c r="AD496" s="207"/>
    </row>
    <row r="497" spans="18:30" ht="29.25" customHeight="1" x14ac:dyDescent="0.25">
      <c r="R497" s="29"/>
      <c r="S497" s="29"/>
      <c r="T497" s="29"/>
      <c r="U497" s="29"/>
      <c r="V497" s="29"/>
      <c r="W497" s="29"/>
      <c r="X497" s="29"/>
      <c r="Y497" s="29"/>
      <c r="Z497" s="29"/>
      <c r="AA497" s="29"/>
      <c r="AB497" s="29"/>
      <c r="AC497" s="29"/>
      <c r="AD497" s="207"/>
    </row>
    <row r="498" spans="18:30" ht="29.25" customHeight="1" x14ac:dyDescent="0.25">
      <c r="R498" s="29"/>
      <c r="S498" s="29"/>
      <c r="T498" s="29"/>
      <c r="U498" s="29"/>
      <c r="V498" s="29"/>
      <c r="W498" s="29"/>
      <c r="X498" s="29"/>
      <c r="Y498" s="29"/>
      <c r="Z498" s="29"/>
      <c r="AA498" s="29"/>
      <c r="AB498" s="29"/>
      <c r="AC498" s="29"/>
      <c r="AD498" s="207"/>
    </row>
    <row r="499" spans="18:30" ht="29.25" customHeight="1" x14ac:dyDescent="0.25">
      <c r="R499" s="29"/>
      <c r="S499" s="29"/>
      <c r="T499" s="29"/>
      <c r="U499" s="29"/>
      <c r="V499" s="29"/>
      <c r="W499" s="29"/>
      <c r="X499" s="29"/>
      <c r="Y499" s="29"/>
      <c r="Z499" s="29"/>
      <c r="AA499" s="29"/>
      <c r="AB499" s="29"/>
      <c r="AC499" s="29"/>
      <c r="AD499" s="207"/>
    </row>
    <row r="500" spans="18:30" ht="29.25" customHeight="1" x14ac:dyDescent="0.25">
      <c r="R500" s="29"/>
      <c r="S500" s="29"/>
      <c r="T500" s="29"/>
      <c r="U500" s="29"/>
      <c r="V500" s="29"/>
      <c r="W500" s="29"/>
      <c r="X500" s="29"/>
      <c r="Y500" s="29"/>
      <c r="Z500" s="29"/>
      <c r="AA500" s="29"/>
      <c r="AB500" s="29"/>
      <c r="AC500" s="29"/>
      <c r="AD500" s="207"/>
    </row>
    <row r="501" spans="18:30" ht="29.25" customHeight="1" x14ac:dyDescent="0.25">
      <c r="R501" s="29"/>
      <c r="S501" s="29"/>
      <c r="T501" s="29"/>
      <c r="U501" s="29"/>
      <c r="V501" s="29"/>
      <c r="W501" s="29"/>
      <c r="X501" s="29"/>
      <c r="Y501" s="29"/>
      <c r="Z501" s="29"/>
      <c r="AA501" s="29"/>
      <c r="AB501" s="29"/>
      <c r="AC501" s="29"/>
      <c r="AD501" s="207"/>
    </row>
    <row r="502" spans="18:30" ht="29.25" customHeight="1" x14ac:dyDescent="0.25">
      <c r="R502" s="29"/>
      <c r="S502" s="29"/>
      <c r="T502" s="29"/>
      <c r="U502" s="29"/>
      <c r="V502" s="29"/>
      <c r="W502" s="29"/>
      <c r="X502" s="29"/>
      <c r="Y502" s="29"/>
      <c r="Z502" s="29"/>
      <c r="AA502" s="29"/>
      <c r="AB502" s="29"/>
      <c r="AC502" s="29"/>
      <c r="AD502" s="207"/>
    </row>
    <row r="503" spans="18:30" ht="29.25" customHeight="1" x14ac:dyDescent="0.25">
      <c r="R503" s="29"/>
      <c r="S503" s="29"/>
      <c r="T503" s="29"/>
      <c r="U503" s="29"/>
      <c r="V503" s="29"/>
      <c r="W503" s="29"/>
      <c r="X503" s="29"/>
      <c r="Y503" s="29"/>
      <c r="Z503" s="29"/>
      <c r="AA503" s="29"/>
      <c r="AB503" s="29"/>
      <c r="AC503" s="29"/>
      <c r="AD503" s="207"/>
    </row>
    <row r="504" spans="18:30" ht="29.25" customHeight="1" x14ac:dyDescent="0.25">
      <c r="R504" s="29"/>
      <c r="S504" s="29"/>
      <c r="T504" s="29"/>
      <c r="U504" s="29"/>
      <c r="V504" s="29"/>
      <c r="W504" s="29"/>
      <c r="X504" s="29"/>
      <c r="Y504" s="29"/>
      <c r="Z504" s="29"/>
      <c r="AA504" s="29"/>
      <c r="AB504" s="29"/>
      <c r="AC504" s="29"/>
      <c r="AD504" s="207"/>
    </row>
    <row r="505" spans="18:30" ht="29.25" customHeight="1" x14ac:dyDescent="0.25">
      <c r="R505" s="29"/>
      <c r="S505" s="29"/>
      <c r="T505" s="29"/>
      <c r="U505" s="29"/>
      <c r="V505" s="29"/>
      <c r="W505" s="29"/>
      <c r="X505" s="29"/>
      <c r="Y505" s="29"/>
      <c r="Z505" s="29"/>
      <c r="AA505" s="29"/>
      <c r="AB505" s="29"/>
      <c r="AC505" s="29"/>
      <c r="AD505" s="207"/>
    </row>
    <row r="506" spans="18:30" ht="29.25" customHeight="1" x14ac:dyDescent="0.25">
      <c r="R506" s="29"/>
      <c r="S506" s="29"/>
      <c r="T506" s="29"/>
      <c r="U506" s="29"/>
      <c r="V506" s="29"/>
      <c r="W506" s="29"/>
      <c r="X506" s="29"/>
      <c r="Y506" s="29"/>
      <c r="Z506" s="29"/>
      <c r="AA506" s="29"/>
      <c r="AB506" s="29"/>
      <c r="AC506" s="29"/>
      <c r="AD506" s="207"/>
    </row>
    <row r="507" spans="18:30" ht="29.25" customHeight="1" x14ac:dyDescent="0.25">
      <c r="R507" s="29"/>
      <c r="S507" s="29"/>
      <c r="T507" s="29"/>
      <c r="U507" s="29"/>
      <c r="V507" s="29"/>
      <c r="W507" s="29"/>
      <c r="X507" s="29"/>
      <c r="Y507" s="29"/>
      <c r="Z507" s="29"/>
      <c r="AA507" s="29"/>
      <c r="AB507" s="29"/>
      <c r="AC507" s="29"/>
      <c r="AD507" s="207"/>
    </row>
    <row r="508" spans="18:30" ht="29.25" customHeight="1" x14ac:dyDescent="0.25">
      <c r="R508" s="29"/>
      <c r="S508" s="29"/>
      <c r="T508" s="29"/>
      <c r="U508" s="29"/>
      <c r="V508" s="29"/>
      <c r="W508" s="29"/>
      <c r="X508" s="29"/>
      <c r="Y508" s="29"/>
      <c r="Z508" s="29"/>
      <c r="AA508" s="29"/>
      <c r="AB508" s="29"/>
      <c r="AC508" s="29"/>
      <c r="AD508" s="207"/>
    </row>
    <row r="509" spans="18:30" ht="29.25" customHeight="1" x14ac:dyDescent="0.25">
      <c r="R509" s="29"/>
      <c r="S509" s="29"/>
      <c r="T509" s="29"/>
      <c r="U509" s="29"/>
      <c r="V509" s="29"/>
      <c r="W509" s="29"/>
      <c r="X509" s="29"/>
      <c r="Y509" s="29"/>
      <c r="Z509" s="29"/>
      <c r="AA509" s="29"/>
      <c r="AB509" s="29"/>
      <c r="AC509" s="29"/>
      <c r="AD509" s="207"/>
    </row>
    <row r="510" spans="18:30" ht="29.25" customHeight="1" x14ac:dyDescent="0.25">
      <c r="R510" s="29"/>
      <c r="S510" s="29"/>
      <c r="T510" s="29"/>
      <c r="U510" s="29"/>
      <c r="V510" s="29"/>
      <c r="W510" s="29"/>
      <c r="X510" s="29"/>
      <c r="Y510" s="29"/>
      <c r="Z510" s="29"/>
      <c r="AA510" s="29"/>
      <c r="AB510" s="29"/>
      <c r="AC510" s="29"/>
      <c r="AD510" s="207"/>
    </row>
    <row r="511" spans="18:30" ht="29.25" customHeight="1" x14ac:dyDescent="0.25">
      <c r="R511" s="29"/>
      <c r="S511" s="29"/>
      <c r="T511" s="29"/>
      <c r="U511" s="29"/>
      <c r="V511" s="29"/>
      <c r="W511" s="29"/>
      <c r="X511" s="29"/>
      <c r="Y511" s="29"/>
      <c r="Z511" s="29"/>
      <c r="AA511" s="29"/>
      <c r="AB511" s="29"/>
      <c r="AC511" s="29"/>
      <c r="AD511" s="207"/>
    </row>
    <row r="512" spans="18:30" ht="29.25" customHeight="1" x14ac:dyDescent="0.25">
      <c r="R512" s="29"/>
      <c r="S512" s="29"/>
      <c r="T512" s="29"/>
      <c r="U512" s="29"/>
      <c r="V512" s="29"/>
      <c r="W512" s="29"/>
      <c r="X512" s="29"/>
      <c r="Y512" s="29"/>
      <c r="Z512" s="29"/>
      <c r="AA512" s="29"/>
      <c r="AB512" s="29"/>
      <c r="AC512" s="29"/>
      <c r="AD512" s="207"/>
    </row>
    <row r="513" spans="18:30" ht="29.25" customHeight="1" x14ac:dyDescent="0.25">
      <c r="R513" s="29"/>
      <c r="S513" s="29"/>
      <c r="T513" s="29"/>
      <c r="U513" s="29"/>
      <c r="V513" s="29"/>
      <c r="W513" s="29"/>
      <c r="X513" s="29"/>
      <c r="Y513" s="29"/>
      <c r="Z513" s="29"/>
      <c r="AA513" s="29"/>
      <c r="AB513" s="29"/>
      <c r="AC513" s="29"/>
      <c r="AD513" s="207"/>
    </row>
    <row r="514" spans="18:30" ht="29.25" customHeight="1" x14ac:dyDescent="0.25">
      <c r="R514" s="29"/>
      <c r="S514" s="29"/>
      <c r="T514" s="29"/>
      <c r="U514" s="29"/>
      <c r="V514" s="29"/>
      <c r="W514" s="29"/>
      <c r="X514" s="29"/>
      <c r="Y514" s="29"/>
      <c r="Z514" s="29"/>
      <c r="AA514" s="29"/>
      <c r="AB514" s="29"/>
      <c r="AC514" s="29"/>
      <c r="AD514" s="207"/>
    </row>
    <row r="515" spans="18:30" ht="29.25" customHeight="1" x14ac:dyDescent="0.25">
      <c r="R515" s="29"/>
      <c r="S515" s="29"/>
      <c r="T515" s="29"/>
      <c r="U515" s="29"/>
      <c r="V515" s="29"/>
      <c r="W515" s="29"/>
      <c r="X515" s="29"/>
      <c r="Y515" s="29"/>
      <c r="Z515" s="29"/>
      <c r="AA515" s="29"/>
      <c r="AB515" s="29"/>
      <c r="AC515" s="29"/>
      <c r="AD515" s="207"/>
    </row>
    <row r="516" spans="18:30" ht="29.25" customHeight="1" x14ac:dyDescent="0.25">
      <c r="R516" s="29"/>
      <c r="S516" s="29"/>
      <c r="T516" s="29"/>
      <c r="U516" s="29"/>
      <c r="V516" s="29"/>
      <c r="W516" s="29"/>
      <c r="X516" s="29"/>
      <c r="Y516" s="29"/>
      <c r="Z516" s="29"/>
      <c r="AA516" s="29"/>
      <c r="AB516" s="29"/>
      <c r="AC516" s="29"/>
      <c r="AD516" s="207"/>
    </row>
    <row r="517" spans="18:30" ht="29.25" customHeight="1" x14ac:dyDescent="0.25">
      <c r="R517" s="29"/>
      <c r="S517" s="29"/>
      <c r="T517" s="29"/>
      <c r="U517" s="29"/>
      <c r="V517" s="29"/>
      <c r="W517" s="29"/>
      <c r="X517" s="29"/>
      <c r="Y517" s="29"/>
      <c r="Z517" s="29"/>
      <c r="AA517" s="29"/>
      <c r="AB517" s="29"/>
      <c r="AC517" s="29"/>
      <c r="AD517" s="207"/>
    </row>
    <row r="518" spans="18:30" ht="29.25" customHeight="1" x14ac:dyDescent="0.25">
      <c r="R518" s="29"/>
      <c r="S518" s="29"/>
      <c r="T518" s="29"/>
      <c r="U518" s="29"/>
      <c r="V518" s="29"/>
      <c r="W518" s="29"/>
      <c r="X518" s="29"/>
      <c r="Y518" s="29"/>
      <c r="Z518" s="29"/>
      <c r="AA518" s="29"/>
      <c r="AB518" s="29"/>
      <c r="AC518" s="29"/>
      <c r="AD518" s="207"/>
    </row>
    <row r="519" spans="18:30" ht="29.25" customHeight="1" x14ac:dyDescent="0.25">
      <c r="R519" s="29"/>
      <c r="S519" s="29"/>
      <c r="T519" s="29"/>
      <c r="U519" s="29"/>
      <c r="V519" s="29"/>
      <c r="W519" s="29"/>
      <c r="X519" s="29"/>
      <c r="Y519" s="29"/>
      <c r="Z519" s="29"/>
      <c r="AA519" s="29"/>
      <c r="AB519" s="29"/>
      <c r="AC519" s="29"/>
      <c r="AD519" s="207"/>
    </row>
    <row r="520" spans="18:30" ht="29.25" customHeight="1" x14ac:dyDescent="0.25">
      <c r="R520" s="29"/>
      <c r="S520" s="29"/>
      <c r="T520" s="29"/>
      <c r="U520" s="29"/>
      <c r="V520" s="29"/>
      <c r="W520" s="29"/>
      <c r="X520" s="29"/>
      <c r="Y520" s="29"/>
      <c r="Z520" s="29"/>
      <c r="AA520" s="29"/>
      <c r="AB520" s="29"/>
      <c r="AC520" s="29"/>
      <c r="AD520" s="207"/>
    </row>
    <row r="521" spans="18:30" ht="29.25" customHeight="1" x14ac:dyDescent="0.25">
      <c r="R521" s="29"/>
      <c r="S521" s="29"/>
      <c r="T521" s="29"/>
      <c r="U521" s="29"/>
      <c r="V521" s="29"/>
      <c r="W521" s="29"/>
      <c r="X521" s="29"/>
      <c r="Y521" s="29"/>
      <c r="Z521" s="29"/>
      <c r="AA521" s="29"/>
      <c r="AB521" s="29"/>
      <c r="AC521" s="29"/>
      <c r="AD521" s="207"/>
    </row>
    <row r="522" spans="18:30" ht="29.25" customHeight="1" x14ac:dyDescent="0.25">
      <c r="R522" s="29"/>
      <c r="S522" s="29"/>
      <c r="T522" s="29"/>
      <c r="U522" s="29"/>
      <c r="V522" s="29"/>
      <c r="W522" s="29"/>
      <c r="X522" s="29"/>
      <c r="Y522" s="29"/>
      <c r="Z522" s="29"/>
      <c r="AA522" s="29"/>
      <c r="AB522" s="29"/>
      <c r="AC522" s="29"/>
      <c r="AD522" s="207"/>
    </row>
    <row r="523" spans="18:30" ht="29.25" customHeight="1" x14ac:dyDescent="0.25">
      <c r="R523" s="29"/>
      <c r="S523" s="29"/>
      <c r="T523" s="29"/>
      <c r="U523" s="29"/>
      <c r="V523" s="29"/>
      <c r="W523" s="29"/>
      <c r="X523" s="29"/>
      <c r="Y523" s="29"/>
      <c r="Z523" s="29"/>
      <c r="AA523" s="29"/>
      <c r="AB523" s="29"/>
      <c r="AC523" s="29"/>
      <c r="AD523" s="207"/>
    </row>
    <row r="524" spans="18:30" ht="29.25" customHeight="1" x14ac:dyDescent="0.25">
      <c r="R524" s="29"/>
      <c r="S524" s="29"/>
      <c r="T524" s="29"/>
      <c r="U524" s="29"/>
      <c r="V524" s="29"/>
      <c r="W524" s="29"/>
      <c r="X524" s="29"/>
      <c r="Y524" s="29"/>
      <c r="Z524" s="29"/>
      <c r="AA524" s="29"/>
      <c r="AB524" s="29"/>
      <c r="AC524" s="29"/>
      <c r="AD524" s="207"/>
    </row>
    <row r="525" spans="18:30" ht="29.25" customHeight="1" x14ac:dyDescent="0.25">
      <c r="R525" s="29"/>
      <c r="S525" s="29"/>
      <c r="T525" s="29"/>
      <c r="U525" s="29"/>
      <c r="V525" s="29"/>
      <c r="W525" s="29"/>
      <c r="X525" s="29"/>
      <c r="Y525" s="29"/>
      <c r="Z525" s="29"/>
      <c r="AA525" s="29"/>
      <c r="AB525" s="29"/>
      <c r="AC525" s="29"/>
      <c r="AD525" s="207"/>
    </row>
    <row r="526" spans="18:30" ht="29.25" customHeight="1" x14ac:dyDescent="0.25">
      <c r="R526" s="29"/>
      <c r="S526" s="29"/>
      <c r="T526" s="29"/>
      <c r="U526" s="29"/>
      <c r="V526" s="29"/>
      <c r="W526" s="29"/>
      <c r="X526" s="29"/>
      <c r="Y526" s="29"/>
      <c r="Z526" s="29"/>
      <c r="AA526" s="29"/>
      <c r="AB526" s="29"/>
      <c r="AC526" s="29"/>
      <c r="AD526" s="207"/>
    </row>
    <row r="527" spans="18:30" ht="29.25" customHeight="1" x14ac:dyDescent="0.25">
      <c r="R527" s="29"/>
      <c r="S527" s="29"/>
      <c r="T527" s="29"/>
      <c r="U527" s="29"/>
      <c r="V527" s="29"/>
      <c r="W527" s="29"/>
      <c r="X527" s="29"/>
      <c r="Y527" s="29"/>
      <c r="Z527" s="29"/>
      <c r="AA527" s="29"/>
      <c r="AB527" s="29"/>
      <c r="AC527" s="29"/>
      <c r="AD527" s="207"/>
    </row>
    <row r="528" spans="18:30" ht="29.25" customHeight="1" x14ac:dyDescent="0.25">
      <c r="R528" s="29"/>
      <c r="S528" s="29"/>
      <c r="T528" s="29"/>
      <c r="U528" s="29"/>
      <c r="V528" s="29"/>
      <c r="W528" s="29"/>
      <c r="X528" s="29"/>
      <c r="Y528" s="29"/>
      <c r="Z528" s="29"/>
      <c r="AA528" s="29"/>
      <c r="AB528" s="29"/>
      <c r="AC528" s="29"/>
      <c r="AD528" s="207"/>
    </row>
    <row r="529" spans="18:30" ht="29.25" customHeight="1" x14ac:dyDescent="0.25">
      <c r="R529" s="29"/>
      <c r="S529" s="29"/>
      <c r="T529" s="29"/>
      <c r="U529" s="29"/>
      <c r="V529" s="29"/>
      <c r="W529" s="29"/>
      <c r="X529" s="29"/>
      <c r="Y529" s="29"/>
      <c r="Z529" s="29"/>
      <c r="AA529" s="29"/>
      <c r="AB529" s="29"/>
      <c r="AC529" s="29"/>
      <c r="AD529" s="207"/>
    </row>
    <row r="530" spans="18:30" ht="29.25" customHeight="1" x14ac:dyDescent="0.25">
      <c r="R530" s="29"/>
      <c r="S530" s="29"/>
      <c r="T530" s="29"/>
      <c r="U530" s="29"/>
      <c r="V530" s="29"/>
      <c r="W530" s="29"/>
      <c r="X530" s="29"/>
      <c r="Y530" s="29"/>
      <c r="Z530" s="29"/>
      <c r="AA530" s="29"/>
      <c r="AB530" s="29"/>
      <c r="AC530" s="29"/>
      <c r="AD530" s="207"/>
    </row>
    <row r="531" spans="18:30" ht="29.25" customHeight="1" x14ac:dyDescent="0.25">
      <c r="R531" s="29"/>
      <c r="S531" s="29"/>
      <c r="T531" s="29"/>
      <c r="U531" s="29"/>
      <c r="V531" s="29"/>
      <c r="W531" s="29"/>
      <c r="X531" s="29"/>
      <c r="Y531" s="29"/>
      <c r="Z531" s="29"/>
      <c r="AA531" s="29"/>
      <c r="AB531" s="29"/>
      <c r="AC531" s="29"/>
      <c r="AD531" s="207"/>
    </row>
    <row r="532" spans="18:30" ht="29.25" customHeight="1" x14ac:dyDescent="0.25">
      <c r="R532" s="29"/>
      <c r="S532" s="29"/>
      <c r="T532" s="29"/>
      <c r="U532" s="29"/>
      <c r="V532" s="29"/>
      <c r="W532" s="29"/>
      <c r="X532" s="29"/>
      <c r="Y532" s="29"/>
      <c r="Z532" s="29"/>
      <c r="AA532" s="29"/>
      <c r="AB532" s="29"/>
      <c r="AC532" s="29"/>
      <c r="AD532" s="207"/>
    </row>
    <row r="533" spans="18:30" ht="29.25" customHeight="1" x14ac:dyDescent="0.25">
      <c r="R533" s="29"/>
      <c r="S533" s="29"/>
      <c r="T533" s="29"/>
      <c r="U533" s="29"/>
      <c r="V533" s="29"/>
      <c r="W533" s="29"/>
      <c r="X533" s="29"/>
      <c r="Y533" s="29"/>
      <c r="Z533" s="29"/>
      <c r="AA533" s="29"/>
      <c r="AB533" s="29"/>
      <c r="AC533" s="29"/>
      <c r="AD533" s="207"/>
    </row>
    <row r="534" spans="18:30" ht="29.25" customHeight="1" x14ac:dyDescent="0.25">
      <c r="R534" s="29"/>
      <c r="S534" s="29"/>
      <c r="T534" s="29"/>
      <c r="U534" s="29"/>
      <c r="V534" s="29"/>
      <c r="W534" s="29"/>
      <c r="X534" s="29"/>
      <c r="Y534" s="29"/>
      <c r="Z534" s="29"/>
      <c r="AA534" s="29"/>
      <c r="AB534" s="29"/>
      <c r="AC534" s="29"/>
      <c r="AD534" s="207"/>
    </row>
    <row r="535" spans="18:30" ht="29.25" customHeight="1" x14ac:dyDescent="0.25">
      <c r="R535" s="29"/>
      <c r="S535" s="29"/>
      <c r="T535" s="29"/>
      <c r="U535" s="29"/>
      <c r="V535" s="29"/>
      <c r="W535" s="29"/>
      <c r="X535" s="29"/>
      <c r="Y535" s="29"/>
      <c r="Z535" s="29"/>
      <c r="AA535" s="29"/>
      <c r="AB535" s="29"/>
      <c r="AC535" s="29"/>
      <c r="AD535" s="207"/>
    </row>
    <row r="536" spans="18:30" ht="29.25" customHeight="1" x14ac:dyDescent="0.25">
      <c r="R536" s="29"/>
      <c r="S536" s="29"/>
      <c r="T536" s="29"/>
      <c r="U536" s="29"/>
      <c r="V536" s="29"/>
      <c r="W536" s="29"/>
      <c r="X536" s="29"/>
      <c r="Y536" s="29"/>
      <c r="Z536" s="29"/>
      <c r="AA536" s="29"/>
      <c r="AB536" s="29"/>
      <c r="AC536" s="29"/>
      <c r="AD536" s="207"/>
    </row>
    <row r="537" spans="18:30" ht="29.25" customHeight="1" x14ac:dyDescent="0.25">
      <c r="R537" s="29"/>
      <c r="S537" s="29"/>
      <c r="T537" s="29"/>
      <c r="U537" s="29"/>
      <c r="V537" s="29"/>
      <c r="W537" s="29"/>
      <c r="X537" s="29"/>
      <c r="Y537" s="29"/>
      <c r="Z537" s="29"/>
      <c r="AA537" s="29"/>
      <c r="AB537" s="29"/>
      <c r="AC537" s="29"/>
      <c r="AD537" s="207"/>
    </row>
    <row r="538" spans="18:30" ht="29.25" customHeight="1" x14ac:dyDescent="0.25">
      <c r="R538" s="29"/>
      <c r="S538" s="29"/>
      <c r="T538" s="29"/>
      <c r="U538" s="29"/>
      <c r="V538" s="29"/>
      <c r="W538" s="29"/>
      <c r="X538" s="29"/>
      <c r="Y538" s="29"/>
      <c r="Z538" s="29"/>
      <c r="AA538" s="29"/>
      <c r="AB538" s="29"/>
      <c r="AC538" s="29"/>
      <c r="AD538" s="207"/>
    </row>
    <row r="539" spans="18:30" ht="29.25" customHeight="1" x14ac:dyDescent="0.25">
      <c r="R539" s="29"/>
      <c r="S539" s="29"/>
      <c r="T539" s="29"/>
      <c r="U539" s="29"/>
      <c r="V539" s="29"/>
      <c r="W539" s="29"/>
      <c r="X539" s="29"/>
      <c r="Y539" s="29"/>
      <c r="Z539" s="29"/>
      <c r="AA539" s="29"/>
      <c r="AB539" s="29"/>
      <c r="AC539" s="29"/>
      <c r="AD539" s="207"/>
    </row>
    <row r="540" spans="18:30" ht="29.25" customHeight="1" x14ac:dyDescent="0.25">
      <c r="R540" s="29"/>
      <c r="S540" s="29"/>
      <c r="T540" s="29"/>
      <c r="U540" s="29"/>
      <c r="V540" s="29"/>
      <c r="W540" s="29"/>
      <c r="X540" s="29"/>
      <c r="Y540" s="29"/>
      <c r="Z540" s="29"/>
      <c r="AA540" s="29"/>
      <c r="AB540" s="29"/>
      <c r="AC540" s="29"/>
      <c r="AD540" s="207"/>
    </row>
    <row r="541" spans="18:30" ht="29.25" customHeight="1" x14ac:dyDescent="0.25">
      <c r="R541" s="29"/>
      <c r="S541" s="29"/>
      <c r="T541" s="29"/>
      <c r="U541" s="29"/>
      <c r="V541" s="29"/>
      <c r="W541" s="29"/>
      <c r="X541" s="29"/>
      <c r="Y541" s="29"/>
      <c r="Z541" s="29"/>
      <c r="AA541" s="29"/>
      <c r="AB541" s="29"/>
      <c r="AC541" s="29"/>
      <c r="AD541" s="207"/>
    </row>
    <row r="542" spans="18:30" ht="29.25" customHeight="1" x14ac:dyDescent="0.25">
      <c r="R542" s="29"/>
      <c r="S542" s="29"/>
      <c r="T542" s="29"/>
      <c r="U542" s="29"/>
      <c r="V542" s="29"/>
      <c r="W542" s="29"/>
      <c r="X542" s="29"/>
      <c r="Y542" s="29"/>
      <c r="Z542" s="29"/>
      <c r="AA542" s="29"/>
      <c r="AB542" s="29"/>
      <c r="AC542" s="29"/>
      <c r="AD542" s="207"/>
    </row>
    <row r="543" spans="18:30" ht="29.25" customHeight="1" x14ac:dyDescent="0.25">
      <c r="R543" s="29"/>
      <c r="S543" s="29"/>
      <c r="T543" s="29"/>
      <c r="U543" s="29"/>
      <c r="V543" s="29"/>
      <c r="W543" s="29"/>
      <c r="X543" s="29"/>
      <c r="Y543" s="29"/>
      <c r="Z543" s="29"/>
      <c r="AA543" s="29"/>
      <c r="AB543" s="29"/>
      <c r="AC543" s="29"/>
      <c r="AD543" s="207"/>
    </row>
    <row r="544" spans="18:30" ht="29.25" customHeight="1" x14ac:dyDescent="0.25">
      <c r="R544" s="29"/>
      <c r="S544" s="29"/>
      <c r="T544" s="29"/>
      <c r="U544" s="29"/>
      <c r="V544" s="29"/>
      <c r="W544" s="29"/>
      <c r="X544" s="29"/>
      <c r="Y544" s="29"/>
      <c r="Z544" s="29"/>
      <c r="AA544" s="29"/>
      <c r="AB544" s="29"/>
      <c r="AC544" s="29"/>
      <c r="AD544" s="207"/>
    </row>
    <row r="545" spans="18:30" ht="29.25" customHeight="1" x14ac:dyDescent="0.25">
      <c r="R545" s="29"/>
      <c r="S545" s="29"/>
      <c r="T545" s="29"/>
      <c r="U545" s="29"/>
      <c r="V545" s="29"/>
      <c r="W545" s="29"/>
      <c r="X545" s="29"/>
      <c r="Y545" s="29"/>
      <c r="Z545" s="29"/>
      <c r="AA545" s="29"/>
      <c r="AB545" s="29"/>
      <c r="AC545" s="29"/>
      <c r="AD545" s="207"/>
    </row>
    <row r="546" spans="18:30" ht="29.25" customHeight="1" x14ac:dyDescent="0.25">
      <c r="R546" s="29"/>
      <c r="S546" s="29"/>
      <c r="T546" s="29"/>
      <c r="U546" s="29"/>
      <c r="V546" s="29"/>
      <c r="W546" s="29"/>
      <c r="X546" s="29"/>
      <c r="Y546" s="29"/>
      <c r="Z546" s="29"/>
      <c r="AA546" s="29"/>
      <c r="AB546" s="29"/>
      <c r="AC546" s="29"/>
      <c r="AD546" s="207"/>
    </row>
    <row r="547" spans="18:30" ht="29.25" customHeight="1" x14ac:dyDescent="0.25">
      <c r="R547" s="29"/>
      <c r="S547" s="29"/>
      <c r="T547" s="29"/>
      <c r="U547" s="29"/>
      <c r="V547" s="29"/>
      <c r="W547" s="29"/>
      <c r="X547" s="29"/>
      <c r="Y547" s="29"/>
      <c r="Z547" s="29"/>
      <c r="AA547" s="29"/>
      <c r="AB547" s="29"/>
      <c r="AC547" s="29"/>
      <c r="AD547" s="207"/>
    </row>
    <row r="548" spans="18:30" ht="29.25" customHeight="1" x14ac:dyDescent="0.25">
      <c r="R548" s="29"/>
      <c r="S548" s="29"/>
      <c r="T548" s="29"/>
      <c r="U548" s="29"/>
      <c r="V548" s="29"/>
      <c r="W548" s="29"/>
      <c r="X548" s="29"/>
      <c r="Y548" s="29"/>
      <c r="Z548" s="29"/>
      <c r="AA548" s="29"/>
      <c r="AB548" s="29"/>
      <c r="AC548" s="29"/>
      <c r="AD548" s="207"/>
    </row>
    <row r="549" spans="18:30" ht="29.25" customHeight="1" x14ac:dyDescent="0.25">
      <c r="R549" s="29"/>
      <c r="S549" s="29"/>
      <c r="T549" s="29"/>
      <c r="U549" s="29"/>
      <c r="V549" s="29"/>
      <c r="W549" s="29"/>
      <c r="X549" s="29"/>
      <c r="Y549" s="29"/>
      <c r="Z549" s="29"/>
      <c r="AA549" s="29"/>
      <c r="AB549" s="29"/>
      <c r="AC549" s="29"/>
      <c r="AD549" s="207"/>
    </row>
    <row r="550" spans="18:30" ht="29.25" customHeight="1" x14ac:dyDescent="0.25">
      <c r="R550" s="29"/>
      <c r="S550" s="29"/>
      <c r="T550" s="29"/>
      <c r="U550" s="29"/>
      <c r="V550" s="29"/>
      <c r="W550" s="29"/>
      <c r="X550" s="29"/>
      <c r="Y550" s="29"/>
      <c r="Z550" s="29"/>
      <c r="AA550" s="29"/>
      <c r="AB550" s="29"/>
      <c r="AC550" s="29"/>
      <c r="AD550" s="207"/>
    </row>
    <row r="551" spans="18:30" ht="29.25" customHeight="1" x14ac:dyDescent="0.25">
      <c r="R551" s="29"/>
      <c r="S551" s="29"/>
      <c r="T551" s="29"/>
      <c r="U551" s="29"/>
      <c r="V551" s="29"/>
      <c r="W551" s="29"/>
      <c r="X551" s="29"/>
      <c r="Y551" s="29"/>
      <c r="Z551" s="29"/>
      <c r="AA551" s="29"/>
      <c r="AB551" s="29"/>
      <c r="AC551" s="29"/>
      <c r="AD551" s="207"/>
    </row>
    <row r="552" spans="18:30" ht="29.25" customHeight="1" x14ac:dyDescent="0.25">
      <c r="R552" s="29"/>
      <c r="S552" s="29"/>
      <c r="T552" s="29"/>
      <c r="U552" s="29"/>
      <c r="V552" s="29"/>
      <c r="W552" s="29"/>
      <c r="X552" s="29"/>
      <c r="Y552" s="29"/>
      <c r="Z552" s="29"/>
      <c r="AA552" s="29"/>
      <c r="AB552" s="29"/>
      <c r="AC552" s="29"/>
      <c r="AD552" s="207"/>
    </row>
    <row r="553" spans="18:30" ht="29.25" customHeight="1" x14ac:dyDescent="0.25">
      <c r="R553" s="29"/>
      <c r="S553" s="29"/>
      <c r="T553" s="29"/>
      <c r="U553" s="29"/>
      <c r="V553" s="29"/>
      <c r="W553" s="29"/>
      <c r="X553" s="29"/>
      <c r="Y553" s="29"/>
      <c r="Z553" s="29"/>
      <c r="AA553" s="29"/>
      <c r="AB553" s="29"/>
      <c r="AC553" s="29"/>
      <c r="AD553" s="207"/>
    </row>
    <row r="554" spans="18:30" ht="29.25" customHeight="1" x14ac:dyDescent="0.25">
      <c r="R554" s="29"/>
      <c r="S554" s="29"/>
      <c r="T554" s="29"/>
      <c r="U554" s="29"/>
      <c r="V554" s="29"/>
      <c r="W554" s="29"/>
      <c r="X554" s="29"/>
      <c r="Y554" s="29"/>
      <c r="Z554" s="29"/>
      <c r="AA554" s="29"/>
      <c r="AB554" s="29"/>
      <c r="AC554" s="29"/>
      <c r="AD554" s="207"/>
    </row>
    <row r="555" spans="18:30" ht="29.25" customHeight="1" x14ac:dyDescent="0.25">
      <c r="R555" s="29"/>
      <c r="S555" s="29"/>
      <c r="T555" s="29"/>
      <c r="U555" s="29"/>
      <c r="V555" s="29"/>
      <c r="W555" s="29"/>
      <c r="X555" s="29"/>
      <c r="Y555" s="29"/>
      <c r="Z555" s="29"/>
      <c r="AA555" s="29"/>
      <c r="AB555" s="29"/>
      <c r="AC555" s="29"/>
      <c r="AD555" s="207"/>
    </row>
    <row r="556" spans="18:30" ht="29.25" customHeight="1" x14ac:dyDescent="0.25">
      <c r="R556" s="29"/>
      <c r="S556" s="29"/>
      <c r="T556" s="29"/>
      <c r="U556" s="29"/>
      <c r="V556" s="29"/>
      <c r="W556" s="29"/>
      <c r="X556" s="29"/>
      <c r="Y556" s="29"/>
      <c r="Z556" s="29"/>
      <c r="AA556" s="29"/>
      <c r="AB556" s="29"/>
      <c r="AC556" s="29"/>
      <c r="AD556" s="207"/>
    </row>
    <row r="557" spans="18:30" ht="29.25" customHeight="1" x14ac:dyDescent="0.25">
      <c r="R557" s="29"/>
      <c r="S557" s="29"/>
      <c r="T557" s="29"/>
      <c r="U557" s="29"/>
      <c r="V557" s="29"/>
      <c r="W557" s="29"/>
      <c r="X557" s="29"/>
      <c r="Y557" s="29"/>
      <c r="Z557" s="29"/>
      <c r="AA557" s="29"/>
      <c r="AB557" s="29"/>
      <c r="AC557" s="29"/>
      <c r="AD557" s="207"/>
    </row>
    <row r="558" spans="18:30" ht="29.25" customHeight="1" x14ac:dyDescent="0.25">
      <c r="R558" s="29"/>
      <c r="S558" s="29"/>
      <c r="T558" s="29"/>
      <c r="U558" s="29"/>
      <c r="V558" s="29"/>
      <c r="W558" s="29"/>
      <c r="X558" s="29"/>
      <c r="Y558" s="29"/>
      <c r="Z558" s="29"/>
      <c r="AA558" s="29"/>
      <c r="AB558" s="29"/>
      <c r="AC558" s="29"/>
      <c r="AD558" s="207"/>
    </row>
    <row r="559" spans="18:30" ht="29.25" customHeight="1" x14ac:dyDescent="0.25">
      <c r="R559" s="29"/>
      <c r="S559" s="29"/>
      <c r="T559" s="29"/>
      <c r="U559" s="29"/>
      <c r="V559" s="29"/>
      <c r="W559" s="29"/>
      <c r="X559" s="29"/>
      <c r="Y559" s="29"/>
      <c r="Z559" s="29"/>
      <c r="AA559" s="29"/>
      <c r="AB559" s="29"/>
      <c r="AC559" s="29"/>
      <c r="AD559" s="207"/>
    </row>
    <row r="560" spans="18:30" ht="29.25" customHeight="1" x14ac:dyDescent="0.25">
      <c r="R560" s="29"/>
      <c r="S560" s="29"/>
      <c r="T560" s="29"/>
      <c r="U560" s="29"/>
      <c r="V560" s="29"/>
      <c r="W560" s="29"/>
      <c r="X560" s="29"/>
      <c r="Y560" s="29"/>
      <c r="Z560" s="29"/>
      <c r="AA560" s="29"/>
      <c r="AB560" s="29"/>
      <c r="AC560" s="29"/>
      <c r="AD560" s="207"/>
    </row>
    <row r="561" spans="18:30" ht="29.25" customHeight="1" x14ac:dyDescent="0.25">
      <c r="R561" s="29"/>
      <c r="S561" s="29"/>
      <c r="T561" s="29"/>
      <c r="U561" s="29"/>
      <c r="V561" s="29"/>
      <c r="W561" s="29"/>
      <c r="X561" s="29"/>
      <c r="Y561" s="29"/>
      <c r="Z561" s="29"/>
      <c r="AA561" s="29"/>
      <c r="AB561" s="29"/>
      <c r="AC561" s="29"/>
      <c r="AD561" s="207"/>
    </row>
    <row r="562" spans="18:30" ht="29.25" customHeight="1" x14ac:dyDescent="0.25">
      <c r="R562" s="29"/>
      <c r="S562" s="29"/>
      <c r="T562" s="29"/>
      <c r="U562" s="29"/>
      <c r="V562" s="29"/>
      <c r="W562" s="29"/>
      <c r="X562" s="29"/>
      <c r="Y562" s="29"/>
      <c r="Z562" s="29"/>
      <c r="AA562" s="29"/>
      <c r="AB562" s="29"/>
      <c r="AC562" s="29"/>
      <c r="AD562" s="207"/>
    </row>
    <row r="563" spans="18:30" ht="29.25" customHeight="1" x14ac:dyDescent="0.25">
      <c r="R563" s="29"/>
      <c r="S563" s="29"/>
      <c r="T563" s="29"/>
      <c r="U563" s="29"/>
      <c r="V563" s="29"/>
      <c r="W563" s="29"/>
      <c r="X563" s="29"/>
      <c r="Y563" s="29"/>
      <c r="Z563" s="29"/>
      <c r="AA563" s="29"/>
      <c r="AB563" s="29"/>
      <c r="AC563" s="29"/>
      <c r="AD563" s="207"/>
    </row>
    <row r="564" spans="18:30" ht="29.25" customHeight="1" x14ac:dyDescent="0.25">
      <c r="R564" s="29"/>
      <c r="S564" s="29"/>
      <c r="T564" s="29"/>
      <c r="U564" s="29"/>
      <c r="V564" s="29"/>
      <c r="W564" s="29"/>
      <c r="X564" s="29"/>
      <c r="Y564" s="29"/>
      <c r="Z564" s="29"/>
      <c r="AA564" s="29"/>
      <c r="AB564" s="29"/>
      <c r="AC564" s="29"/>
      <c r="AD564" s="207"/>
    </row>
    <row r="565" spans="18:30" ht="29.25" customHeight="1" x14ac:dyDescent="0.25">
      <c r="R565" s="29"/>
      <c r="S565" s="29"/>
      <c r="T565" s="29"/>
      <c r="U565" s="29"/>
      <c r="V565" s="29"/>
      <c r="W565" s="29"/>
      <c r="X565" s="29"/>
      <c r="Y565" s="29"/>
      <c r="Z565" s="29"/>
      <c r="AA565" s="29"/>
      <c r="AB565" s="29"/>
      <c r="AC565" s="29"/>
      <c r="AD565" s="207"/>
    </row>
    <row r="566" spans="18:30" ht="29.25" customHeight="1" x14ac:dyDescent="0.25">
      <c r="R566" s="29"/>
      <c r="S566" s="29"/>
      <c r="T566" s="29"/>
      <c r="U566" s="29"/>
      <c r="V566" s="29"/>
      <c r="W566" s="29"/>
      <c r="X566" s="29"/>
      <c r="Y566" s="29"/>
      <c r="Z566" s="29"/>
      <c r="AA566" s="29"/>
      <c r="AB566" s="29"/>
      <c r="AC566" s="29"/>
      <c r="AD566" s="207"/>
    </row>
    <row r="567" spans="18:30" ht="29.25" customHeight="1" x14ac:dyDescent="0.25">
      <c r="R567" s="29"/>
      <c r="S567" s="29"/>
      <c r="T567" s="29"/>
      <c r="U567" s="29"/>
      <c r="V567" s="29"/>
      <c r="W567" s="29"/>
      <c r="X567" s="29"/>
      <c r="Y567" s="29"/>
      <c r="Z567" s="29"/>
      <c r="AA567" s="29"/>
      <c r="AB567" s="29"/>
      <c r="AC567" s="29"/>
      <c r="AD567" s="207"/>
    </row>
    <row r="568" spans="18:30" ht="29.25" customHeight="1" x14ac:dyDescent="0.25">
      <c r="R568" s="29"/>
      <c r="S568" s="29"/>
      <c r="T568" s="29"/>
      <c r="U568" s="29"/>
      <c r="V568" s="29"/>
      <c r="W568" s="29"/>
      <c r="X568" s="29"/>
      <c r="Y568" s="29"/>
      <c r="Z568" s="29"/>
      <c r="AA568" s="29"/>
      <c r="AB568" s="29"/>
      <c r="AC568" s="29"/>
      <c r="AD568" s="207"/>
    </row>
    <row r="569" spans="18:30" ht="29.25" customHeight="1" x14ac:dyDescent="0.25">
      <c r="R569" s="29"/>
      <c r="S569" s="29"/>
      <c r="T569" s="29"/>
      <c r="U569" s="29"/>
      <c r="V569" s="29"/>
      <c r="W569" s="29"/>
      <c r="X569" s="29"/>
      <c r="Y569" s="29"/>
      <c r="Z569" s="29"/>
      <c r="AA569" s="29"/>
      <c r="AB569" s="29"/>
      <c r="AC569" s="29"/>
      <c r="AD569" s="207"/>
    </row>
    <row r="570" spans="18:30" ht="29.25" customHeight="1" x14ac:dyDescent="0.25">
      <c r="R570" s="29"/>
      <c r="S570" s="29"/>
      <c r="T570" s="29"/>
      <c r="U570" s="29"/>
      <c r="V570" s="29"/>
      <c r="W570" s="29"/>
      <c r="X570" s="29"/>
      <c r="Y570" s="29"/>
      <c r="Z570" s="29"/>
      <c r="AA570" s="29"/>
      <c r="AB570" s="29"/>
      <c r="AC570" s="29"/>
      <c r="AD570" s="207"/>
    </row>
    <row r="571" spans="18:30" ht="29.25" customHeight="1" x14ac:dyDescent="0.25">
      <c r="R571" s="29"/>
      <c r="S571" s="29"/>
      <c r="T571" s="29"/>
      <c r="U571" s="29"/>
      <c r="V571" s="29"/>
      <c r="W571" s="29"/>
      <c r="X571" s="29"/>
      <c r="Y571" s="29"/>
      <c r="Z571" s="29"/>
      <c r="AA571" s="29"/>
      <c r="AB571" s="29"/>
      <c r="AC571" s="29"/>
      <c r="AD571" s="207"/>
    </row>
    <row r="572" spans="18:30" ht="29.25" customHeight="1" x14ac:dyDescent="0.25">
      <c r="R572" s="29"/>
      <c r="S572" s="29"/>
      <c r="T572" s="29"/>
      <c r="U572" s="29"/>
      <c r="V572" s="29"/>
      <c r="W572" s="29"/>
      <c r="X572" s="29"/>
      <c r="Y572" s="29"/>
      <c r="Z572" s="29"/>
      <c r="AA572" s="29"/>
      <c r="AB572" s="29"/>
      <c r="AC572" s="29"/>
      <c r="AD572" s="207"/>
    </row>
    <row r="573" spans="18:30" ht="29.25" customHeight="1" x14ac:dyDescent="0.25">
      <c r="R573" s="29"/>
      <c r="S573" s="29"/>
      <c r="T573" s="29"/>
      <c r="U573" s="29"/>
      <c r="V573" s="29"/>
      <c r="W573" s="29"/>
      <c r="X573" s="29"/>
      <c r="Y573" s="29"/>
      <c r="Z573" s="29"/>
      <c r="AA573" s="29"/>
      <c r="AB573" s="29"/>
      <c r="AC573" s="29"/>
      <c r="AD573" s="207"/>
    </row>
    <row r="574" spans="18:30" ht="29.25" customHeight="1" x14ac:dyDescent="0.25">
      <c r="R574" s="29"/>
      <c r="S574" s="29"/>
      <c r="T574" s="29"/>
      <c r="U574" s="29"/>
      <c r="V574" s="29"/>
      <c r="W574" s="29"/>
      <c r="X574" s="29"/>
      <c r="Y574" s="29"/>
      <c r="Z574" s="29"/>
      <c r="AA574" s="29"/>
      <c r="AB574" s="29"/>
      <c r="AC574" s="29"/>
      <c r="AD574" s="207"/>
    </row>
    <row r="575" spans="18:30" ht="29.25" customHeight="1" x14ac:dyDescent="0.25">
      <c r="R575" s="29"/>
      <c r="S575" s="29"/>
      <c r="T575" s="29"/>
      <c r="U575" s="29"/>
      <c r="V575" s="29"/>
      <c r="W575" s="29"/>
      <c r="X575" s="29"/>
      <c r="Y575" s="29"/>
      <c r="Z575" s="29"/>
      <c r="AA575" s="29"/>
      <c r="AB575" s="29"/>
      <c r="AC575" s="29"/>
      <c r="AD575" s="207"/>
    </row>
    <row r="576" spans="18:30" ht="29.25" customHeight="1" x14ac:dyDescent="0.25">
      <c r="R576" s="29"/>
      <c r="S576" s="29"/>
      <c r="T576" s="29"/>
      <c r="U576" s="29"/>
      <c r="V576" s="29"/>
      <c r="W576" s="29"/>
      <c r="X576" s="29"/>
      <c r="Y576" s="29"/>
      <c r="Z576" s="29"/>
      <c r="AA576" s="29"/>
      <c r="AB576" s="29"/>
      <c r="AC576" s="29"/>
      <c r="AD576" s="207"/>
    </row>
    <row r="577" spans="18:30" ht="29.25" customHeight="1" x14ac:dyDescent="0.25">
      <c r="R577" s="29"/>
      <c r="S577" s="29"/>
      <c r="T577" s="29"/>
      <c r="U577" s="29"/>
      <c r="V577" s="29"/>
      <c r="W577" s="29"/>
      <c r="X577" s="29"/>
      <c r="Y577" s="29"/>
      <c r="Z577" s="29"/>
      <c r="AA577" s="29"/>
      <c r="AB577" s="29"/>
      <c r="AC577" s="29"/>
      <c r="AD577" s="207"/>
    </row>
    <row r="578" spans="18:30" ht="29.25" customHeight="1" x14ac:dyDescent="0.25">
      <c r="R578" s="29"/>
      <c r="S578" s="29"/>
      <c r="T578" s="29"/>
      <c r="U578" s="29"/>
      <c r="V578" s="29"/>
      <c r="W578" s="29"/>
      <c r="X578" s="29"/>
      <c r="Y578" s="29"/>
      <c r="Z578" s="29"/>
      <c r="AA578" s="29"/>
      <c r="AB578" s="29"/>
      <c r="AC578" s="29"/>
      <c r="AD578" s="207"/>
    </row>
    <row r="579" spans="18:30" ht="29.25" customHeight="1" x14ac:dyDescent="0.25">
      <c r="R579" s="29"/>
      <c r="S579" s="29"/>
      <c r="T579" s="29"/>
      <c r="U579" s="29"/>
      <c r="V579" s="29"/>
      <c r="W579" s="29"/>
      <c r="X579" s="29"/>
      <c r="Y579" s="29"/>
      <c r="Z579" s="29"/>
      <c r="AA579" s="29"/>
      <c r="AB579" s="29"/>
      <c r="AC579" s="29"/>
      <c r="AD579" s="207"/>
    </row>
    <row r="580" spans="18:30" ht="29.25" customHeight="1" x14ac:dyDescent="0.25">
      <c r="R580" s="29"/>
      <c r="S580" s="29"/>
      <c r="T580" s="29"/>
      <c r="U580" s="29"/>
      <c r="V580" s="29"/>
      <c r="W580" s="29"/>
      <c r="X580" s="29"/>
      <c r="Y580" s="29"/>
      <c r="Z580" s="29"/>
      <c r="AA580" s="29"/>
      <c r="AB580" s="29"/>
      <c r="AC580" s="29"/>
      <c r="AD580" s="207"/>
    </row>
    <row r="581" spans="18:30" ht="29.25" customHeight="1" x14ac:dyDescent="0.25">
      <c r="R581" s="29"/>
      <c r="S581" s="29"/>
      <c r="T581" s="29"/>
      <c r="U581" s="29"/>
      <c r="V581" s="29"/>
      <c r="W581" s="29"/>
      <c r="X581" s="29"/>
      <c r="Y581" s="29"/>
      <c r="Z581" s="29"/>
      <c r="AA581" s="29"/>
      <c r="AB581" s="29"/>
      <c r="AC581" s="29"/>
      <c r="AD581" s="207"/>
    </row>
    <row r="582" spans="18:30" ht="29.25" customHeight="1" x14ac:dyDescent="0.25">
      <c r="R582" s="29"/>
      <c r="S582" s="29"/>
      <c r="T582" s="29"/>
      <c r="U582" s="29"/>
      <c r="V582" s="29"/>
      <c r="W582" s="29"/>
      <c r="X582" s="29"/>
      <c r="Y582" s="29"/>
      <c r="Z582" s="29"/>
      <c r="AA582" s="29"/>
      <c r="AB582" s="29"/>
      <c r="AC582" s="29"/>
      <c r="AD582" s="207"/>
    </row>
    <row r="583" spans="18:30" ht="29.25" customHeight="1" x14ac:dyDescent="0.25">
      <c r="R583" s="29"/>
      <c r="S583" s="29"/>
      <c r="T583" s="29"/>
      <c r="U583" s="29"/>
      <c r="V583" s="29"/>
      <c r="W583" s="29"/>
      <c r="X583" s="29"/>
      <c r="Y583" s="29"/>
      <c r="Z583" s="29"/>
      <c r="AA583" s="29"/>
      <c r="AB583" s="29"/>
      <c r="AC583" s="29"/>
      <c r="AD583" s="207"/>
    </row>
    <row r="584" spans="18:30" ht="29.25" customHeight="1" x14ac:dyDescent="0.25">
      <c r="R584" s="29"/>
      <c r="S584" s="29"/>
      <c r="T584" s="29"/>
      <c r="U584" s="29"/>
      <c r="V584" s="29"/>
      <c r="W584" s="29"/>
      <c r="X584" s="29"/>
      <c r="Y584" s="29"/>
      <c r="Z584" s="29"/>
      <c r="AA584" s="29"/>
      <c r="AB584" s="29"/>
      <c r="AC584" s="29"/>
      <c r="AD584" s="207"/>
    </row>
    <row r="585" spans="18:30" ht="29.25" customHeight="1" x14ac:dyDescent="0.25">
      <c r="R585" s="29"/>
      <c r="S585" s="29"/>
      <c r="T585" s="29"/>
      <c r="U585" s="29"/>
      <c r="V585" s="29"/>
      <c r="W585" s="29"/>
      <c r="X585" s="29"/>
      <c r="Y585" s="29"/>
      <c r="Z585" s="29"/>
      <c r="AA585" s="29"/>
      <c r="AB585" s="29"/>
      <c r="AC585" s="29"/>
      <c r="AD585" s="207"/>
    </row>
    <row r="586" spans="18:30" ht="29.25" customHeight="1" x14ac:dyDescent="0.25">
      <c r="R586" s="29"/>
      <c r="S586" s="29"/>
      <c r="T586" s="29"/>
      <c r="U586" s="29"/>
      <c r="V586" s="29"/>
      <c r="W586" s="29"/>
      <c r="X586" s="29"/>
      <c r="Y586" s="29"/>
      <c r="Z586" s="29"/>
      <c r="AA586" s="29"/>
      <c r="AB586" s="29"/>
      <c r="AC586" s="29"/>
      <c r="AD586" s="207"/>
    </row>
    <row r="587" spans="18:30" ht="29.25" customHeight="1" x14ac:dyDescent="0.25">
      <c r="R587" s="29"/>
      <c r="S587" s="29"/>
      <c r="T587" s="29"/>
      <c r="U587" s="29"/>
      <c r="V587" s="29"/>
      <c r="W587" s="29"/>
      <c r="X587" s="29"/>
      <c r="Y587" s="29"/>
      <c r="Z587" s="29"/>
      <c r="AA587" s="29"/>
      <c r="AB587" s="29"/>
      <c r="AC587" s="29"/>
      <c r="AD587" s="207"/>
    </row>
    <row r="588" spans="18:30" ht="29.25" customHeight="1" x14ac:dyDescent="0.25">
      <c r="R588" s="29"/>
      <c r="S588" s="29"/>
      <c r="T588" s="29"/>
      <c r="U588" s="29"/>
      <c r="V588" s="29"/>
      <c r="W588" s="29"/>
      <c r="X588" s="29"/>
      <c r="Y588" s="29"/>
      <c r="Z588" s="29"/>
      <c r="AA588" s="29"/>
      <c r="AB588" s="29"/>
      <c r="AC588" s="29"/>
      <c r="AD588" s="207"/>
    </row>
    <row r="589" spans="18:30" ht="29.25" customHeight="1" x14ac:dyDescent="0.25">
      <c r="R589" s="29"/>
      <c r="S589" s="29"/>
      <c r="T589" s="29"/>
      <c r="U589" s="29"/>
      <c r="V589" s="29"/>
      <c r="W589" s="29"/>
      <c r="X589" s="29"/>
      <c r="Y589" s="29"/>
      <c r="Z589" s="29"/>
      <c r="AA589" s="29"/>
      <c r="AB589" s="29"/>
      <c r="AC589" s="29"/>
      <c r="AD589" s="207"/>
    </row>
    <row r="590" spans="18:30" ht="29.25" customHeight="1" x14ac:dyDescent="0.25">
      <c r="R590" s="29"/>
      <c r="S590" s="29"/>
      <c r="T590" s="29"/>
      <c r="U590" s="29"/>
      <c r="V590" s="29"/>
      <c r="W590" s="29"/>
      <c r="X590" s="29"/>
      <c r="Y590" s="29"/>
      <c r="Z590" s="29"/>
      <c r="AA590" s="29"/>
      <c r="AB590" s="29"/>
      <c r="AC590" s="29"/>
      <c r="AD590" s="207"/>
    </row>
    <row r="591" spans="18:30" ht="29.25" customHeight="1" x14ac:dyDescent="0.25">
      <c r="R591" s="29"/>
      <c r="S591" s="29"/>
      <c r="T591" s="29"/>
      <c r="U591" s="29"/>
      <c r="V591" s="29"/>
      <c r="W591" s="29"/>
      <c r="X591" s="29"/>
      <c r="Y591" s="29"/>
      <c r="Z591" s="29"/>
      <c r="AA591" s="29"/>
      <c r="AB591" s="29"/>
      <c r="AC591" s="29"/>
      <c r="AD591" s="207"/>
    </row>
    <row r="592" spans="18:30" ht="29.25" customHeight="1" x14ac:dyDescent="0.25">
      <c r="R592" s="29"/>
      <c r="S592" s="29"/>
      <c r="T592" s="29"/>
      <c r="U592" s="29"/>
      <c r="V592" s="29"/>
      <c r="W592" s="29"/>
      <c r="X592" s="29"/>
      <c r="Y592" s="29"/>
      <c r="Z592" s="29"/>
      <c r="AA592" s="29"/>
      <c r="AB592" s="29"/>
      <c r="AC592" s="29"/>
      <c r="AD592" s="207"/>
    </row>
    <row r="593" spans="18:30" ht="29.25" customHeight="1" x14ac:dyDescent="0.25">
      <c r="R593" s="29"/>
      <c r="S593" s="29"/>
      <c r="T593" s="29"/>
      <c r="U593" s="29"/>
      <c r="V593" s="29"/>
      <c r="W593" s="29"/>
      <c r="X593" s="29"/>
      <c r="Y593" s="29"/>
      <c r="Z593" s="29"/>
      <c r="AA593" s="29"/>
      <c r="AB593" s="29"/>
      <c r="AC593" s="29"/>
      <c r="AD593" s="207"/>
    </row>
    <row r="594" spans="18:30" ht="29.25" customHeight="1" x14ac:dyDescent="0.25">
      <c r="R594" s="29"/>
      <c r="S594" s="29"/>
      <c r="T594" s="29"/>
      <c r="U594" s="29"/>
      <c r="V594" s="29"/>
      <c r="W594" s="29"/>
      <c r="X594" s="29"/>
      <c r="Y594" s="29"/>
      <c r="Z594" s="29"/>
      <c r="AA594" s="29"/>
      <c r="AB594" s="29"/>
      <c r="AC594" s="29"/>
      <c r="AD594" s="207"/>
    </row>
    <row r="595" spans="18:30" ht="29.25" customHeight="1" x14ac:dyDescent="0.25">
      <c r="R595" s="29"/>
      <c r="S595" s="29"/>
      <c r="T595" s="29"/>
      <c r="U595" s="29"/>
      <c r="V595" s="29"/>
      <c r="W595" s="29"/>
      <c r="X595" s="29"/>
      <c r="Y595" s="29"/>
      <c r="Z595" s="29"/>
      <c r="AA595" s="29"/>
      <c r="AB595" s="29"/>
      <c r="AC595" s="29"/>
      <c r="AD595" s="207"/>
    </row>
    <row r="596" spans="18:30" ht="29.25" customHeight="1" x14ac:dyDescent="0.25">
      <c r="R596" s="29"/>
      <c r="S596" s="29"/>
      <c r="T596" s="29"/>
      <c r="U596" s="29"/>
      <c r="V596" s="29"/>
      <c r="W596" s="29"/>
      <c r="X596" s="29"/>
      <c r="Y596" s="29"/>
      <c r="Z596" s="29"/>
      <c r="AA596" s="29"/>
      <c r="AB596" s="29"/>
      <c r="AC596" s="29"/>
      <c r="AD596" s="207"/>
    </row>
    <row r="597" spans="18:30" ht="29.25" customHeight="1" x14ac:dyDescent="0.25">
      <c r="R597" s="29"/>
      <c r="S597" s="29"/>
      <c r="T597" s="29"/>
      <c r="U597" s="29"/>
      <c r="V597" s="29"/>
      <c r="W597" s="29"/>
      <c r="X597" s="29"/>
      <c r="Y597" s="29"/>
      <c r="Z597" s="29"/>
      <c r="AA597" s="29"/>
      <c r="AB597" s="29"/>
      <c r="AC597" s="29"/>
      <c r="AD597" s="207"/>
    </row>
    <row r="598" spans="18:30" ht="29.25" customHeight="1" x14ac:dyDescent="0.25">
      <c r="R598" s="29"/>
      <c r="S598" s="29"/>
      <c r="T598" s="29"/>
      <c r="U598" s="29"/>
      <c r="V598" s="29"/>
      <c r="W598" s="29"/>
      <c r="X598" s="29"/>
      <c r="Y598" s="29"/>
      <c r="Z598" s="29"/>
      <c r="AA598" s="29"/>
      <c r="AB598" s="29"/>
      <c r="AC598" s="29"/>
      <c r="AD598" s="207"/>
    </row>
    <row r="599" spans="18:30" ht="29.25" customHeight="1" x14ac:dyDescent="0.25">
      <c r="R599" s="29"/>
      <c r="S599" s="29"/>
      <c r="T599" s="29"/>
      <c r="U599" s="29"/>
      <c r="V599" s="29"/>
      <c r="W599" s="29"/>
      <c r="X599" s="29"/>
      <c r="Y599" s="29"/>
      <c r="Z599" s="29"/>
      <c r="AA599" s="29"/>
      <c r="AB599" s="29"/>
      <c r="AC599" s="29"/>
      <c r="AD599" s="207"/>
    </row>
    <row r="600" spans="18:30" ht="29.25" customHeight="1" x14ac:dyDescent="0.25">
      <c r="R600" s="29"/>
      <c r="S600" s="29"/>
      <c r="T600" s="29"/>
      <c r="U600" s="29"/>
      <c r="V600" s="29"/>
      <c r="W600" s="29"/>
      <c r="X600" s="29"/>
      <c r="Y600" s="29"/>
      <c r="Z600" s="29"/>
      <c r="AA600" s="29"/>
      <c r="AB600" s="29"/>
      <c r="AC600" s="29"/>
      <c r="AD600" s="207"/>
    </row>
    <row r="601" spans="18:30" ht="29.25" customHeight="1" x14ac:dyDescent="0.25">
      <c r="R601" s="29"/>
      <c r="S601" s="29"/>
      <c r="T601" s="29"/>
      <c r="U601" s="29"/>
      <c r="V601" s="29"/>
      <c r="W601" s="29"/>
      <c r="X601" s="29"/>
      <c r="Y601" s="29"/>
      <c r="Z601" s="29"/>
      <c r="AA601" s="29"/>
      <c r="AB601" s="29"/>
      <c r="AC601" s="29"/>
      <c r="AD601" s="207"/>
    </row>
    <row r="602" spans="18:30" ht="29.25" customHeight="1" x14ac:dyDescent="0.25">
      <c r="R602" s="29"/>
      <c r="S602" s="29"/>
      <c r="T602" s="29"/>
      <c r="U602" s="29"/>
      <c r="V602" s="29"/>
      <c r="W602" s="29"/>
      <c r="X602" s="29"/>
      <c r="Y602" s="29"/>
      <c r="Z602" s="29"/>
      <c r="AA602" s="29"/>
      <c r="AB602" s="29"/>
      <c r="AC602" s="29"/>
      <c r="AD602" s="207"/>
    </row>
    <row r="603" spans="18:30" ht="29.25" customHeight="1" x14ac:dyDescent="0.25">
      <c r="R603" s="29"/>
      <c r="S603" s="29"/>
      <c r="T603" s="29"/>
      <c r="U603" s="29"/>
      <c r="V603" s="29"/>
      <c r="W603" s="29"/>
      <c r="X603" s="29"/>
      <c r="Y603" s="29"/>
      <c r="Z603" s="29"/>
      <c r="AA603" s="29"/>
      <c r="AB603" s="29"/>
      <c r="AC603" s="29"/>
      <c r="AD603" s="207"/>
    </row>
    <row r="604" spans="18:30" ht="29.25" customHeight="1" x14ac:dyDescent="0.25">
      <c r="R604" s="29"/>
      <c r="S604" s="29"/>
      <c r="T604" s="29"/>
      <c r="U604" s="29"/>
      <c r="V604" s="29"/>
      <c r="W604" s="29"/>
      <c r="X604" s="29"/>
      <c r="Y604" s="29"/>
      <c r="Z604" s="29"/>
      <c r="AA604" s="29"/>
      <c r="AB604" s="29"/>
      <c r="AC604" s="29"/>
      <c r="AD604" s="207"/>
    </row>
    <row r="605" spans="18:30" ht="29.25" customHeight="1" x14ac:dyDescent="0.25">
      <c r="R605" s="29"/>
      <c r="S605" s="29"/>
      <c r="T605" s="29"/>
      <c r="U605" s="29"/>
      <c r="V605" s="29"/>
      <c r="W605" s="29"/>
      <c r="X605" s="29"/>
      <c r="Y605" s="29"/>
      <c r="Z605" s="29"/>
      <c r="AA605" s="29"/>
      <c r="AB605" s="29"/>
      <c r="AC605" s="29"/>
      <c r="AD605" s="207"/>
    </row>
    <row r="606" spans="18:30" ht="29.25" customHeight="1" x14ac:dyDescent="0.25">
      <c r="R606" s="29"/>
      <c r="S606" s="29"/>
      <c r="T606" s="29"/>
      <c r="U606" s="29"/>
      <c r="V606" s="29"/>
      <c r="W606" s="29"/>
      <c r="X606" s="29"/>
      <c r="Y606" s="29"/>
      <c r="Z606" s="29"/>
      <c r="AA606" s="29"/>
      <c r="AB606" s="29"/>
      <c r="AC606" s="29"/>
      <c r="AD606" s="207"/>
    </row>
    <row r="607" spans="18:30" ht="29.25" customHeight="1" x14ac:dyDescent="0.25">
      <c r="R607" s="29"/>
      <c r="S607" s="29"/>
      <c r="T607" s="29"/>
      <c r="U607" s="29"/>
      <c r="V607" s="29"/>
      <c r="W607" s="29"/>
      <c r="X607" s="29"/>
      <c r="Y607" s="29"/>
      <c r="Z607" s="29"/>
      <c r="AA607" s="29"/>
      <c r="AB607" s="29"/>
      <c r="AC607" s="29"/>
      <c r="AD607" s="207"/>
    </row>
    <row r="608" spans="18:30" ht="29.25" customHeight="1" x14ac:dyDescent="0.25">
      <c r="R608" s="29"/>
      <c r="S608" s="29"/>
      <c r="T608" s="29"/>
      <c r="U608" s="29"/>
      <c r="V608" s="29"/>
      <c r="W608" s="29"/>
      <c r="X608" s="29"/>
      <c r="Y608" s="29"/>
      <c r="Z608" s="29"/>
      <c r="AA608" s="29"/>
      <c r="AB608" s="29"/>
      <c r="AC608" s="29"/>
      <c r="AD608" s="207"/>
    </row>
    <row r="609" spans="18:30" ht="29.25" customHeight="1" x14ac:dyDescent="0.25">
      <c r="R609" s="29"/>
      <c r="S609" s="29"/>
      <c r="T609" s="29"/>
      <c r="U609" s="29"/>
      <c r="V609" s="29"/>
      <c r="W609" s="29"/>
      <c r="X609" s="29"/>
      <c r="Y609" s="29"/>
      <c r="Z609" s="29"/>
      <c r="AA609" s="29"/>
      <c r="AB609" s="29"/>
      <c r="AC609" s="29"/>
      <c r="AD609" s="207"/>
    </row>
    <row r="610" spans="18:30" ht="29.25" customHeight="1" x14ac:dyDescent="0.25">
      <c r="R610" s="29"/>
      <c r="S610" s="29"/>
      <c r="T610" s="29"/>
      <c r="U610" s="29"/>
      <c r="V610" s="29"/>
      <c r="W610" s="29"/>
      <c r="X610" s="29"/>
      <c r="Y610" s="29"/>
      <c r="Z610" s="29"/>
      <c r="AA610" s="29"/>
      <c r="AB610" s="29"/>
      <c r="AC610" s="29"/>
      <c r="AD610" s="207"/>
    </row>
    <row r="611" spans="18:30" ht="29.25" customHeight="1" x14ac:dyDescent="0.25">
      <c r="R611" s="29"/>
      <c r="S611" s="29"/>
      <c r="T611" s="29"/>
      <c r="U611" s="29"/>
      <c r="V611" s="29"/>
      <c r="W611" s="29"/>
      <c r="X611" s="29"/>
      <c r="Y611" s="29"/>
      <c r="Z611" s="29"/>
      <c r="AA611" s="29"/>
      <c r="AB611" s="29"/>
      <c r="AC611" s="29"/>
      <c r="AD611" s="207"/>
    </row>
    <row r="612" spans="18:30" ht="29.25" customHeight="1" x14ac:dyDescent="0.25">
      <c r="R612" s="29"/>
      <c r="S612" s="29"/>
      <c r="T612" s="29"/>
      <c r="U612" s="29"/>
      <c r="V612" s="29"/>
      <c r="W612" s="29"/>
      <c r="X612" s="29"/>
      <c r="Y612" s="29"/>
      <c r="Z612" s="29"/>
      <c r="AA612" s="29"/>
      <c r="AB612" s="29"/>
      <c r="AC612" s="29"/>
      <c r="AD612" s="207"/>
    </row>
    <row r="613" spans="18:30" ht="29.25" customHeight="1" x14ac:dyDescent="0.25">
      <c r="R613" s="29"/>
      <c r="S613" s="29"/>
      <c r="T613" s="29"/>
      <c r="U613" s="29"/>
      <c r="V613" s="29"/>
      <c r="W613" s="29"/>
      <c r="X613" s="29"/>
      <c r="Y613" s="29"/>
      <c r="Z613" s="29"/>
      <c r="AA613" s="29"/>
      <c r="AB613" s="29"/>
      <c r="AC613" s="29"/>
      <c r="AD613" s="207"/>
    </row>
    <row r="614" spans="18:30" ht="29.25" customHeight="1" x14ac:dyDescent="0.25">
      <c r="R614" s="29"/>
      <c r="S614" s="29"/>
      <c r="T614" s="29"/>
      <c r="U614" s="29"/>
      <c r="V614" s="29"/>
      <c r="W614" s="29"/>
      <c r="X614" s="29"/>
      <c r="Y614" s="29"/>
      <c r="Z614" s="29"/>
      <c r="AA614" s="29"/>
      <c r="AB614" s="29"/>
      <c r="AC614" s="29"/>
      <c r="AD614" s="207"/>
    </row>
    <row r="615" spans="18:30" ht="29.25" customHeight="1" x14ac:dyDescent="0.25">
      <c r="R615" s="29"/>
      <c r="S615" s="29"/>
      <c r="T615" s="29"/>
      <c r="U615" s="29"/>
      <c r="V615" s="29"/>
      <c r="W615" s="29"/>
      <c r="X615" s="29"/>
      <c r="Y615" s="29"/>
      <c r="Z615" s="29"/>
      <c r="AA615" s="29"/>
      <c r="AB615" s="29"/>
      <c r="AC615" s="29"/>
      <c r="AD615" s="207"/>
    </row>
    <row r="616" spans="18:30" ht="29.25" customHeight="1" x14ac:dyDescent="0.25">
      <c r="R616" s="29"/>
      <c r="S616" s="29"/>
      <c r="T616" s="29"/>
      <c r="U616" s="29"/>
      <c r="V616" s="29"/>
      <c r="W616" s="29"/>
      <c r="X616" s="29"/>
      <c r="Y616" s="29"/>
      <c r="Z616" s="29"/>
      <c r="AA616" s="29"/>
      <c r="AB616" s="29"/>
      <c r="AC616" s="29"/>
      <c r="AD616" s="207"/>
    </row>
    <row r="617" spans="18:30" ht="29.25" customHeight="1" x14ac:dyDescent="0.25">
      <c r="R617" s="29"/>
      <c r="S617" s="29"/>
      <c r="T617" s="29"/>
      <c r="U617" s="29"/>
      <c r="V617" s="29"/>
      <c r="W617" s="29"/>
      <c r="X617" s="29"/>
      <c r="Y617" s="29"/>
      <c r="Z617" s="29"/>
      <c r="AA617" s="29"/>
      <c r="AB617" s="29"/>
      <c r="AC617" s="29"/>
      <c r="AD617" s="207"/>
    </row>
    <row r="618" spans="18:30" ht="29.25" customHeight="1" x14ac:dyDescent="0.25">
      <c r="R618" s="29"/>
      <c r="S618" s="29"/>
      <c r="T618" s="29"/>
      <c r="U618" s="29"/>
      <c r="V618" s="29"/>
      <c r="W618" s="29"/>
      <c r="X618" s="29"/>
      <c r="Y618" s="29"/>
      <c r="Z618" s="29"/>
      <c r="AA618" s="29"/>
      <c r="AB618" s="29"/>
      <c r="AC618" s="29"/>
      <c r="AD618" s="207"/>
    </row>
    <row r="619" spans="18:30" ht="29.25" customHeight="1" x14ac:dyDescent="0.25">
      <c r="R619" s="29"/>
      <c r="S619" s="29"/>
      <c r="T619" s="29"/>
      <c r="U619" s="29"/>
      <c r="V619" s="29"/>
      <c r="W619" s="29"/>
      <c r="X619" s="29"/>
      <c r="Y619" s="29"/>
      <c r="Z619" s="29"/>
      <c r="AA619" s="29"/>
      <c r="AB619" s="29"/>
      <c r="AC619" s="29"/>
      <c r="AD619" s="207"/>
    </row>
    <row r="620" spans="18:30" ht="29.25" customHeight="1" x14ac:dyDescent="0.25">
      <c r="R620" s="29"/>
      <c r="S620" s="29"/>
      <c r="T620" s="29"/>
      <c r="U620" s="29"/>
      <c r="V620" s="29"/>
      <c r="W620" s="29"/>
      <c r="X620" s="29"/>
      <c r="Y620" s="29"/>
      <c r="Z620" s="29"/>
      <c r="AA620" s="29"/>
      <c r="AB620" s="29"/>
      <c r="AC620" s="29"/>
      <c r="AD620" s="207"/>
    </row>
    <row r="621" spans="18:30" ht="29.25" customHeight="1" x14ac:dyDescent="0.25">
      <c r="R621" s="29"/>
      <c r="S621" s="29"/>
      <c r="T621" s="29"/>
      <c r="U621" s="29"/>
      <c r="V621" s="29"/>
      <c r="W621" s="29"/>
      <c r="X621" s="29"/>
      <c r="Y621" s="29"/>
      <c r="Z621" s="29"/>
      <c r="AA621" s="29"/>
      <c r="AB621" s="29"/>
      <c r="AC621" s="29"/>
      <c r="AD621" s="207"/>
    </row>
    <row r="622" spans="18:30" ht="29.25" customHeight="1" x14ac:dyDescent="0.25">
      <c r="R622" s="29"/>
      <c r="S622" s="29"/>
      <c r="T622" s="29"/>
      <c r="U622" s="29"/>
      <c r="V622" s="29"/>
      <c r="W622" s="29"/>
      <c r="X622" s="29"/>
      <c r="Y622" s="29"/>
      <c r="Z622" s="29"/>
      <c r="AA622" s="29"/>
      <c r="AB622" s="29"/>
      <c r="AC622" s="29"/>
      <c r="AD622" s="207"/>
    </row>
    <row r="623" spans="18:30" ht="29.25" customHeight="1" x14ac:dyDescent="0.25">
      <c r="R623" s="29"/>
      <c r="S623" s="29"/>
      <c r="T623" s="29"/>
      <c r="U623" s="29"/>
      <c r="V623" s="29"/>
      <c r="W623" s="29"/>
      <c r="X623" s="29"/>
      <c r="Y623" s="29"/>
      <c r="Z623" s="29"/>
      <c r="AA623" s="29"/>
      <c r="AB623" s="29"/>
      <c r="AC623" s="29"/>
      <c r="AD623" s="207"/>
    </row>
    <row r="624" spans="18:30" ht="29.25" customHeight="1" x14ac:dyDescent="0.25">
      <c r="R624" s="29"/>
      <c r="S624" s="29"/>
      <c r="T624" s="29"/>
      <c r="U624" s="29"/>
      <c r="V624" s="29"/>
      <c r="W624" s="29"/>
      <c r="X624" s="29"/>
      <c r="Y624" s="29"/>
      <c r="Z624" s="29"/>
      <c r="AA624" s="29"/>
      <c r="AB624" s="29"/>
      <c r="AC624" s="29"/>
      <c r="AD624" s="207"/>
    </row>
    <row r="625" spans="18:30" ht="29.25" customHeight="1" x14ac:dyDescent="0.25">
      <c r="R625" s="29"/>
      <c r="S625" s="29"/>
      <c r="T625" s="29"/>
      <c r="U625" s="29"/>
      <c r="V625" s="29"/>
      <c r="W625" s="29"/>
      <c r="X625" s="29"/>
      <c r="Y625" s="29"/>
      <c r="Z625" s="29"/>
      <c r="AA625" s="29"/>
      <c r="AB625" s="29"/>
      <c r="AC625" s="29"/>
      <c r="AD625" s="207"/>
    </row>
    <row r="626" spans="18:30" ht="29.25" customHeight="1" x14ac:dyDescent="0.25">
      <c r="R626" s="29"/>
      <c r="S626" s="29"/>
      <c r="T626" s="29"/>
      <c r="U626" s="29"/>
      <c r="V626" s="29"/>
      <c r="W626" s="29"/>
      <c r="X626" s="29"/>
      <c r="Y626" s="29"/>
      <c r="Z626" s="29"/>
      <c r="AA626" s="29"/>
      <c r="AB626" s="29"/>
      <c r="AC626" s="29"/>
      <c r="AD626" s="207"/>
    </row>
    <row r="627" spans="18:30" ht="29.25" customHeight="1" x14ac:dyDescent="0.25">
      <c r="R627" s="29"/>
      <c r="S627" s="29"/>
      <c r="T627" s="29"/>
      <c r="U627" s="29"/>
      <c r="V627" s="29"/>
      <c r="W627" s="29"/>
      <c r="X627" s="29"/>
      <c r="Y627" s="29"/>
      <c r="Z627" s="29"/>
      <c r="AA627" s="29"/>
      <c r="AB627" s="29"/>
      <c r="AC627" s="29"/>
      <c r="AD627" s="207"/>
    </row>
    <row r="628" spans="18:30" ht="29.25" customHeight="1" x14ac:dyDescent="0.25">
      <c r="R628" s="29"/>
      <c r="S628" s="29"/>
      <c r="T628" s="29"/>
      <c r="U628" s="29"/>
      <c r="V628" s="29"/>
      <c r="W628" s="29"/>
      <c r="X628" s="29"/>
      <c r="Y628" s="29"/>
      <c r="Z628" s="29"/>
      <c r="AA628" s="29"/>
      <c r="AB628" s="29"/>
      <c r="AC628" s="29"/>
      <c r="AD628" s="207"/>
    </row>
    <row r="629" spans="18:30" ht="29.25" customHeight="1" x14ac:dyDescent="0.25">
      <c r="R629" s="29"/>
      <c r="S629" s="29"/>
      <c r="T629" s="29"/>
      <c r="U629" s="29"/>
      <c r="V629" s="29"/>
      <c r="W629" s="29"/>
      <c r="X629" s="29"/>
      <c r="Y629" s="29"/>
      <c r="Z629" s="29"/>
      <c r="AA629" s="29"/>
      <c r="AB629" s="29"/>
      <c r="AC629" s="29"/>
      <c r="AD629" s="207"/>
    </row>
    <row r="630" spans="18:30" ht="29.25" customHeight="1" x14ac:dyDescent="0.25">
      <c r="R630" s="29"/>
      <c r="S630" s="29"/>
      <c r="T630" s="29"/>
      <c r="U630" s="29"/>
      <c r="V630" s="29"/>
      <c r="W630" s="29"/>
      <c r="X630" s="29"/>
      <c r="Y630" s="29"/>
      <c r="Z630" s="29"/>
      <c r="AA630" s="29"/>
      <c r="AB630" s="29"/>
      <c r="AC630" s="29"/>
      <c r="AD630" s="207"/>
    </row>
    <row r="631" spans="18:30" ht="29.25" customHeight="1" x14ac:dyDescent="0.25">
      <c r="R631" s="29"/>
      <c r="S631" s="29"/>
      <c r="T631" s="29"/>
      <c r="U631" s="29"/>
      <c r="V631" s="29"/>
      <c r="W631" s="29"/>
      <c r="X631" s="29"/>
      <c r="Y631" s="29"/>
      <c r="Z631" s="29"/>
      <c r="AA631" s="29"/>
      <c r="AB631" s="29"/>
      <c r="AC631" s="29"/>
      <c r="AD631" s="207"/>
    </row>
    <row r="632" spans="18:30" ht="29.25" customHeight="1" x14ac:dyDescent="0.25">
      <c r="R632" s="29"/>
      <c r="S632" s="29"/>
      <c r="T632" s="29"/>
      <c r="U632" s="29"/>
      <c r="V632" s="29"/>
      <c r="W632" s="29"/>
      <c r="X632" s="29"/>
      <c r="Y632" s="29"/>
      <c r="Z632" s="29"/>
      <c r="AA632" s="29"/>
      <c r="AB632" s="29"/>
      <c r="AC632" s="29"/>
      <c r="AD632" s="207"/>
    </row>
    <row r="633" spans="18:30" ht="29.25" customHeight="1" x14ac:dyDescent="0.25">
      <c r="R633" s="29"/>
      <c r="S633" s="29"/>
      <c r="T633" s="29"/>
      <c r="U633" s="29"/>
      <c r="V633" s="29"/>
      <c r="W633" s="29"/>
      <c r="X633" s="29"/>
      <c r="Y633" s="29"/>
      <c r="Z633" s="29"/>
      <c r="AA633" s="29"/>
      <c r="AB633" s="29"/>
      <c r="AC633" s="29"/>
      <c r="AD633" s="207"/>
    </row>
    <row r="634" spans="18:30" ht="29.25" customHeight="1" x14ac:dyDescent="0.25">
      <c r="R634" s="29"/>
      <c r="S634" s="29"/>
      <c r="T634" s="29"/>
      <c r="U634" s="29"/>
      <c r="V634" s="29"/>
      <c r="W634" s="29"/>
      <c r="X634" s="29"/>
      <c r="Y634" s="29"/>
      <c r="Z634" s="29"/>
      <c r="AA634" s="29"/>
      <c r="AB634" s="29"/>
      <c r="AC634" s="29"/>
      <c r="AD634" s="207"/>
    </row>
    <row r="635" spans="18:30" ht="29.25" customHeight="1" x14ac:dyDescent="0.25">
      <c r="R635" s="29"/>
      <c r="S635" s="29"/>
      <c r="T635" s="29"/>
      <c r="U635" s="29"/>
      <c r="V635" s="29"/>
      <c r="W635" s="29"/>
      <c r="X635" s="29"/>
      <c r="Y635" s="29"/>
      <c r="Z635" s="29"/>
      <c r="AA635" s="29"/>
      <c r="AB635" s="29"/>
      <c r="AC635" s="29"/>
      <c r="AD635" s="207"/>
    </row>
    <row r="636" spans="18:30" ht="29.25" customHeight="1" x14ac:dyDescent="0.25">
      <c r="R636" s="29"/>
      <c r="S636" s="29"/>
      <c r="T636" s="29"/>
      <c r="U636" s="29"/>
      <c r="V636" s="29"/>
      <c r="W636" s="29"/>
      <c r="X636" s="29"/>
      <c r="Y636" s="29"/>
      <c r="Z636" s="29"/>
      <c r="AA636" s="29"/>
      <c r="AB636" s="29"/>
      <c r="AC636" s="29"/>
      <c r="AD636" s="207"/>
    </row>
    <row r="637" spans="18:30" ht="29.25" customHeight="1" x14ac:dyDescent="0.25">
      <c r="R637" s="29"/>
      <c r="S637" s="29"/>
      <c r="T637" s="29"/>
      <c r="U637" s="29"/>
      <c r="V637" s="29"/>
      <c r="W637" s="29"/>
      <c r="X637" s="29"/>
      <c r="Y637" s="29"/>
      <c r="Z637" s="29"/>
      <c r="AA637" s="29"/>
      <c r="AB637" s="29"/>
      <c r="AC637" s="29"/>
      <c r="AD637" s="207"/>
    </row>
    <row r="638" spans="18:30" ht="29.25" customHeight="1" x14ac:dyDescent="0.25">
      <c r="R638" s="29"/>
      <c r="S638" s="29"/>
      <c r="T638" s="29"/>
      <c r="U638" s="29"/>
      <c r="V638" s="29"/>
      <c r="W638" s="29"/>
      <c r="X638" s="29"/>
      <c r="Y638" s="29"/>
      <c r="Z638" s="29"/>
      <c r="AA638" s="29"/>
      <c r="AB638" s="29"/>
      <c r="AC638" s="29"/>
      <c r="AD638" s="207"/>
    </row>
    <row r="639" spans="18:30" ht="29.25" customHeight="1" x14ac:dyDescent="0.25">
      <c r="R639" s="29"/>
      <c r="S639" s="29"/>
      <c r="T639" s="29"/>
      <c r="U639" s="29"/>
      <c r="V639" s="29"/>
      <c r="W639" s="29"/>
      <c r="X639" s="29"/>
      <c r="Y639" s="29"/>
      <c r="Z639" s="29"/>
      <c r="AA639" s="29"/>
      <c r="AB639" s="29"/>
      <c r="AC639" s="29"/>
      <c r="AD639" s="207"/>
    </row>
    <row r="640" spans="18:30" ht="29.25" customHeight="1" x14ac:dyDescent="0.25">
      <c r="R640" s="29"/>
      <c r="S640" s="29"/>
      <c r="T640" s="29"/>
      <c r="U640" s="29"/>
      <c r="V640" s="29"/>
      <c r="W640" s="29"/>
      <c r="X640" s="29"/>
      <c r="Y640" s="29"/>
      <c r="Z640" s="29"/>
      <c r="AA640" s="29"/>
      <c r="AB640" s="29"/>
      <c r="AC640" s="29"/>
      <c r="AD640" s="207"/>
    </row>
    <row r="641" spans="18:30" ht="29.25" customHeight="1" x14ac:dyDescent="0.25">
      <c r="R641" s="29"/>
      <c r="S641" s="29"/>
      <c r="T641" s="29"/>
      <c r="U641" s="29"/>
      <c r="V641" s="29"/>
      <c r="W641" s="29"/>
      <c r="X641" s="29"/>
      <c r="Y641" s="29"/>
      <c r="Z641" s="29"/>
      <c r="AA641" s="29"/>
      <c r="AB641" s="29"/>
      <c r="AC641" s="29"/>
      <c r="AD641" s="207"/>
    </row>
    <row r="642" spans="18:30" ht="29.25" customHeight="1" x14ac:dyDescent="0.25">
      <c r="R642" s="29"/>
      <c r="S642" s="29"/>
      <c r="T642" s="29"/>
      <c r="U642" s="29"/>
      <c r="V642" s="29"/>
      <c r="W642" s="29"/>
      <c r="X642" s="29"/>
      <c r="Y642" s="29"/>
      <c r="Z642" s="29"/>
      <c r="AA642" s="29"/>
      <c r="AB642" s="29"/>
      <c r="AC642" s="29"/>
      <c r="AD642" s="207"/>
    </row>
    <row r="643" spans="18:30" ht="29.25" customHeight="1" x14ac:dyDescent="0.25">
      <c r="R643" s="29"/>
      <c r="S643" s="29"/>
      <c r="T643" s="29"/>
      <c r="U643" s="29"/>
      <c r="V643" s="29"/>
      <c r="W643" s="29"/>
      <c r="X643" s="29"/>
      <c r="Y643" s="29"/>
      <c r="Z643" s="29"/>
      <c r="AA643" s="29"/>
      <c r="AB643" s="29"/>
      <c r="AC643" s="29"/>
      <c r="AD643" s="207"/>
    </row>
    <row r="644" spans="18:30" ht="29.25" customHeight="1" x14ac:dyDescent="0.25">
      <c r="R644" s="29"/>
      <c r="S644" s="29"/>
      <c r="T644" s="29"/>
      <c r="U644" s="29"/>
      <c r="V644" s="29"/>
      <c r="W644" s="29"/>
      <c r="X644" s="29"/>
      <c r="Y644" s="29"/>
      <c r="Z644" s="29"/>
      <c r="AA644" s="29"/>
      <c r="AB644" s="29"/>
      <c r="AC644" s="29"/>
      <c r="AD644" s="207"/>
    </row>
    <row r="645" spans="18:30" ht="29.25" customHeight="1" x14ac:dyDescent="0.25">
      <c r="R645" s="29"/>
      <c r="S645" s="29"/>
      <c r="T645" s="29"/>
      <c r="U645" s="29"/>
      <c r="V645" s="29"/>
      <c r="W645" s="29"/>
      <c r="X645" s="29"/>
      <c r="Y645" s="29"/>
      <c r="Z645" s="29"/>
      <c r="AA645" s="29"/>
      <c r="AB645" s="29"/>
      <c r="AC645" s="29"/>
      <c r="AD645" s="207"/>
    </row>
    <row r="646" spans="18:30" ht="29.25" customHeight="1" x14ac:dyDescent="0.25">
      <c r="R646" s="29"/>
      <c r="S646" s="29"/>
      <c r="T646" s="29"/>
      <c r="U646" s="29"/>
      <c r="V646" s="29"/>
      <c r="W646" s="29"/>
      <c r="X646" s="29"/>
      <c r="Y646" s="29"/>
      <c r="Z646" s="29"/>
      <c r="AA646" s="29"/>
      <c r="AB646" s="29"/>
      <c r="AC646" s="29"/>
      <c r="AD646" s="207"/>
    </row>
    <row r="647" spans="18:30" ht="29.25" customHeight="1" x14ac:dyDescent="0.25">
      <c r="R647" s="29"/>
      <c r="S647" s="29"/>
      <c r="T647" s="29"/>
      <c r="U647" s="29"/>
      <c r="V647" s="29"/>
      <c r="W647" s="29"/>
      <c r="X647" s="29"/>
      <c r="Y647" s="29"/>
      <c r="Z647" s="29"/>
      <c r="AA647" s="29"/>
      <c r="AB647" s="29"/>
      <c r="AC647" s="29"/>
      <c r="AD647" s="207"/>
    </row>
    <row r="648" spans="18:30" ht="29.25" customHeight="1" x14ac:dyDescent="0.25">
      <c r="R648" s="29"/>
      <c r="S648" s="29"/>
      <c r="T648" s="29"/>
      <c r="U648" s="29"/>
      <c r="V648" s="29"/>
      <c r="W648" s="29"/>
      <c r="X648" s="29"/>
      <c r="Y648" s="29"/>
      <c r="Z648" s="29"/>
      <c r="AA648" s="29"/>
      <c r="AB648" s="29"/>
      <c r="AC648" s="29"/>
      <c r="AD648" s="207"/>
    </row>
    <row r="649" spans="18:30" ht="29.25" customHeight="1" x14ac:dyDescent="0.25">
      <c r="R649" s="29"/>
      <c r="S649" s="29"/>
      <c r="T649" s="29"/>
      <c r="U649" s="29"/>
      <c r="V649" s="29"/>
      <c r="W649" s="29"/>
      <c r="X649" s="29"/>
      <c r="Y649" s="29"/>
      <c r="Z649" s="29"/>
      <c r="AA649" s="29"/>
      <c r="AB649" s="29"/>
      <c r="AC649" s="29"/>
      <c r="AD649" s="207"/>
    </row>
    <row r="650" spans="18:30" ht="29.25" customHeight="1" x14ac:dyDescent="0.25">
      <c r="R650" s="29"/>
      <c r="S650" s="29"/>
      <c r="T650" s="29"/>
      <c r="U650" s="29"/>
      <c r="V650" s="29"/>
      <c r="W650" s="29"/>
      <c r="X650" s="29"/>
      <c r="Y650" s="29"/>
      <c r="Z650" s="29"/>
      <c r="AA650" s="29"/>
      <c r="AB650" s="29"/>
      <c r="AC650" s="29"/>
      <c r="AD650" s="207"/>
    </row>
    <row r="651" spans="18:30" ht="29.25" customHeight="1" x14ac:dyDescent="0.25">
      <c r="R651" s="29"/>
      <c r="S651" s="29"/>
      <c r="T651" s="29"/>
      <c r="U651" s="29"/>
      <c r="V651" s="29"/>
      <c r="W651" s="29"/>
      <c r="X651" s="29"/>
      <c r="Y651" s="29"/>
      <c r="Z651" s="29"/>
      <c r="AA651" s="29"/>
      <c r="AB651" s="29"/>
      <c r="AC651" s="29"/>
      <c r="AD651" s="207"/>
    </row>
    <row r="652" spans="18:30" ht="29.25" customHeight="1" x14ac:dyDescent="0.25">
      <c r="R652" s="29"/>
      <c r="S652" s="29"/>
      <c r="T652" s="29"/>
      <c r="U652" s="29"/>
      <c r="V652" s="29"/>
      <c r="W652" s="29"/>
      <c r="X652" s="29"/>
      <c r="Y652" s="29"/>
      <c r="Z652" s="29"/>
      <c r="AA652" s="29"/>
      <c r="AB652" s="29"/>
      <c r="AC652" s="29"/>
      <c r="AD652" s="207"/>
    </row>
    <row r="653" spans="18:30" ht="29.25" customHeight="1" x14ac:dyDescent="0.25">
      <c r="R653" s="29"/>
      <c r="S653" s="29"/>
      <c r="T653" s="29"/>
      <c r="U653" s="29"/>
      <c r="V653" s="29"/>
      <c r="W653" s="29"/>
      <c r="X653" s="29"/>
      <c r="Y653" s="29"/>
      <c r="Z653" s="29"/>
      <c r="AA653" s="29"/>
      <c r="AB653" s="29"/>
      <c r="AC653" s="29"/>
      <c r="AD653" s="207"/>
    </row>
    <row r="654" spans="18:30" ht="29.25" customHeight="1" x14ac:dyDescent="0.25">
      <c r="R654" s="29"/>
      <c r="S654" s="29"/>
      <c r="T654" s="29"/>
      <c r="U654" s="29"/>
      <c r="V654" s="29"/>
      <c r="W654" s="29"/>
      <c r="X654" s="29"/>
      <c r="Y654" s="29"/>
      <c r="Z654" s="29"/>
      <c r="AA654" s="29"/>
      <c r="AB654" s="29"/>
      <c r="AC654" s="29"/>
      <c r="AD654" s="207"/>
    </row>
    <row r="655" spans="18:30" ht="29.25" customHeight="1" x14ac:dyDescent="0.25">
      <c r="R655" s="29"/>
      <c r="S655" s="29"/>
      <c r="T655" s="29"/>
      <c r="U655" s="29"/>
      <c r="V655" s="29"/>
      <c r="W655" s="29"/>
      <c r="X655" s="29"/>
      <c r="Y655" s="29"/>
      <c r="Z655" s="29"/>
      <c r="AA655" s="29"/>
      <c r="AB655" s="29"/>
      <c r="AC655" s="29"/>
      <c r="AD655" s="207"/>
    </row>
    <row r="656" spans="18:30" ht="29.25" customHeight="1" x14ac:dyDescent="0.25">
      <c r="R656" s="29"/>
      <c r="S656" s="29"/>
      <c r="T656" s="29"/>
      <c r="U656" s="29"/>
      <c r="V656" s="29"/>
      <c r="W656" s="29"/>
      <c r="X656" s="29"/>
      <c r="Y656" s="29"/>
      <c r="Z656" s="29"/>
      <c r="AA656" s="29"/>
      <c r="AB656" s="29"/>
      <c r="AC656" s="29"/>
      <c r="AD656" s="207"/>
    </row>
    <row r="657" spans="18:30" ht="29.25" customHeight="1" x14ac:dyDescent="0.25">
      <c r="R657" s="29"/>
      <c r="S657" s="29"/>
      <c r="T657" s="29"/>
      <c r="U657" s="29"/>
      <c r="V657" s="29"/>
      <c r="W657" s="29"/>
      <c r="X657" s="29"/>
      <c r="Y657" s="29"/>
      <c r="Z657" s="29"/>
      <c r="AA657" s="29"/>
      <c r="AB657" s="29"/>
      <c r="AC657" s="29"/>
      <c r="AD657" s="207"/>
    </row>
    <row r="658" spans="18:30" ht="29.25" customHeight="1" x14ac:dyDescent="0.25">
      <c r="R658" s="29"/>
      <c r="S658" s="29"/>
      <c r="T658" s="29"/>
      <c r="U658" s="29"/>
      <c r="V658" s="29"/>
      <c r="W658" s="29"/>
      <c r="X658" s="29"/>
      <c r="Y658" s="29"/>
      <c r="Z658" s="29"/>
      <c r="AA658" s="29"/>
      <c r="AB658" s="29"/>
      <c r="AC658" s="29"/>
      <c r="AD658" s="207"/>
    </row>
    <row r="659" spans="18:30" ht="29.25" customHeight="1" x14ac:dyDescent="0.25">
      <c r="R659" s="29"/>
      <c r="S659" s="29"/>
      <c r="T659" s="29"/>
      <c r="U659" s="29"/>
      <c r="V659" s="29"/>
      <c r="W659" s="29"/>
      <c r="X659" s="29"/>
      <c r="Y659" s="29"/>
      <c r="Z659" s="29"/>
      <c r="AA659" s="29"/>
      <c r="AB659" s="29"/>
      <c r="AC659" s="29"/>
      <c r="AD659" s="207"/>
    </row>
    <row r="660" spans="18:30" ht="29.25" customHeight="1" x14ac:dyDescent="0.25">
      <c r="R660" s="29"/>
      <c r="S660" s="29"/>
      <c r="T660" s="29"/>
      <c r="U660" s="29"/>
      <c r="V660" s="29"/>
      <c r="W660" s="29"/>
      <c r="X660" s="29"/>
      <c r="Y660" s="29"/>
      <c r="Z660" s="29"/>
      <c r="AA660" s="29"/>
      <c r="AB660" s="29"/>
      <c r="AC660" s="29"/>
      <c r="AD660" s="207"/>
    </row>
    <row r="661" spans="18:30" ht="29.25" customHeight="1" x14ac:dyDescent="0.25">
      <c r="R661" s="29"/>
      <c r="S661" s="29"/>
      <c r="T661" s="29"/>
      <c r="U661" s="29"/>
      <c r="V661" s="29"/>
      <c r="W661" s="29"/>
      <c r="X661" s="29"/>
      <c r="Y661" s="29"/>
      <c r="Z661" s="29"/>
      <c r="AA661" s="29"/>
      <c r="AB661" s="29"/>
      <c r="AC661" s="29"/>
      <c r="AD661" s="207"/>
    </row>
    <row r="662" spans="18:30" ht="29.25" customHeight="1" x14ac:dyDescent="0.25">
      <c r="R662" s="29"/>
      <c r="S662" s="29"/>
      <c r="T662" s="29"/>
      <c r="U662" s="29"/>
      <c r="V662" s="29"/>
      <c r="W662" s="29"/>
      <c r="X662" s="29"/>
      <c r="Y662" s="29"/>
      <c r="Z662" s="29"/>
      <c r="AA662" s="29"/>
      <c r="AB662" s="29"/>
      <c r="AC662" s="29"/>
      <c r="AD662" s="207"/>
    </row>
    <row r="663" spans="18:30" ht="29.25" customHeight="1" x14ac:dyDescent="0.25">
      <c r="R663" s="29"/>
      <c r="S663" s="29"/>
      <c r="T663" s="29"/>
      <c r="U663" s="29"/>
      <c r="V663" s="29"/>
      <c r="W663" s="29"/>
      <c r="X663" s="29"/>
      <c r="Y663" s="29"/>
      <c r="Z663" s="29"/>
      <c r="AA663" s="29"/>
      <c r="AB663" s="29"/>
      <c r="AC663" s="29"/>
      <c r="AD663" s="207"/>
    </row>
    <row r="664" spans="18:30" ht="29.25" customHeight="1" x14ac:dyDescent="0.25">
      <c r="R664" s="29"/>
      <c r="S664" s="29"/>
      <c r="T664" s="29"/>
      <c r="U664" s="29"/>
      <c r="V664" s="29"/>
      <c r="W664" s="29"/>
      <c r="X664" s="29"/>
      <c r="Y664" s="29"/>
      <c r="Z664" s="29"/>
      <c r="AA664" s="29"/>
      <c r="AB664" s="29"/>
      <c r="AC664" s="29"/>
      <c r="AD664" s="207"/>
    </row>
    <row r="665" spans="18:30" ht="29.25" customHeight="1" x14ac:dyDescent="0.25">
      <c r="R665" s="29"/>
      <c r="S665" s="29"/>
      <c r="T665" s="29"/>
      <c r="U665" s="29"/>
      <c r="V665" s="29"/>
      <c r="W665" s="29"/>
      <c r="X665" s="29"/>
      <c r="Y665" s="29"/>
      <c r="Z665" s="29"/>
      <c r="AA665" s="29"/>
      <c r="AB665" s="29"/>
      <c r="AC665" s="29"/>
      <c r="AD665" s="207"/>
    </row>
    <row r="666" spans="18:30" ht="29.25" customHeight="1" x14ac:dyDescent="0.25">
      <c r="R666" s="29"/>
      <c r="S666" s="29"/>
      <c r="T666" s="29"/>
      <c r="U666" s="29"/>
      <c r="V666" s="29"/>
      <c r="W666" s="29"/>
      <c r="X666" s="29"/>
      <c r="Y666" s="29"/>
      <c r="Z666" s="29"/>
      <c r="AA666" s="29"/>
      <c r="AB666" s="29"/>
      <c r="AC666" s="29"/>
      <c r="AD666" s="207"/>
    </row>
    <row r="667" spans="18:30" ht="29.25" customHeight="1" x14ac:dyDescent="0.25">
      <c r="R667" s="29"/>
      <c r="S667" s="29"/>
      <c r="T667" s="29"/>
      <c r="U667" s="29"/>
      <c r="V667" s="29"/>
      <c r="W667" s="29"/>
      <c r="X667" s="29"/>
      <c r="Y667" s="29"/>
      <c r="Z667" s="29"/>
      <c r="AA667" s="29"/>
      <c r="AB667" s="29"/>
      <c r="AC667" s="29"/>
      <c r="AD667" s="207"/>
    </row>
    <row r="668" spans="18:30" ht="29.25" customHeight="1" x14ac:dyDescent="0.25">
      <c r="R668" s="29"/>
      <c r="S668" s="29"/>
      <c r="T668" s="29"/>
      <c r="U668" s="29"/>
      <c r="V668" s="29"/>
      <c r="W668" s="29"/>
      <c r="X668" s="29"/>
      <c r="Y668" s="29"/>
      <c r="Z668" s="29"/>
      <c r="AA668" s="29"/>
      <c r="AB668" s="29"/>
      <c r="AC668" s="29"/>
      <c r="AD668" s="207"/>
    </row>
    <row r="669" spans="18:30" ht="29.25" customHeight="1" x14ac:dyDescent="0.25">
      <c r="R669" s="29"/>
      <c r="S669" s="29"/>
      <c r="T669" s="29"/>
      <c r="U669" s="29"/>
      <c r="V669" s="29"/>
      <c r="W669" s="29"/>
      <c r="X669" s="29"/>
      <c r="Y669" s="29"/>
      <c r="Z669" s="29"/>
      <c r="AA669" s="29"/>
      <c r="AB669" s="29"/>
      <c r="AC669" s="29"/>
      <c r="AD669" s="207"/>
    </row>
    <row r="670" spans="18:30" ht="29.25" customHeight="1" x14ac:dyDescent="0.25">
      <c r="R670" s="29"/>
      <c r="S670" s="29"/>
      <c r="T670" s="29"/>
      <c r="U670" s="29"/>
      <c r="V670" s="29"/>
      <c r="W670" s="29"/>
      <c r="X670" s="29"/>
      <c r="Y670" s="29"/>
      <c r="Z670" s="29"/>
      <c r="AA670" s="29"/>
      <c r="AB670" s="29"/>
      <c r="AC670" s="29"/>
      <c r="AD670" s="207"/>
    </row>
    <row r="671" spans="18:30" ht="29.25" customHeight="1" x14ac:dyDescent="0.25">
      <c r="R671" s="29"/>
      <c r="S671" s="29"/>
      <c r="T671" s="29"/>
      <c r="U671" s="29"/>
      <c r="V671" s="29"/>
      <c r="W671" s="29"/>
      <c r="X671" s="29"/>
      <c r="Y671" s="29"/>
      <c r="Z671" s="29"/>
      <c r="AA671" s="29"/>
      <c r="AB671" s="29"/>
      <c r="AC671" s="29"/>
      <c r="AD671" s="207"/>
    </row>
    <row r="672" spans="18:30" ht="29.25" customHeight="1" x14ac:dyDescent="0.25">
      <c r="R672" s="29"/>
      <c r="S672" s="29"/>
      <c r="T672" s="29"/>
      <c r="U672" s="29"/>
      <c r="V672" s="29"/>
      <c r="W672" s="29"/>
      <c r="X672" s="29"/>
      <c r="Y672" s="29"/>
      <c r="Z672" s="29"/>
      <c r="AA672" s="29"/>
      <c r="AB672" s="29"/>
      <c r="AC672" s="29"/>
      <c r="AD672" s="207"/>
    </row>
    <row r="673" spans="18:30" ht="29.25" customHeight="1" x14ac:dyDescent="0.25">
      <c r="R673" s="29"/>
      <c r="S673" s="29"/>
      <c r="T673" s="29"/>
      <c r="U673" s="29"/>
      <c r="V673" s="29"/>
      <c r="W673" s="29"/>
      <c r="X673" s="29"/>
      <c r="Y673" s="29"/>
      <c r="Z673" s="29"/>
      <c r="AA673" s="29"/>
      <c r="AB673" s="29"/>
      <c r="AC673" s="29"/>
      <c r="AD673" s="207"/>
    </row>
    <row r="674" spans="18:30" ht="29.25" customHeight="1" x14ac:dyDescent="0.25">
      <c r="R674" s="29"/>
      <c r="S674" s="29"/>
      <c r="T674" s="29"/>
      <c r="U674" s="29"/>
      <c r="V674" s="29"/>
      <c r="W674" s="29"/>
      <c r="X674" s="29"/>
      <c r="Y674" s="29"/>
      <c r="Z674" s="29"/>
      <c r="AA674" s="29"/>
      <c r="AB674" s="29"/>
      <c r="AC674" s="29"/>
      <c r="AD674" s="207"/>
    </row>
    <row r="675" spans="18:30" ht="29.25" customHeight="1" x14ac:dyDescent="0.25">
      <c r="R675" s="29"/>
      <c r="S675" s="29"/>
      <c r="T675" s="29"/>
      <c r="U675" s="29"/>
      <c r="V675" s="29"/>
      <c r="W675" s="29"/>
      <c r="X675" s="29"/>
      <c r="Y675" s="29"/>
      <c r="Z675" s="29"/>
      <c r="AA675" s="29"/>
      <c r="AB675" s="29"/>
      <c r="AC675" s="29"/>
      <c r="AD675" s="207"/>
    </row>
    <row r="676" spans="18:30" ht="29.25" customHeight="1" x14ac:dyDescent="0.25">
      <c r="R676" s="29"/>
      <c r="S676" s="29"/>
      <c r="T676" s="29"/>
      <c r="U676" s="29"/>
      <c r="V676" s="29"/>
      <c r="W676" s="29"/>
      <c r="X676" s="29"/>
      <c r="Y676" s="29"/>
      <c r="Z676" s="29"/>
      <c r="AA676" s="29"/>
      <c r="AB676" s="29"/>
      <c r="AC676" s="29"/>
      <c r="AD676" s="207"/>
    </row>
    <row r="677" spans="18:30" ht="29.25" customHeight="1" x14ac:dyDescent="0.25">
      <c r="R677" s="29"/>
      <c r="S677" s="29"/>
      <c r="T677" s="29"/>
      <c r="U677" s="29"/>
      <c r="V677" s="29"/>
      <c r="W677" s="29"/>
      <c r="X677" s="29"/>
      <c r="Y677" s="29"/>
      <c r="Z677" s="29"/>
      <c r="AA677" s="29"/>
      <c r="AB677" s="29"/>
      <c r="AC677" s="29"/>
      <c r="AD677" s="207"/>
    </row>
    <row r="678" spans="18:30" ht="29.25" customHeight="1" x14ac:dyDescent="0.25">
      <c r="R678" s="29"/>
      <c r="S678" s="29"/>
      <c r="T678" s="29"/>
      <c r="U678" s="29"/>
      <c r="V678" s="29"/>
      <c r="W678" s="29"/>
      <c r="X678" s="29"/>
      <c r="Y678" s="29"/>
      <c r="Z678" s="29"/>
      <c r="AA678" s="29"/>
      <c r="AB678" s="29"/>
      <c r="AC678" s="29"/>
      <c r="AD678" s="207"/>
    </row>
    <row r="679" spans="18:30" ht="29.25" customHeight="1" x14ac:dyDescent="0.25">
      <c r="R679" s="29"/>
      <c r="S679" s="29"/>
      <c r="T679" s="29"/>
      <c r="U679" s="29"/>
      <c r="V679" s="29"/>
      <c r="W679" s="29"/>
      <c r="X679" s="29"/>
      <c r="Y679" s="29"/>
      <c r="Z679" s="29"/>
      <c r="AA679" s="29"/>
      <c r="AB679" s="29"/>
      <c r="AC679" s="29"/>
      <c r="AD679" s="207"/>
    </row>
    <row r="680" spans="18:30" ht="29.25" customHeight="1" x14ac:dyDescent="0.25">
      <c r="R680" s="29"/>
      <c r="S680" s="29"/>
      <c r="T680" s="29"/>
      <c r="U680" s="29"/>
      <c r="V680" s="29"/>
      <c r="W680" s="29"/>
      <c r="X680" s="29"/>
      <c r="Y680" s="29"/>
      <c r="Z680" s="29"/>
      <c r="AA680" s="29"/>
      <c r="AB680" s="29"/>
      <c r="AC680" s="29"/>
      <c r="AD680" s="207"/>
    </row>
    <row r="681" spans="18:30" ht="29.25" customHeight="1" x14ac:dyDescent="0.25">
      <c r="R681" s="29"/>
      <c r="S681" s="29"/>
      <c r="T681" s="29"/>
      <c r="U681" s="29"/>
      <c r="V681" s="29"/>
      <c r="W681" s="29"/>
      <c r="X681" s="29"/>
      <c r="Y681" s="29"/>
      <c r="Z681" s="29"/>
      <c r="AA681" s="29"/>
      <c r="AB681" s="29"/>
      <c r="AC681" s="29"/>
      <c r="AD681" s="207"/>
    </row>
    <row r="682" spans="18:30" ht="29.25" customHeight="1" x14ac:dyDescent="0.25">
      <c r="R682" s="29"/>
      <c r="S682" s="29"/>
      <c r="T682" s="29"/>
      <c r="U682" s="29"/>
      <c r="V682" s="29"/>
      <c r="W682" s="29"/>
      <c r="X682" s="29"/>
      <c r="Y682" s="29"/>
      <c r="Z682" s="29"/>
      <c r="AA682" s="29"/>
      <c r="AB682" s="29"/>
      <c r="AC682" s="29"/>
      <c r="AD682" s="207"/>
    </row>
    <row r="683" spans="18:30" ht="29.25" customHeight="1" x14ac:dyDescent="0.25">
      <c r="R683" s="29"/>
      <c r="S683" s="29"/>
      <c r="T683" s="29"/>
      <c r="U683" s="29"/>
      <c r="V683" s="29"/>
      <c r="W683" s="29"/>
      <c r="X683" s="29"/>
      <c r="Y683" s="29"/>
      <c r="Z683" s="29"/>
      <c r="AA683" s="29"/>
      <c r="AB683" s="29"/>
      <c r="AC683" s="29"/>
      <c r="AD683" s="207"/>
    </row>
    <row r="684" spans="18:30" ht="29.25" customHeight="1" x14ac:dyDescent="0.25">
      <c r="R684" s="29"/>
      <c r="S684" s="29"/>
      <c r="T684" s="29"/>
      <c r="U684" s="29"/>
      <c r="V684" s="29"/>
      <c r="W684" s="29"/>
      <c r="X684" s="29"/>
      <c r="Y684" s="29"/>
      <c r="Z684" s="29"/>
      <c r="AA684" s="29"/>
      <c r="AB684" s="29"/>
      <c r="AC684" s="29"/>
      <c r="AD684" s="207"/>
    </row>
    <row r="685" spans="18:30" ht="29.25" customHeight="1" x14ac:dyDescent="0.25">
      <c r="R685" s="29"/>
      <c r="S685" s="29"/>
      <c r="T685" s="29"/>
      <c r="U685" s="29"/>
      <c r="V685" s="29"/>
      <c r="W685" s="29"/>
      <c r="X685" s="29"/>
      <c r="Y685" s="29"/>
      <c r="Z685" s="29"/>
      <c r="AA685" s="29"/>
      <c r="AB685" s="29"/>
      <c r="AC685" s="29"/>
      <c r="AD685" s="207"/>
    </row>
    <row r="686" spans="18:30" ht="29.25" customHeight="1" x14ac:dyDescent="0.25">
      <c r="R686" s="29"/>
      <c r="S686" s="29"/>
      <c r="T686" s="29"/>
      <c r="U686" s="29"/>
      <c r="V686" s="29"/>
      <c r="W686" s="29"/>
      <c r="X686" s="29"/>
      <c r="Y686" s="29"/>
      <c r="Z686" s="29"/>
      <c r="AA686" s="29"/>
      <c r="AB686" s="29"/>
      <c r="AC686" s="29"/>
      <c r="AD686" s="207"/>
    </row>
    <row r="687" spans="18:30" ht="29.25" customHeight="1" x14ac:dyDescent="0.25">
      <c r="R687" s="29"/>
      <c r="S687" s="29"/>
      <c r="T687" s="29"/>
      <c r="U687" s="29"/>
      <c r="V687" s="29"/>
      <c r="W687" s="29"/>
      <c r="X687" s="29"/>
      <c r="Y687" s="29"/>
      <c r="Z687" s="29"/>
      <c r="AA687" s="29"/>
      <c r="AB687" s="29"/>
      <c r="AC687" s="29"/>
      <c r="AD687" s="207"/>
    </row>
    <row r="688" spans="18:30" ht="29.25" customHeight="1" x14ac:dyDescent="0.25">
      <c r="R688" s="29"/>
      <c r="S688" s="29"/>
      <c r="T688" s="29"/>
      <c r="U688" s="29"/>
      <c r="V688" s="29"/>
      <c r="W688" s="29"/>
      <c r="X688" s="29"/>
      <c r="Y688" s="29"/>
      <c r="Z688" s="29"/>
      <c r="AA688" s="29"/>
      <c r="AB688" s="29"/>
      <c r="AC688" s="29"/>
      <c r="AD688" s="207"/>
    </row>
    <row r="689" spans="18:30" ht="29.25" customHeight="1" x14ac:dyDescent="0.25">
      <c r="R689" s="29"/>
      <c r="S689" s="29"/>
      <c r="T689" s="29"/>
      <c r="U689" s="29"/>
      <c r="V689" s="29"/>
      <c r="W689" s="29"/>
      <c r="X689" s="29"/>
      <c r="Y689" s="29"/>
      <c r="Z689" s="29"/>
      <c r="AA689" s="29"/>
      <c r="AB689" s="29"/>
      <c r="AC689" s="29"/>
      <c r="AD689" s="207"/>
    </row>
    <row r="690" spans="18:30" ht="29.25" customHeight="1" x14ac:dyDescent="0.25">
      <c r="R690" s="29"/>
      <c r="S690" s="29"/>
      <c r="T690" s="29"/>
      <c r="U690" s="29"/>
      <c r="V690" s="29"/>
      <c r="W690" s="29"/>
      <c r="X690" s="29"/>
      <c r="Y690" s="29"/>
      <c r="Z690" s="29"/>
      <c r="AA690" s="29"/>
      <c r="AB690" s="29"/>
      <c r="AC690" s="29"/>
      <c r="AD690" s="207"/>
    </row>
    <row r="691" spans="18:30" ht="29.25" customHeight="1" x14ac:dyDescent="0.25">
      <c r="R691" s="29"/>
      <c r="S691" s="29"/>
      <c r="T691" s="29"/>
      <c r="U691" s="29"/>
      <c r="V691" s="29"/>
      <c r="W691" s="29"/>
      <c r="X691" s="29"/>
      <c r="Y691" s="29"/>
      <c r="Z691" s="29"/>
      <c r="AA691" s="29"/>
      <c r="AB691" s="29"/>
      <c r="AC691" s="29"/>
      <c r="AD691" s="207"/>
    </row>
    <row r="692" spans="18:30" ht="29.25" customHeight="1" x14ac:dyDescent="0.25">
      <c r="R692" s="29"/>
      <c r="S692" s="29"/>
      <c r="T692" s="29"/>
      <c r="U692" s="29"/>
      <c r="V692" s="29"/>
      <c r="W692" s="29"/>
      <c r="X692" s="29"/>
      <c r="Y692" s="29"/>
      <c r="Z692" s="29"/>
      <c r="AA692" s="29"/>
      <c r="AB692" s="29"/>
      <c r="AC692" s="29"/>
      <c r="AD692" s="207"/>
    </row>
    <row r="693" spans="18:30" ht="29.25" customHeight="1" x14ac:dyDescent="0.25">
      <c r="R693" s="29"/>
      <c r="S693" s="29"/>
      <c r="T693" s="29"/>
      <c r="U693" s="29"/>
      <c r="V693" s="29"/>
      <c r="W693" s="29"/>
      <c r="X693" s="29"/>
      <c r="Y693" s="29"/>
      <c r="Z693" s="29"/>
      <c r="AA693" s="29"/>
      <c r="AB693" s="29"/>
      <c r="AC693" s="29"/>
      <c r="AD693" s="207"/>
    </row>
    <row r="694" spans="18:30" ht="29.25" customHeight="1" x14ac:dyDescent="0.25">
      <c r="R694" s="29"/>
      <c r="S694" s="29"/>
      <c r="T694" s="29"/>
      <c r="U694" s="29"/>
      <c r="V694" s="29"/>
      <c r="W694" s="29"/>
      <c r="X694" s="29"/>
      <c r="Y694" s="29"/>
      <c r="Z694" s="29"/>
      <c r="AA694" s="29"/>
      <c r="AB694" s="29"/>
      <c r="AC694" s="29"/>
      <c r="AD694" s="207"/>
    </row>
    <row r="695" spans="18:30" ht="29.25" customHeight="1" x14ac:dyDescent="0.25">
      <c r="R695" s="29"/>
      <c r="S695" s="29"/>
      <c r="T695" s="29"/>
      <c r="U695" s="29"/>
      <c r="V695" s="29"/>
      <c r="W695" s="29"/>
      <c r="X695" s="29"/>
      <c r="Y695" s="29"/>
      <c r="Z695" s="29"/>
      <c r="AA695" s="29"/>
      <c r="AB695" s="29"/>
      <c r="AC695" s="29"/>
      <c r="AD695" s="207"/>
    </row>
    <row r="696" spans="18:30" ht="29.25" customHeight="1" x14ac:dyDescent="0.25">
      <c r="R696" s="29"/>
      <c r="S696" s="29"/>
      <c r="T696" s="29"/>
      <c r="U696" s="29"/>
      <c r="V696" s="29"/>
      <c r="W696" s="29"/>
      <c r="X696" s="29"/>
      <c r="Y696" s="29"/>
      <c r="Z696" s="29"/>
      <c r="AA696" s="29"/>
      <c r="AB696" s="29"/>
      <c r="AC696" s="29"/>
      <c r="AD696" s="207"/>
    </row>
    <row r="697" spans="18:30" ht="29.25" customHeight="1" x14ac:dyDescent="0.25">
      <c r="R697" s="29"/>
      <c r="S697" s="29"/>
      <c r="T697" s="29"/>
      <c r="U697" s="29"/>
      <c r="V697" s="29"/>
      <c r="W697" s="29"/>
      <c r="X697" s="29"/>
      <c r="Y697" s="29"/>
      <c r="Z697" s="29"/>
      <c r="AA697" s="29"/>
      <c r="AB697" s="29"/>
      <c r="AC697" s="29"/>
      <c r="AD697" s="207"/>
    </row>
    <row r="698" spans="18:30" ht="29.25" customHeight="1" x14ac:dyDescent="0.25">
      <c r="R698" s="29"/>
      <c r="S698" s="29"/>
      <c r="T698" s="29"/>
      <c r="U698" s="29"/>
      <c r="V698" s="29"/>
      <c r="W698" s="29"/>
      <c r="X698" s="29"/>
      <c r="Y698" s="29"/>
      <c r="Z698" s="29"/>
      <c r="AA698" s="29"/>
      <c r="AB698" s="29"/>
      <c r="AC698" s="29"/>
      <c r="AD698" s="207"/>
    </row>
    <row r="699" spans="18:30" ht="29.25" customHeight="1" x14ac:dyDescent="0.25">
      <c r="R699" s="29"/>
      <c r="S699" s="29"/>
      <c r="T699" s="29"/>
      <c r="U699" s="29"/>
      <c r="V699" s="29"/>
      <c r="W699" s="29"/>
      <c r="X699" s="29"/>
      <c r="Y699" s="29"/>
      <c r="Z699" s="29"/>
      <c r="AA699" s="29"/>
      <c r="AB699" s="29"/>
      <c r="AC699" s="29"/>
      <c r="AD699" s="207"/>
    </row>
    <row r="700" spans="18:30" ht="29.25" customHeight="1" x14ac:dyDescent="0.25">
      <c r="R700" s="29"/>
      <c r="S700" s="29"/>
      <c r="T700" s="29"/>
      <c r="U700" s="29"/>
      <c r="V700" s="29"/>
      <c r="W700" s="29"/>
      <c r="X700" s="29"/>
      <c r="Y700" s="29"/>
      <c r="Z700" s="29"/>
      <c r="AA700" s="29"/>
      <c r="AB700" s="29"/>
      <c r="AC700" s="29"/>
      <c r="AD700" s="207"/>
    </row>
    <row r="701" spans="18:30" ht="29.25" customHeight="1" x14ac:dyDescent="0.25">
      <c r="R701" s="29"/>
      <c r="S701" s="29"/>
      <c r="T701" s="29"/>
      <c r="U701" s="29"/>
      <c r="V701" s="29"/>
      <c r="W701" s="29"/>
      <c r="X701" s="29"/>
      <c r="Y701" s="29"/>
      <c r="Z701" s="29"/>
      <c r="AA701" s="29"/>
      <c r="AB701" s="29"/>
      <c r="AC701" s="29"/>
      <c r="AD701" s="207"/>
    </row>
    <row r="702" spans="18:30" ht="29.25" customHeight="1" x14ac:dyDescent="0.25">
      <c r="R702" s="29"/>
      <c r="S702" s="29"/>
      <c r="T702" s="29"/>
      <c r="U702" s="29"/>
      <c r="V702" s="29"/>
      <c r="W702" s="29"/>
      <c r="X702" s="29"/>
      <c r="Y702" s="29"/>
      <c r="Z702" s="29"/>
      <c r="AA702" s="29"/>
      <c r="AB702" s="29"/>
      <c r="AC702" s="29"/>
      <c r="AD702" s="207"/>
    </row>
    <row r="703" spans="18:30" ht="29.25" customHeight="1" x14ac:dyDescent="0.25">
      <c r="R703" s="29"/>
      <c r="S703" s="29"/>
      <c r="T703" s="29"/>
      <c r="U703" s="29"/>
      <c r="V703" s="29"/>
      <c r="W703" s="29"/>
      <c r="X703" s="29"/>
      <c r="Y703" s="29"/>
      <c r="Z703" s="29"/>
      <c r="AA703" s="29"/>
      <c r="AB703" s="29"/>
      <c r="AC703" s="29"/>
      <c r="AD703" s="207"/>
    </row>
    <row r="704" spans="18:30" ht="29.25" customHeight="1" x14ac:dyDescent="0.25">
      <c r="R704" s="29"/>
      <c r="S704" s="29"/>
      <c r="T704" s="29"/>
      <c r="U704" s="29"/>
      <c r="V704" s="29"/>
      <c r="W704" s="29"/>
      <c r="X704" s="29"/>
      <c r="Y704" s="29"/>
      <c r="Z704" s="29"/>
      <c r="AA704" s="29"/>
      <c r="AB704" s="29"/>
      <c r="AC704" s="29"/>
      <c r="AD704" s="207"/>
    </row>
    <row r="705" spans="18:30" ht="29.25" customHeight="1" x14ac:dyDescent="0.25">
      <c r="R705" s="29"/>
      <c r="S705" s="29"/>
      <c r="T705" s="29"/>
      <c r="U705" s="29"/>
      <c r="V705" s="29"/>
      <c r="W705" s="29"/>
      <c r="X705" s="29"/>
      <c r="Y705" s="29"/>
      <c r="Z705" s="29"/>
      <c r="AA705" s="29"/>
      <c r="AB705" s="29"/>
      <c r="AC705" s="29"/>
      <c r="AD705" s="207"/>
    </row>
    <row r="706" spans="18:30" ht="29.25" customHeight="1" x14ac:dyDescent="0.25">
      <c r="R706" s="29"/>
      <c r="S706" s="29"/>
      <c r="T706" s="29"/>
      <c r="U706" s="29"/>
      <c r="V706" s="29"/>
      <c r="W706" s="29"/>
      <c r="X706" s="29"/>
      <c r="Y706" s="29"/>
      <c r="Z706" s="29"/>
      <c r="AA706" s="29"/>
      <c r="AB706" s="29"/>
      <c r="AC706" s="29"/>
      <c r="AD706" s="207"/>
    </row>
    <row r="707" spans="18:30" ht="29.25" customHeight="1" x14ac:dyDescent="0.25">
      <c r="R707" s="29"/>
      <c r="S707" s="29"/>
      <c r="T707" s="29"/>
      <c r="U707" s="29"/>
      <c r="V707" s="29"/>
      <c r="W707" s="29"/>
      <c r="X707" s="29"/>
      <c r="Y707" s="29"/>
      <c r="Z707" s="29"/>
      <c r="AA707" s="29"/>
      <c r="AB707" s="29"/>
      <c r="AC707" s="29"/>
      <c r="AD707" s="207"/>
    </row>
    <row r="708" spans="18:30" ht="29.25" customHeight="1" x14ac:dyDescent="0.25">
      <c r="R708" s="29"/>
      <c r="S708" s="29"/>
      <c r="T708" s="29"/>
      <c r="U708" s="29"/>
      <c r="V708" s="29"/>
      <c r="W708" s="29"/>
      <c r="X708" s="29"/>
      <c r="Y708" s="29"/>
      <c r="Z708" s="29"/>
      <c r="AA708" s="29"/>
      <c r="AB708" s="29"/>
      <c r="AC708" s="29"/>
      <c r="AD708" s="207"/>
    </row>
    <row r="709" spans="18:30" ht="29.25" customHeight="1" x14ac:dyDescent="0.25">
      <c r="R709" s="29"/>
      <c r="S709" s="29"/>
      <c r="T709" s="29"/>
      <c r="U709" s="29"/>
      <c r="V709" s="29"/>
      <c r="W709" s="29"/>
      <c r="X709" s="29"/>
      <c r="Y709" s="29"/>
      <c r="Z709" s="29"/>
      <c r="AA709" s="29"/>
      <c r="AB709" s="29"/>
      <c r="AC709" s="29"/>
      <c r="AD709" s="207"/>
    </row>
    <row r="710" spans="18:30" ht="29.25" customHeight="1" x14ac:dyDescent="0.25">
      <c r="R710" s="29"/>
      <c r="S710" s="29"/>
      <c r="T710" s="29"/>
      <c r="U710" s="29"/>
      <c r="V710" s="29"/>
      <c r="W710" s="29"/>
      <c r="X710" s="29"/>
      <c r="Y710" s="29"/>
      <c r="Z710" s="29"/>
      <c r="AA710" s="29"/>
      <c r="AB710" s="29"/>
      <c r="AC710" s="29"/>
      <c r="AD710" s="207"/>
    </row>
    <row r="711" spans="18:30" ht="29.25" customHeight="1" x14ac:dyDescent="0.25">
      <c r="R711" s="29"/>
      <c r="S711" s="29"/>
      <c r="T711" s="29"/>
      <c r="U711" s="29"/>
      <c r="V711" s="29"/>
      <c r="W711" s="29"/>
      <c r="X711" s="29"/>
      <c r="Y711" s="29"/>
      <c r="Z711" s="29"/>
      <c r="AA711" s="29"/>
      <c r="AB711" s="29"/>
      <c r="AC711" s="29"/>
      <c r="AD711" s="207"/>
    </row>
    <row r="712" spans="18:30" ht="29.25" customHeight="1" x14ac:dyDescent="0.25">
      <c r="R712" s="29"/>
      <c r="S712" s="29"/>
      <c r="T712" s="29"/>
      <c r="U712" s="29"/>
      <c r="V712" s="29"/>
      <c r="W712" s="29"/>
      <c r="X712" s="29"/>
      <c r="Y712" s="29"/>
      <c r="Z712" s="29"/>
      <c r="AA712" s="29"/>
      <c r="AB712" s="29"/>
      <c r="AC712" s="29"/>
      <c r="AD712" s="207"/>
    </row>
    <row r="713" spans="18:30" ht="29.25" customHeight="1" x14ac:dyDescent="0.25">
      <c r="R713" s="29"/>
      <c r="S713" s="29"/>
      <c r="T713" s="29"/>
      <c r="U713" s="29"/>
      <c r="V713" s="29"/>
      <c r="W713" s="29"/>
      <c r="X713" s="29"/>
      <c r="Y713" s="29"/>
      <c r="Z713" s="29"/>
      <c r="AA713" s="29"/>
      <c r="AB713" s="29"/>
      <c r="AC713" s="29"/>
      <c r="AD713" s="207"/>
    </row>
    <row r="714" spans="18:30" ht="29.25" customHeight="1" x14ac:dyDescent="0.25">
      <c r="R714" s="29"/>
      <c r="S714" s="29"/>
      <c r="T714" s="29"/>
      <c r="U714" s="29"/>
      <c r="V714" s="29"/>
      <c r="W714" s="29"/>
      <c r="X714" s="29"/>
      <c r="Y714" s="29"/>
      <c r="Z714" s="29"/>
      <c r="AA714" s="29"/>
      <c r="AB714" s="29"/>
      <c r="AC714" s="29"/>
      <c r="AD714" s="207"/>
    </row>
    <row r="715" spans="18:30" ht="29.25" customHeight="1" x14ac:dyDescent="0.25">
      <c r="R715" s="29"/>
      <c r="S715" s="29"/>
      <c r="T715" s="29"/>
      <c r="U715" s="29"/>
      <c r="V715" s="29"/>
      <c r="W715" s="29"/>
      <c r="X715" s="29"/>
      <c r="Y715" s="29"/>
      <c r="Z715" s="29"/>
      <c r="AA715" s="29"/>
      <c r="AB715" s="29"/>
      <c r="AC715" s="29"/>
      <c r="AD715" s="207"/>
    </row>
    <row r="716" spans="18:30" ht="29.25" customHeight="1" x14ac:dyDescent="0.25">
      <c r="R716" s="29"/>
      <c r="S716" s="29"/>
      <c r="T716" s="29"/>
      <c r="U716" s="29"/>
      <c r="V716" s="29"/>
      <c r="W716" s="29"/>
      <c r="X716" s="29"/>
      <c r="Y716" s="29"/>
      <c r="Z716" s="29"/>
      <c r="AA716" s="29"/>
      <c r="AB716" s="29"/>
      <c r="AC716" s="29"/>
      <c r="AD716" s="207"/>
    </row>
    <row r="717" spans="18:30" ht="29.25" customHeight="1" x14ac:dyDescent="0.25">
      <c r="R717" s="29"/>
      <c r="S717" s="29"/>
      <c r="T717" s="29"/>
      <c r="U717" s="29"/>
      <c r="V717" s="29"/>
      <c r="W717" s="29"/>
      <c r="X717" s="29"/>
      <c r="Y717" s="29"/>
      <c r="Z717" s="29"/>
      <c r="AA717" s="29"/>
      <c r="AB717" s="29"/>
      <c r="AC717" s="29"/>
      <c r="AD717" s="207"/>
    </row>
    <row r="718" spans="18:30" ht="29.25" customHeight="1" x14ac:dyDescent="0.25">
      <c r="R718" s="29"/>
      <c r="S718" s="29"/>
      <c r="T718" s="29"/>
      <c r="U718" s="29"/>
      <c r="V718" s="29"/>
      <c r="W718" s="29"/>
      <c r="X718" s="29"/>
      <c r="Y718" s="29"/>
      <c r="Z718" s="29"/>
      <c r="AA718" s="29"/>
      <c r="AB718" s="29"/>
      <c r="AC718" s="29"/>
      <c r="AD718" s="207"/>
    </row>
    <row r="719" spans="18:30" ht="29.25" customHeight="1" x14ac:dyDescent="0.25">
      <c r="R719" s="29"/>
      <c r="S719" s="29"/>
      <c r="T719" s="29"/>
      <c r="U719" s="29"/>
      <c r="V719" s="29"/>
      <c r="W719" s="29"/>
      <c r="X719" s="29"/>
      <c r="Y719" s="29"/>
      <c r="Z719" s="29"/>
      <c r="AA719" s="29"/>
      <c r="AB719" s="29"/>
      <c r="AC719" s="29"/>
      <c r="AD719" s="207"/>
    </row>
    <row r="720" spans="18:30" ht="29.25" customHeight="1" x14ac:dyDescent="0.25">
      <c r="R720" s="29"/>
      <c r="S720" s="29"/>
      <c r="T720" s="29"/>
      <c r="U720" s="29"/>
      <c r="V720" s="29"/>
      <c r="W720" s="29"/>
      <c r="X720" s="29"/>
      <c r="Y720" s="29"/>
      <c r="Z720" s="29"/>
      <c r="AA720" s="29"/>
      <c r="AB720" s="29"/>
      <c r="AC720" s="29"/>
      <c r="AD720" s="207"/>
    </row>
    <row r="721" spans="18:30" ht="29.25" customHeight="1" x14ac:dyDescent="0.25">
      <c r="R721" s="29"/>
      <c r="S721" s="29"/>
      <c r="T721" s="29"/>
      <c r="U721" s="29"/>
      <c r="V721" s="29"/>
      <c r="W721" s="29"/>
      <c r="X721" s="29"/>
      <c r="Y721" s="29"/>
      <c r="Z721" s="29"/>
      <c r="AA721" s="29"/>
      <c r="AB721" s="29"/>
      <c r="AC721" s="29"/>
      <c r="AD721" s="207"/>
    </row>
    <row r="722" spans="18:30" ht="29.25" customHeight="1" x14ac:dyDescent="0.25">
      <c r="R722" s="29"/>
      <c r="S722" s="29"/>
      <c r="T722" s="29"/>
      <c r="U722" s="29"/>
      <c r="V722" s="29"/>
      <c r="W722" s="29"/>
      <c r="X722" s="29"/>
      <c r="Y722" s="29"/>
      <c r="Z722" s="29"/>
      <c r="AA722" s="29"/>
      <c r="AB722" s="29"/>
      <c r="AC722" s="29"/>
      <c r="AD722" s="207"/>
    </row>
    <row r="723" spans="18:30" ht="29.25" customHeight="1" x14ac:dyDescent="0.25">
      <c r="R723" s="29"/>
      <c r="S723" s="29"/>
      <c r="T723" s="29"/>
      <c r="U723" s="29"/>
      <c r="V723" s="29"/>
      <c r="W723" s="29"/>
      <c r="X723" s="29"/>
      <c r="Y723" s="29"/>
      <c r="Z723" s="29"/>
      <c r="AA723" s="29"/>
      <c r="AB723" s="29"/>
      <c r="AC723" s="29"/>
      <c r="AD723" s="207"/>
    </row>
    <row r="724" spans="18:30" ht="29.25" customHeight="1" x14ac:dyDescent="0.25">
      <c r="R724" s="29"/>
      <c r="S724" s="29"/>
      <c r="T724" s="29"/>
      <c r="U724" s="29"/>
      <c r="V724" s="29"/>
      <c r="W724" s="29"/>
      <c r="X724" s="29"/>
      <c r="Y724" s="29"/>
      <c r="Z724" s="29"/>
      <c r="AA724" s="29"/>
      <c r="AB724" s="29"/>
      <c r="AC724" s="29"/>
      <c r="AD724" s="207"/>
    </row>
    <row r="725" spans="18:30" ht="29.25" customHeight="1" x14ac:dyDescent="0.25">
      <c r="R725" s="29"/>
      <c r="S725" s="29"/>
      <c r="T725" s="29"/>
      <c r="U725" s="29"/>
      <c r="V725" s="29"/>
      <c r="W725" s="29"/>
      <c r="X725" s="29"/>
      <c r="Y725" s="29"/>
      <c r="Z725" s="29"/>
      <c r="AA725" s="29"/>
      <c r="AB725" s="29"/>
      <c r="AC725" s="29"/>
      <c r="AD725" s="207"/>
    </row>
    <row r="726" spans="18:30" ht="29.25" customHeight="1" x14ac:dyDescent="0.25">
      <c r="R726" s="29"/>
      <c r="S726" s="29"/>
      <c r="T726" s="29"/>
      <c r="U726" s="29"/>
      <c r="V726" s="29"/>
      <c r="W726" s="29"/>
      <c r="X726" s="29"/>
      <c r="Y726" s="29"/>
      <c r="Z726" s="29"/>
      <c r="AA726" s="29"/>
      <c r="AB726" s="29"/>
      <c r="AC726" s="29"/>
      <c r="AD726" s="207"/>
    </row>
    <row r="727" spans="18:30" ht="29.25" customHeight="1" x14ac:dyDescent="0.25">
      <c r="R727" s="29"/>
      <c r="S727" s="29"/>
      <c r="T727" s="29"/>
      <c r="U727" s="29"/>
      <c r="V727" s="29"/>
      <c r="W727" s="29"/>
      <c r="X727" s="29"/>
      <c r="Y727" s="29"/>
      <c r="Z727" s="29"/>
      <c r="AA727" s="29"/>
      <c r="AB727" s="29"/>
      <c r="AC727" s="29"/>
      <c r="AD727" s="207"/>
    </row>
    <row r="728" spans="18:30" ht="29.25" customHeight="1" x14ac:dyDescent="0.25">
      <c r="R728" s="29"/>
      <c r="S728" s="29"/>
      <c r="T728" s="29"/>
      <c r="U728" s="29"/>
      <c r="V728" s="29"/>
      <c r="W728" s="29"/>
      <c r="X728" s="29"/>
      <c r="Y728" s="29"/>
      <c r="Z728" s="29"/>
      <c r="AA728" s="29"/>
      <c r="AB728" s="29"/>
      <c r="AC728" s="29"/>
      <c r="AD728" s="207"/>
    </row>
    <row r="729" spans="18:30" ht="29.25" customHeight="1" x14ac:dyDescent="0.25">
      <c r="R729" s="29"/>
      <c r="S729" s="29"/>
      <c r="T729" s="29"/>
      <c r="U729" s="29"/>
      <c r="V729" s="29"/>
      <c r="W729" s="29"/>
      <c r="X729" s="29"/>
      <c r="Y729" s="29"/>
      <c r="Z729" s="29"/>
      <c r="AA729" s="29"/>
      <c r="AB729" s="29"/>
      <c r="AC729" s="29"/>
      <c r="AD729" s="207"/>
    </row>
    <row r="730" spans="18:30" ht="29.25" customHeight="1" x14ac:dyDescent="0.25">
      <c r="R730" s="29"/>
      <c r="S730" s="29"/>
      <c r="T730" s="29"/>
      <c r="U730" s="29"/>
      <c r="V730" s="29"/>
      <c r="W730" s="29"/>
      <c r="X730" s="29"/>
      <c r="Y730" s="29"/>
      <c r="Z730" s="29"/>
      <c r="AA730" s="29"/>
      <c r="AB730" s="29"/>
      <c r="AC730" s="29"/>
      <c r="AD730" s="207"/>
    </row>
    <row r="731" spans="18:30" ht="29.25" customHeight="1" x14ac:dyDescent="0.25">
      <c r="R731" s="29"/>
      <c r="S731" s="29"/>
      <c r="T731" s="29"/>
      <c r="U731" s="29"/>
      <c r="V731" s="29"/>
      <c r="W731" s="29"/>
      <c r="X731" s="29"/>
      <c r="Y731" s="29"/>
      <c r="Z731" s="29"/>
      <c r="AA731" s="29"/>
      <c r="AB731" s="29"/>
      <c r="AC731" s="29"/>
      <c r="AD731" s="207"/>
    </row>
    <row r="732" spans="18:30" ht="29.25" customHeight="1" x14ac:dyDescent="0.25">
      <c r="R732" s="29"/>
      <c r="S732" s="29"/>
      <c r="T732" s="29"/>
      <c r="U732" s="29"/>
      <c r="V732" s="29"/>
      <c r="W732" s="29"/>
      <c r="X732" s="29"/>
      <c r="Y732" s="29"/>
      <c r="Z732" s="29"/>
      <c r="AA732" s="29"/>
      <c r="AB732" s="29"/>
      <c r="AC732" s="29"/>
      <c r="AD732" s="207"/>
    </row>
    <row r="733" spans="18:30" ht="29.25" customHeight="1" x14ac:dyDescent="0.25">
      <c r="R733" s="29"/>
      <c r="S733" s="29"/>
      <c r="T733" s="29"/>
      <c r="U733" s="29"/>
      <c r="V733" s="29"/>
      <c r="W733" s="29"/>
      <c r="X733" s="29"/>
      <c r="Y733" s="29"/>
      <c r="Z733" s="29"/>
      <c r="AA733" s="29"/>
      <c r="AB733" s="29"/>
      <c r="AC733" s="29"/>
      <c r="AD733" s="207"/>
    </row>
    <row r="734" spans="18:30" ht="29.25" customHeight="1" x14ac:dyDescent="0.25">
      <c r="R734" s="29"/>
      <c r="S734" s="29"/>
      <c r="T734" s="29"/>
      <c r="U734" s="29"/>
      <c r="V734" s="29"/>
      <c r="W734" s="29"/>
      <c r="X734" s="29"/>
      <c r="Y734" s="29"/>
      <c r="Z734" s="29"/>
      <c r="AA734" s="29"/>
      <c r="AB734" s="29"/>
      <c r="AC734" s="29"/>
      <c r="AD734" s="207"/>
    </row>
    <row r="735" spans="18:30" ht="29.25" customHeight="1" x14ac:dyDescent="0.25">
      <c r="R735" s="29"/>
      <c r="S735" s="29"/>
      <c r="T735" s="29"/>
      <c r="U735" s="29"/>
      <c r="V735" s="29"/>
      <c r="W735" s="29"/>
      <c r="X735" s="29"/>
      <c r="Y735" s="29"/>
      <c r="Z735" s="29"/>
      <c r="AA735" s="29"/>
      <c r="AB735" s="29"/>
      <c r="AC735" s="29"/>
      <c r="AD735" s="207"/>
    </row>
    <row r="736" spans="18:30" ht="29.25" customHeight="1" x14ac:dyDescent="0.25">
      <c r="R736" s="29"/>
      <c r="S736" s="29"/>
      <c r="T736" s="29"/>
      <c r="U736" s="29"/>
      <c r="V736" s="29"/>
      <c r="W736" s="29"/>
      <c r="X736" s="29"/>
      <c r="Y736" s="29"/>
      <c r="Z736" s="29"/>
      <c r="AA736" s="29"/>
      <c r="AB736" s="29"/>
      <c r="AC736" s="29"/>
      <c r="AD736" s="207"/>
    </row>
    <row r="737" spans="18:30" ht="29.25" customHeight="1" x14ac:dyDescent="0.25">
      <c r="R737" s="29"/>
      <c r="S737" s="29"/>
      <c r="T737" s="29"/>
      <c r="U737" s="29"/>
      <c r="V737" s="29"/>
      <c r="W737" s="29"/>
      <c r="X737" s="29"/>
      <c r="Y737" s="29"/>
      <c r="Z737" s="29"/>
      <c r="AA737" s="29"/>
      <c r="AB737" s="29"/>
      <c r="AC737" s="29"/>
      <c r="AD737" s="207"/>
    </row>
    <row r="738" spans="18:30" ht="29.25" customHeight="1" x14ac:dyDescent="0.25">
      <c r="R738" s="29"/>
      <c r="S738" s="29"/>
      <c r="T738" s="29"/>
      <c r="U738" s="29"/>
      <c r="V738" s="29"/>
      <c r="W738" s="29"/>
      <c r="X738" s="29"/>
      <c r="Y738" s="29"/>
      <c r="Z738" s="29"/>
      <c r="AA738" s="29"/>
      <c r="AB738" s="29"/>
      <c r="AC738" s="29"/>
      <c r="AD738" s="207"/>
    </row>
    <row r="739" spans="18:30" ht="29.25" customHeight="1" x14ac:dyDescent="0.25">
      <c r="R739" s="29"/>
      <c r="S739" s="29"/>
      <c r="T739" s="29"/>
      <c r="U739" s="29"/>
      <c r="V739" s="29"/>
      <c r="W739" s="29"/>
      <c r="X739" s="29"/>
      <c r="Y739" s="29"/>
      <c r="Z739" s="29"/>
      <c r="AA739" s="29"/>
      <c r="AB739" s="29"/>
      <c r="AC739" s="29"/>
      <c r="AD739" s="207"/>
    </row>
    <row r="740" spans="18:30" ht="29.25" customHeight="1" x14ac:dyDescent="0.25">
      <c r="R740" s="29"/>
      <c r="S740" s="29"/>
      <c r="T740" s="29"/>
      <c r="U740" s="29"/>
      <c r="V740" s="29"/>
      <c r="W740" s="29"/>
      <c r="X740" s="29"/>
      <c r="Y740" s="29"/>
      <c r="Z740" s="29"/>
      <c r="AA740" s="29"/>
      <c r="AB740" s="29"/>
      <c r="AC740" s="29"/>
      <c r="AD740" s="207"/>
    </row>
    <row r="741" spans="18:30" ht="29.25" customHeight="1" x14ac:dyDescent="0.25">
      <c r="R741" s="29"/>
      <c r="S741" s="29"/>
      <c r="T741" s="29"/>
      <c r="U741" s="29"/>
      <c r="V741" s="29"/>
      <c r="W741" s="29"/>
      <c r="X741" s="29"/>
      <c r="Y741" s="29"/>
      <c r="Z741" s="29"/>
      <c r="AA741" s="29"/>
      <c r="AB741" s="29"/>
      <c r="AC741" s="29"/>
      <c r="AD741" s="207"/>
    </row>
    <row r="742" spans="18:30" ht="29.25" customHeight="1" x14ac:dyDescent="0.25">
      <c r="R742" s="29"/>
      <c r="S742" s="29"/>
      <c r="T742" s="29"/>
      <c r="U742" s="29"/>
      <c r="V742" s="29"/>
      <c r="W742" s="29"/>
      <c r="X742" s="29"/>
      <c r="Y742" s="29"/>
      <c r="Z742" s="29"/>
      <c r="AA742" s="29"/>
      <c r="AB742" s="29"/>
      <c r="AC742" s="29"/>
      <c r="AD742" s="207"/>
    </row>
    <row r="743" spans="18:30" ht="29.25" customHeight="1" x14ac:dyDescent="0.25">
      <c r="R743" s="29"/>
      <c r="S743" s="29"/>
      <c r="T743" s="29"/>
      <c r="U743" s="29"/>
      <c r="V743" s="29"/>
      <c r="W743" s="29"/>
      <c r="X743" s="29"/>
      <c r="Y743" s="29"/>
      <c r="Z743" s="29"/>
      <c r="AA743" s="29"/>
      <c r="AB743" s="29"/>
      <c r="AC743" s="29"/>
      <c r="AD743" s="207"/>
    </row>
    <row r="744" spans="18:30" ht="29.25" customHeight="1" x14ac:dyDescent="0.25">
      <c r="R744" s="29"/>
      <c r="S744" s="29"/>
      <c r="T744" s="29"/>
      <c r="U744" s="29"/>
      <c r="V744" s="29"/>
      <c r="W744" s="29"/>
      <c r="X744" s="29"/>
      <c r="Y744" s="29"/>
      <c r="Z744" s="29"/>
      <c r="AA744" s="29"/>
      <c r="AB744" s="29"/>
      <c r="AC744" s="29"/>
      <c r="AD744" s="207"/>
    </row>
    <row r="745" spans="18:30" ht="29.25" customHeight="1" x14ac:dyDescent="0.25">
      <c r="R745" s="29"/>
      <c r="S745" s="29"/>
      <c r="T745" s="29"/>
      <c r="U745" s="29"/>
      <c r="V745" s="29"/>
      <c r="W745" s="29"/>
      <c r="X745" s="29"/>
      <c r="Y745" s="29"/>
      <c r="Z745" s="29"/>
      <c r="AA745" s="29"/>
      <c r="AB745" s="29"/>
      <c r="AC745" s="29"/>
      <c r="AD745" s="207"/>
    </row>
    <row r="746" spans="18:30" ht="29.25" customHeight="1" x14ac:dyDescent="0.25">
      <c r="R746" s="29"/>
      <c r="S746" s="29"/>
      <c r="T746" s="29"/>
      <c r="U746" s="29"/>
      <c r="V746" s="29"/>
      <c r="W746" s="29"/>
      <c r="X746" s="29"/>
      <c r="Y746" s="29"/>
      <c r="Z746" s="29"/>
      <c r="AA746" s="29"/>
      <c r="AB746" s="29"/>
      <c r="AC746" s="29"/>
      <c r="AD746" s="207"/>
    </row>
    <row r="747" spans="18:30" ht="29.25" customHeight="1" x14ac:dyDescent="0.25">
      <c r="R747" s="29"/>
      <c r="S747" s="29"/>
      <c r="T747" s="29"/>
      <c r="U747" s="29"/>
      <c r="V747" s="29"/>
      <c r="W747" s="29"/>
      <c r="X747" s="29"/>
      <c r="Y747" s="29"/>
      <c r="Z747" s="29"/>
      <c r="AA747" s="29"/>
      <c r="AB747" s="29"/>
      <c r="AC747" s="29"/>
      <c r="AD747" s="207"/>
    </row>
    <row r="748" spans="18:30" ht="29.25" customHeight="1" x14ac:dyDescent="0.25">
      <c r="R748" s="29"/>
      <c r="S748" s="29"/>
      <c r="T748" s="29"/>
      <c r="U748" s="29"/>
      <c r="V748" s="29"/>
      <c r="W748" s="29"/>
      <c r="X748" s="29"/>
      <c r="Y748" s="29"/>
      <c r="Z748" s="29"/>
      <c r="AA748" s="29"/>
      <c r="AB748" s="29"/>
      <c r="AC748" s="29"/>
      <c r="AD748" s="207"/>
    </row>
    <row r="749" spans="18:30" ht="29.25" customHeight="1" x14ac:dyDescent="0.25">
      <c r="R749" s="29"/>
      <c r="S749" s="29"/>
      <c r="T749" s="29"/>
      <c r="U749" s="29"/>
      <c r="V749" s="29"/>
      <c r="W749" s="29"/>
      <c r="X749" s="29"/>
      <c r="Y749" s="29"/>
      <c r="Z749" s="29"/>
      <c r="AA749" s="29"/>
      <c r="AB749" s="29"/>
      <c r="AC749" s="29"/>
      <c r="AD749" s="207"/>
    </row>
    <row r="750" spans="18:30" ht="29.25" customHeight="1" x14ac:dyDescent="0.25">
      <c r="R750" s="29"/>
      <c r="S750" s="29"/>
      <c r="T750" s="29"/>
      <c r="U750" s="29"/>
      <c r="V750" s="29"/>
      <c r="W750" s="29"/>
      <c r="X750" s="29"/>
      <c r="Y750" s="29"/>
      <c r="Z750" s="29"/>
      <c r="AA750" s="29"/>
      <c r="AB750" s="29"/>
      <c r="AC750" s="29"/>
      <c r="AD750" s="207"/>
    </row>
    <row r="751" spans="18:30" ht="29.25" customHeight="1" x14ac:dyDescent="0.25">
      <c r="R751" s="29"/>
      <c r="S751" s="29"/>
      <c r="T751" s="29"/>
      <c r="U751" s="29"/>
      <c r="V751" s="29"/>
      <c r="W751" s="29"/>
      <c r="X751" s="29"/>
      <c r="Y751" s="29"/>
      <c r="Z751" s="29"/>
      <c r="AA751" s="29"/>
      <c r="AB751" s="29"/>
      <c r="AC751" s="29"/>
      <c r="AD751" s="207"/>
    </row>
    <row r="752" spans="18:30" ht="29.25" customHeight="1" x14ac:dyDescent="0.25">
      <c r="R752" s="29"/>
      <c r="S752" s="29"/>
      <c r="T752" s="29"/>
      <c r="U752" s="29"/>
      <c r="V752" s="29"/>
      <c r="W752" s="29"/>
      <c r="X752" s="29"/>
      <c r="Y752" s="29"/>
      <c r="Z752" s="29"/>
      <c r="AA752" s="29"/>
      <c r="AB752" s="29"/>
      <c r="AC752" s="29"/>
      <c r="AD752" s="207"/>
    </row>
    <row r="753" spans="18:30" ht="29.25" customHeight="1" x14ac:dyDescent="0.25">
      <c r="R753" s="29"/>
      <c r="S753" s="29"/>
      <c r="T753" s="29"/>
      <c r="U753" s="29"/>
      <c r="V753" s="29"/>
      <c r="W753" s="29"/>
      <c r="X753" s="29"/>
      <c r="Y753" s="29"/>
      <c r="Z753" s="29"/>
      <c r="AA753" s="29"/>
      <c r="AB753" s="29"/>
      <c r="AC753" s="29"/>
      <c r="AD753" s="207"/>
    </row>
    <row r="754" spans="18:30" ht="29.25" customHeight="1" x14ac:dyDescent="0.25">
      <c r="R754" s="29"/>
      <c r="S754" s="29"/>
      <c r="T754" s="29"/>
      <c r="U754" s="29"/>
      <c r="V754" s="29"/>
      <c r="W754" s="29"/>
      <c r="X754" s="29"/>
      <c r="Y754" s="29"/>
      <c r="Z754" s="29"/>
      <c r="AA754" s="29"/>
      <c r="AB754" s="29"/>
      <c r="AC754" s="29"/>
      <c r="AD754" s="207"/>
    </row>
    <row r="755" spans="18:30" ht="29.25" customHeight="1" x14ac:dyDescent="0.25">
      <c r="R755" s="29"/>
      <c r="S755" s="29"/>
      <c r="T755" s="29"/>
      <c r="U755" s="29"/>
      <c r="V755" s="29"/>
      <c r="W755" s="29"/>
      <c r="X755" s="29"/>
      <c r="Y755" s="29"/>
      <c r="Z755" s="29"/>
      <c r="AA755" s="29"/>
      <c r="AB755" s="29"/>
      <c r="AC755" s="29"/>
      <c r="AD755" s="207"/>
    </row>
    <row r="756" spans="18:30" ht="29.25" customHeight="1" x14ac:dyDescent="0.25">
      <c r="R756" s="29"/>
      <c r="S756" s="29"/>
      <c r="T756" s="29"/>
      <c r="U756" s="29"/>
      <c r="V756" s="29"/>
      <c r="W756" s="29"/>
      <c r="X756" s="29"/>
      <c r="Y756" s="29"/>
      <c r="Z756" s="29"/>
      <c r="AA756" s="29"/>
      <c r="AB756" s="29"/>
      <c r="AC756" s="29"/>
      <c r="AD756" s="207"/>
    </row>
    <row r="757" spans="18:30" ht="29.25" customHeight="1" x14ac:dyDescent="0.25">
      <c r="R757" s="29"/>
      <c r="S757" s="29"/>
      <c r="T757" s="29"/>
      <c r="U757" s="29"/>
      <c r="V757" s="29"/>
      <c r="W757" s="29"/>
      <c r="X757" s="29"/>
      <c r="Y757" s="29"/>
      <c r="Z757" s="29"/>
      <c r="AA757" s="29"/>
      <c r="AB757" s="29"/>
      <c r="AC757" s="29"/>
      <c r="AD757" s="207"/>
    </row>
    <row r="758" spans="18:30" ht="29.25" customHeight="1" x14ac:dyDescent="0.25">
      <c r="R758" s="29"/>
      <c r="S758" s="29"/>
      <c r="T758" s="29"/>
      <c r="U758" s="29"/>
      <c r="V758" s="29"/>
      <c r="W758" s="29"/>
      <c r="X758" s="29"/>
      <c r="Y758" s="29"/>
      <c r="Z758" s="29"/>
      <c r="AA758" s="29"/>
      <c r="AB758" s="29"/>
      <c r="AC758" s="29"/>
      <c r="AD758" s="207"/>
    </row>
    <row r="759" spans="18:30" ht="29.25" customHeight="1" x14ac:dyDescent="0.25">
      <c r="R759" s="29"/>
      <c r="S759" s="29"/>
      <c r="T759" s="29"/>
      <c r="U759" s="29"/>
      <c r="V759" s="29"/>
      <c r="W759" s="29"/>
      <c r="X759" s="29"/>
      <c r="Y759" s="29"/>
      <c r="Z759" s="29"/>
      <c r="AA759" s="29"/>
      <c r="AB759" s="29"/>
      <c r="AC759" s="29"/>
      <c r="AD759" s="207"/>
    </row>
    <row r="760" spans="18:30" ht="29.25" customHeight="1" x14ac:dyDescent="0.25">
      <c r="R760" s="29"/>
      <c r="S760" s="29"/>
      <c r="T760" s="29"/>
      <c r="U760" s="29"/>
      <c r="V760" s="29"/>
      <c r="W760" s="29"/>
      <c r="X760" s="29"/>
      <c r="Y760" s="29"/>
      <c r="Z760" s="29"/>
      <c r="AA760" s="29"/>
      <c r="AB760" s="29"/>
      <c r="AC760" s="29"/>
      <c r="AD760" s="207"/>
    </row>
    <row r="761" spans="18:30" ht="29.25" customHeight="1" x14ac:dyDescent="0.25">
      <c r="R761" s="29"/>
      <c r="S761" s="29"/>
      <c r="T761" s="29"/>
      <c r="U761" s="29"/>
      <c r="V761" s="29"/>
      <c r="W761" s="29"/>
      <c r="X761" s="29"/>
      <c r="Y761" s="29"/>
      <c r="Z761" s="29"/>
      <c r="AA761" s="29"/>
      <c r="AB761" s="29"/>
      <c r="AC761" s="29"/>
      <c r="AD761" s="207"/>
    </row>
    <row r="762" spans="18:30" ht="29.25" customHeight="1" x14ac:dyDescent="0.25">
      <c r="R762" s="29"/>
      <c r="S762" s="29"/>
      <c r="T762" s="29"/>
      <c r="U762" s="29"/>
      <c r="V762" s="29"/>
      <c r="W762" s="29"/>
      <c r="X762" s="29"/>
      <c r="Y762" s="29"/>
      <c r="Z762" s="29"/>
      <c r="AA762" s="29"/>
      <c r="AB762" s="29"/>
      <c r="AC762" s="29"/>
      <c r="AD762" s="207"/>
    </row>
    <row r="763" spans="18:30" ht="29.25" customHeight="1" x14ac:dyDescent="0.25">
      <c r="R763" s="29"/>
      <c r="S763" s="29"/>
      <c r="T763" s="29"/>
      <c r="U763" s="29"/>
      <c r="V763" s="29"/>
      <c r="W763" s="29"/>
      <c r="X763" s="29"/>
      <c r="Y763" s="29"/>
      <c r="Z763" s="29"/>
      <c r="AA763" s="29"/>
      <c r="AB763" s="29"/>
      <c r="AC763" s="29"/>
      <c r="AD763" s="207"/>
    </row>
    <row r="764" spans="18:30" ht="29.25" customHeight="1" x14ac:dyDescent="0.25">
      <c r="R764" s="29"/>
      <c r="S764" s="29"/>
      <c r="T764" s="29"/>
      <c r="U764" s="29"/>
      <c r="V764" s="29"/>
      <c r="W764" s="29"/>
      <c r="X764" s="29"/>
      <c r="Y764" s="29"/>
      <c r="Z764" s="29"/>
      <c r="AA764" s="29"/>
      <c r="AB764" s="29"/>
      <c r="AC764" s="29"/>
      <c r="AD764" s="207"/>
    </row>
    <row r="765" spans="18:30" ht="29.25" customHeight="1" x14ac:dyDescent="0.25">
      <c r="R765" s="29"/>
      <c r="S765" s="29"/>
      <c r="T765" s="29"/>
      <c r="U765" s="29"/>
      <c r="V765" s="29"/>
      <c r="W765" s="29"/>
      <c r="X765" s="29"/>
      <c r="Y765" s="29"/>
      <c r="Z765" s="29"/>
      <c r="AA765" s="29"/>
      <c r="AB765" s="29"/>
      <c r="AC765" s="29"/>
      <c r="AD765" s="207"/>
    </row>
    <row r="766" spans="18:30" ht="29.25" customHeight="1" x14ac:dyDescent="0.25">
      <c r="R766" s="29"/>
      <c r="S766" s="29"/>
      <c r="T766" s="29"/>
      <c r="U766" s="29"/>
      <c r="V766" s="29"/>
      <c r="W766" s="29"/>
      <c r="X766" s="29"/>
      <c r="Y766" s="29"/>
      <c r="Z766" s="29"/>
      <c r="AA766" s="29"/>
      <c r="AB766" s="29"/>
      <c r="AC766" s="29"/>
      <c r="AD766" s="207"/>
    </row>
    <row r="767" spans="18:30" ht="29.25" customHeight="1" x14ac:dyDescent="0.25">
      <c r="R767" s="29"/>
      <c r="S767" s="29"/>
      <c r="T767" s="29"/>
      <c r="U767" s="29"/>
      <c r="V767" s="29"/>
      <c r="W767" s="29"/>
      <c r="X767" s="29"/>
      <c r="Y767" s="29"/>
      <c r="Z767" s="29"/>
      <c r="AA767" s="29"/>
      <c r="AB767" s="29"/>
      <c r="AC767" s="29"/>
      <c r="AD767" s="207"/>
    </row>
    <row r="768" spans="18:30" ht="29.25" customHeight="1" x14ac:dyDescent="0.25">
      <c r="R768" s="29"/>
      <c r="S768" s="29"/>
      <c r="T768" s="29"/>
      <c r="U768" s="29"/>
      <c r="V768" s="29"/>
      <c r="W768" s="29"/>
      <c r="X768" s="29"/>
      <c r="Y768" s="29"/>
      <c r="Z768" s="29"/>
      <c r="AA768" s="29"/>
      <c r="AB768" s="29"/>
      <c r="AC768" s="29"/>
      <c r="AD768" s="207"/>
    </row>
    <row r="769" spans="18:30" ht="29.25" customHeight="1" x14ac:dyDescent="0.25">
      <c r="R769" s="29"/>
      <c r="S769" s="29"/>
      <c r="T769" s="29"/>
      <c r="U769" s="29"/>
      <c r="V769" s="29"/>
      <c r="W769" s="29"/>
      <c r="X769" s="29"/>
      <c r="Y769" s="29"/>
      <c r="Z769" s="29"/>
      <c r="AA769" s="29"/>
      <c r="AB769" s="29"/>
      <c r="AC769" s="29"/>
      <c r="AD769" s="207"/>
    </row>
    <row r="770" spans="18:30" ht="29.25" customHeight="1" x14ac:dyDescent="0.25">
      <c r="R770" s="29"/>
      <c r="S770" s="29"/>
      <c r="T770" s="29"/>
      <c r="U770" s="29"/>
      <c r="V770" s="29"/>
      <c r="W770" s="29"/>
      <c r="X770" s="29"/>
      <c r="Y770" s="29"/>
      <c r="Z770" s="29"/>
      <c r="AA770" s="29"/>
      <c r="AB770" s="29"/>
      <c r="AC770" s="29"/>
      <c r="AD770" s="207"/>
    </row>
    <row r="771" spans="18:30" ht="29.25" customHeight="1" x14ac:dyDescent="0.25">
      <c r="R771" s="29"/>
      <c r="S771" s="29"/>
      <c r="T771" s="29"/>
      <c r="U771" s="29"/>
      <c r="V771" s="29"/>
      <c r="W771" s="29"/>
      <c r="X771" s="29"/>
      <c r="Y771" s="29"/>
      <c r="Z771" s="29"/>
      <c r="AA771" s="29"/>
      <c r="AB771" s="29"/>
      <c r="AC771" s="29"/>
      <c r="AD771" s="207"/>
    </row>
    <row r="772" spans="18:30" ht="29.25" customHeight="1" x14ac:dyDescent="0.25">
      <c r="R772" s="29"/>
      <c r="S772" s="29"/>
      <c r="T772" s="29"/>
      <c r="U772" s="29"/>
      <c r="V772" s="29"/>
      <c r="W772" s="29"/>
      <c r="X772" s="29"/>
      <c r="Y772" s="29"/>
      <c r="Z772" s="29"/>
      <c r="AA772" s="29"/>
      <c r="AB772" s="29"/>
      <c r="AC772" s="29"/>
      <c r="AD772" s="207"/>
    </row>
    <row r="773" spans="18:30" ht="29.25" customHeight="1" x14ac:dyDescent="0.25">
      <c r="R773" s="29"/>
      <c r="S773" s="29"/>
      <c r="T773" s="29"/>
      <c r="U773" s="29"/>
      <c r="V773" s="29"/>
      <c r="W773" s="29"/>
      <c r="X773" s="29"/>
      <c r="Y773" s="29"/>
      <c r="Z773" s="29"/>
      <c r="AA773" s="29"/>
      <c r="AB773" s="29"/>
      <c r="AC773" s="29"/>
      <c r="AD773" s="207"/>
    </row>
    <row r="774" spans="18:30" ht="29.25" customHeight="1" x14ac:dyDescent="0.25">
      <c r="R774" s="29"/>
      <c r="S774" s="29"/>
      <c r="T774" s="29"/>
      <c r="U774" s="29"/>
      <c r="V774" s="29"/>
      <c r="W774" s="29"/>
      <c r="X774" s="29"/>
      <c r="Y774" s="29"/>
      <c r="Z774" s="29"/>
      <c r="AA774" s="29"/>
      <c r="AB774" s="29"/>
      <c r="AC774" s="29"/>
      <c r="AD774" s="207"/>
    </row>
    <row r="775" spans="18:30" ht="29.25" customHeight="1" x14ac:dyDescent="0.25">
      <c r="R775" s="29"/>
      <c r="S775" s="29"/>
      <c r="T775" s="29"/>
      <c r="U775" s="29"/>
      <c r="V775" s="29"/>
      <c r="W775" s="29"/>
      <c r="X775" s="29"/>
      <c r="Y775" s="29"/>
      <c r="Z775" s="29"/>
      <c r="AA775" s="29"/>
      <c r="AB775" s="29"/>
      <c r="AC775" s="29"/>
      <c r="AD775" s="207"/>
    </row>
    <row r="776" spans="18:30" ht="29.25" customHeight="1" x14ac:dyDescent="0.25">
      <c r="R776" s="29"/>
      <c r="S776" s="29"/>
      <c r="T776" s="29"/>
      <c r="U776" s="29"/>
      <c r="V776" s="29"/>
      <c r="W776" s="29"/>
      <c r="X776" s="29"/>
      <c r="Y776" s="29"/>
      <c r="Z776" s="29"/>
      <c r="AA776" s="29"/>
      <c r="AB776" s="29"/>
      <c r="AC776" s="29"/>
      <c r="AD776" s="207"/>
    </row>
    <row r="777" spans="18:30" ht="29.25" customHeight="1" x14ac:dyDescent="0.25">
      <c r="R777" s="29"/>
      <c r="S777" s="29"/>
      <c r="T777" s="29"/>
      <c r="U777" s="29"/>
      <c r="V777" s="29"/>
      <c r="W777" s="29"/>
      <c r="X777" s="29"/>
      <c r="Y777" s="29"/>
      <c r="Z777" s="29"/>
      <c r="AA777" s="29"/>
      <c r="AB777" s="29"/>
      <c r="AC777" s="29"/>
      <c r="AD777" s="207"/>
    </row>
    <row r="778" spans="18:30" ht="29.25" customHeight="1" x14ac:dyDescent="0.25">
      <c r="R778" s="29"/>
      <c r="S778" s="29"/>
      <c r="T778" s="29"/>
      <c r="U778" s="29"/>
      <c r="V778" s="29"/>
      <c r="W778" s="29"/>
      <c r="X778" s="29"/>
      <c r="Y778" s="29"/>
      <c r="Z778" s="29"/>
      <c r="AA778" s="29"/>
      <c r="AB778" s="29"/>
      <c r="AC778" s="29"/>
      <c r="AD778" s="207"/>
    </row>
    <row r="779" spans="18:30" ht="29.25" customHeight="1" x14ac:dyDescent="0.25">
      <c r="R779" s="29"/>
      <c r="S779" s="29"/>
      <c r="T779" s="29"/>
      <c r="U779" s="29"/>
      <c r="V779" s="29"/>
      <c r="W779" s="29"/>
      <c r="X779" s="29"/>
      <c r="Y779" s="29"/>
      <c r="Z779" s="29"/>
      <c r="AA779" s="29"/>
      <c r="AB779" s="29"/>
      <c r="AC779" s="29"/>
      <c r="AD779" s="207"/>
    </row>
    <row r="780" spans="18:30" ht="29.25" customHeight="1" x14ac:dyDescent="0.25">
      <c r="R780" s="29"/>
      <c r="S780" s="29"/>
      <c r="T780" s="29"/>
      <c r="U780" s="29"/>
      <c r="V780" s="29"/>
      <c r="W780" s="29"/>
      <c r="X780" s="29"/>
      <c r="Y780" s="29"/>
      <c r="Z780" s="29"/>
      <c r="AA780" s="29"/>
      <c r="AB780" s="29"/>
      <c r="AC780" s="29"/>
      <c r="AD780" s="207"/>
    </row>
    <row r="781" spans="18:30" ht="29.25" customHeight="1" x14ac:dyDescent="0.25">
      <c r="R781" s="29"/>
      <c r="S781" s="29"/>
      <c r="T781" s="29"/>
      <c r="U781" s="29"/>
      <c r="V781" s="29"/>
      <c r="W781" s="29"/>
      <c r="X781" s="29"/>
      <c r="Y781" s="29"/>
      <c r="Z781" s="29"/>
      <c r="AA781" s="29"/>
      <c r="AB781" s="29"/>
      <c r="AC781" s="29"/>
      <c r="AD781" s="207"/>
    </row>
    <row r="782" spans="18:30" ht="29.25" customHeight="1" x14ac:dyDescent="0.25">
      <c r="R782" s="29"/>
      <c r="S782" s="29"/>
      <c r="T782" s="29"/>
      <c r="U782" s="29"/>
      <c r="V782" s="29"/>
      <c r="W782" s="29"/>
      <c r="X782" s="29"/>
      <c r="Y782" s="29"/>
      <c r="Z782" s="29"/>
      <c r="AA782" s="29"/>
      <c r="AB782" s="29"/>
      <c r="AC782" s="29"/>
      <c r="AD782" s="207"/>
    </row>
    <row r="783" spans="18:30" ht="29.25" customHeight="1" x14ac:dyDescent="0.25">
      <c r="R783" s="29"/>
      <c r="S783" s="29"/>
      <c r="T783" s="29"/>
      <c r="U783" s="29"/>
      <c r="V783" s="29"/>
      <c r="W783" s="29"/>
      <c r="X783" s="29"/>
      <c r="Y783" s="29"/>
      <c r="Z783" s="29"/>
      <c r="AA783" s="29"/>
      <c r="AB783" s="29"/>
      <c r="AC783" s="29"/>
      <c r="AD783" s="207"/>
    </row>
    <row r="784" spans="18:30" ht="29.25" customHeight="1" x14ac:dyDescent="0.25">
      <c r="R784" s="29"/>
      <c r="S784" s="29"/>
      <c r="T784" s="29"/>
      <c r="U784" s="29"/>
      <c r="V784" s="29"/>
      <c r="W784" s="29"/>
      <c r="X784" s="29"/>
      <c r="Y784" s="29"/>
      <c r="Z784" s="29"/>
      <c r="AA784" s="29"/>
      <c r="AB784" s="29"/>
      <c r="AC784" s="29"/>
      <c r="AD784" s="207"/>
    </row>
    <row r="785" spans="18:30" ht="29.25" customHeight="1" x14ac:dyDescent="0.25">
      <c r="R785" s="29"/>
      <c r="S785" s="29"/>
      <c r="T785" s="29"/>
      <c r="U785" s="29"/>
      <c r="V785" s="29"/>
      <c r="W785" s="29"/>
      <c r="X785" s="29"/>
      <c r="Y785" s="29"/>
      <c r="Z785" s="29"/>
      <c r="AA785" s="29"/>
      <c r="AB785" s="29"/>
      <c r="AC785" s="29"/>
      <c r="AD785" s="207"/>
    </row>
    <row r="786" spans="18:30" ht="29.25" customHeight="1" x14ac:dyDescent="0.25">
      <c r="R786" s="29"/>
      <c r="S786" s="29"/>
      <c r="T786" s="29"/>
      <c r="U786" s="29"/>
      <c r="V786" s="29"/>
      <c r="W786" s="29"/>
      <c r="X786" s="29"/>
      <c r="Y786" s="29"/>
      <c r="Z786" s="29"/>
      <c r="AA786" s="29"/>
      <c r="AB786" s="29"/>
      <c r="AC786" s="29"/>
      <c r="AD786" s="207"/>
    </row>
    <row r="787" spans="18:30" ht="29.25" customHeight="1" x14ac:dyDescent="0.25">
      <c r="R787" s="29"/>
      <c r="S787" s="29"/>
      <c r="T787" s="29"/>
      <c r="U787" s="29"/>
      <c r="V787" s="29"/>
      <c r="W787" s="29"/>
      <c r="X787" s="29"/>
      <c r="Y787" s="29"/>
      <c r="Z787" s="29"/>
      <c r="AA787" s="29"/>
      <c r="AB787" s="29"/>
      <c r="AC787" s="29"/>
      <c r="AD787" s="207"/>
    </row>
    <row r="788" spans="18:30" ht="29.25" customHeight="1" x14ac:dyDescent="0.25">
      <c r="R788" s="29"/>
      <c r="S788" s="29"/>
      <c r="T788" s="29"/>
      <c r="U788" s="29"/>
      <c r="V788" s="29"/>
      <c r="W788" s="29"/>
      <c r="X788" s="29"/>
      <c r="Y788" s="29"/>
      <c r="Z788" s="29"/>
      <c r="AA788" s="29"/>
      <c r="AB788" s="29"/>
      <c r="AC788" s="29"/>
      <c r="AD788" s="207"/>
    </row>
    <row r="789" spans="18:30" ht="29.25" customHeight="1" x14ac:dyDescent="0.25">
      <c r="R789" s="29"/>
      <c r="S789" s="29"/>
      <c r="T789" s="29"/>
      <c r="U789" s="29"/>
      <c r="V789" s="29"/>
      <c r="W789" s="29"/>
      <c r="X789" s="29"/>
      <c r="Y789" s="29"/>
      <c r="Z789" s="29"/>
      <c r="AA789" s="29"/>
      <c r="AB789" s="29"/>
      <c r="AC789" s="29"/>
      <c r="AD789" s="207"/>
    </row>
    <row r="790" spans="18:30" ht="29.25" customHeight="1" x14ac:dyDescent="0.25">
      <c r="R790" s="29"/>
      <c r="S790" s="29"/>
      <c r="T790" s="29"/>
      <c r="U790" s="29"/>
      <c r="V790" s="29"/>
      <c r="W790" s="29"/>
      <c r="X790" s="29"/>
      <c r="Y790" s="29"/>
      <c r="Z790" s="29"/>
      <c r="AA790" s="29"/>
      <c r="AB790" s="29"/>
      <c r="AC790" s="29"/>
      <c r="AD790" s="207"/>
    </row>
    <row r="791" spans="18:30" ht="29.25" customHeight="1" x14ac:dyDescent="0.25">
      <c r="R791" s="29"/>
      <c r="S791" s="29"/>
      <c r="T791" s="29"/>
      <c r="U791" s="29"/>
      <c r="V791" s="29"/>
      <c r="W791" s="29"/>
      <c r="X791" s="29"/>
      <c r="Y791" s="29"/>
      <c r="Z791" s="29"/>
      <c r="AA791" s="29"/>
      <c r="AB791" s="29"/>
      <c r="AC791" s="29"/>
      <c r="AD791" s="207"/>
    </row>
    <row r="792" spans="18:30" ht="29.25" customHeight="1" x14ac:dyDescent="0.25">
      <c r="R792" s="29"/>
      <c r="S792" s="29"/>
      <c r="T792" s="29"/>
      <c r="U792" s="29"/>
      <c r="V792" s="29"/>
      <c r="W792" s="29"/>
      <c r="X792" s="29"/>
      <c r="Y792" s="29"/>
      <c r="Z792" s="29"/>
      <c r="AA792" s="29"/>
      <c r="AB792" s="29"/>
      <c r="AC792" s="29"/>
      <c r="AD792" s="207"/>
    </row>
    <row r="793" spans="18:30" ht="29.25" customHeight="1" x14ac:dyDescent="0.25">
      <c r="R793" s="29"/>
      <c r="S793" s="29"/>
      <c r="T793" s="29"/>
      <c r="U793" s="29"/>
      <c r="V793" s="29"/>
      <c r="W793" s="29"/>
      <c r="X793" s="29"/>
      <c r="Y793" s="29"/>
      <c r="Z793" s="29"/>
      <c r="AA793" s="29"/>
      <c r="AB793" s="29"/>
      <c r="AC793" s="29"/>
      <c r="AD793" s="207"/>
    </row>
    <row r="794" spans="18:30" ht="29.25" customHeight="1" x14ac:dyDescent="0.25">
      <c r="R794" s="29"/>
      <c r="S794" s="29"/>
      <c r="T794" s="29"/>
      <c r="U794" s="29"/>
      <c r="V794" s="29"/>
      <c r="W794" s="29"/>
      <c r="X794" s="29"/>
      <c r="Y794" s="29"/>
      <c r="Z794" s="29"/>
      <c r="AA794" s="29"/>
      <c r="AB794" s="29"/>
      <c r="AC794" s="29"/>
      <c r="AD794" s="207"/>
    </row>
    <row r="795" spans="18:30" ht="29.25" customHeight="1" x14ac:dyDescent="0.25">
      <c r="R795" s="29"/>
      <c r="S795" s="29"/>
      <c r="T795" s="29"/>
      <c r="U795" s="29"/>
      <c r="V795" s="29"/>
      <c r="W795" s="29"/>
      <c r="X795" s="29"/>
      <c r="Y795" s="29"/>
      <c r="Z795" s="29"/>
      <c r="AA795" s="29"/>
      <c r="AB795" s="29"/>
      <c r="AC795" s="29"/>
      <c r="AD795" s="207"/>
    </row>
    <row r="796" spans="18:30" ht="29.25" customHeight="1" x14ac:dyDescent="0.25">
      <c r="R796" s="29"/>
      <c r="S796" s="29"/>
      <c r="T796" s="29"/>
      <c r="U796" s="29"/>
      <c r="V796" s="29"/>
      <c r="W796" s="29"/>
      <c r="X796" s="29"/>
      <c r="Y796" s="29"/>
      <c r="Z796" s="29"/>
      <c r="AA796" s="29"/>
      <c r="AB796" s="29"/>
      <c r="AC796" s="29"/>
      <c r="AD796" s="207"/>
    </row>
    <row r="797" spans="18:30" ht="29.25" customHeight="1" x14ac:dyDescent="0.25">
      <c r="R797" s="29"/>
      <c r="S797" s="29"/>
      <c r="T797" s="29"/>
      <c r="U797" s="29"/>
      <c r="V797" s="29"/>
      <c r="W797" s="29"/>
      <c r="X797" s="29"/>
      <c r="Y797" s="29"/>
      <c r="Z797" s="29"/>
      <c r="AA797" s="29"/>
      <c r="AB797" s="29"/>
      <c r="AC797" s="29"/>
      <c r="AD797" s="207"/>
    </row>
    <row r="798" spans="18:30" ht="29.25" customHeight="1" x14ac:dyDescent="0.25">
      <c r="R798" s="29"/>
      <c r="S798" s="29"/>
      <c r="T798" s="29"/>
      <c r="U798" s="29"/>
      <c r="V798" s="29"/>
      <c r="W798" s="29"/>
      <c r="X798" s="29"/>
      <c r="Y798" s="29"/>
      <c r="Z798" s="29"/>
      <c r="AA798" s="29"/>
      <c r="AB798" s="29"/>
      <c r="AC798" s="29"/>
      <c r="AD798" s="207"/>
    </row>
    <row r="799" spans="18:30" ht="29.25" customHeight="1" x14ac:dyDescent="0.25">
      <c r="R799" s="29"/>
      <c r="S799" s="29"/>
      <c r="T799" s="29"/>
      <c r="U799" s="29"/>
      <c r="V799" s="29"/>
      <c r="W799" s="29"/>
      <c r="X799" s="29"/>
      <c r="Y799" s="29"/>
      <c r="Z799" s="29"/>
      <c r="AA799" s="29"/>
      <c r="AB799" s="29"/>
      <c r="AC799" s="29"/>
      <c r="AD799" s="207"/>
    </row>
    <row r="800" spans="18:30" ht="29.25" customHeight="1" x14ac:dyDescent="0.25">
      <c r="R800" s="29"/>
      <c r="S800" s="29"/>
      <c r="T800" s="29"/>
      <c r="U800" s="29"/>
      <c r="V800" s="29"/>
      <c r="W800" s="29"/>
      <c r="X800" s="29"/>
      <c r="Y800" s="29"/>
      <c r="Z800" s="29"/>
      <c r="AA800" s="29"/>
      <c r="AB800" s="29"/>
      <c r="AC800" s="29"/>
      <c r="AD800" s="207"/>
    </row>
    <row r="801" spans="18:30" ht="29.25" customHeight="1" x14ac:dyDescent="0.25">
      <c r="R801" s="29"/>
      <c r="S801" s="29"/>
      <c r="T801" s="29"/>
      <c r="U801" s="29"/>
      <c r="V801" s="29"/>
      <c r="W801" s="29"/>
      <c r="X801" s="29"/>
      <c r="Y801" s="29"/>
      <c r="Z801" s="29"/>
      <c r="AA801" s="29"/>
      <c r="AB801" s="29"/>
      <c r="AC801" s="29"/>
      <c r="AD801" s="207"/>
    </row>
    <row r="802" spans="18:30" ht="29.25" customHeight="1" x14ac:dyDescent="0.25">
      <c r="R802" s="29"/>
      <c r="S802" s="29"/>
      <c r="T802" s="29"/>
      <c r="U802" s="29"/>
      <c r="V802" s="29"/>
      <c r="W802" s="29"/>
      <c r="X802" s="29"/>
      <c r="Y802" s="29"/>
      <c r="Z802" s="29"/>
      <c r="AA802" s="29"/>
      <c r="AB802" s="29"/>
      <c r="AC802" s="29"/>
      <c r="AD802" s="207"/>
    </row>
    <row r="803" spans="18:30" ht="29.25" customHeight="1" x14ac:dyDescent="0.25">
      <c r="R803" s="29"/>
      <c r="S803" s="29"/>
      <c r="T803" s="29"/>
      <c r="U803" s="29"/>
      <c r="V803" s="29"/>
      <c r="W803" s="29"/>
      <c r="X803" s="29"/>
      <c r="Y803" s="29"/>
      <c r="Z803" s="29"/>
      <c r="AA803" s="29"/>
      <c r="AB803" s="29"/>
      <c r="AC803" s="29"/>
      <c r="AD803" s="207"/>
    </row>
    <row r="804" spans="18:30" ht="29.25" customHeight="1" x14ac:dyDescent="0.25">
      <c r="R804" s="29"/>
      <c r="S804" s="29"/>
      <c r="T804" s="29"/>
      <c r="U804" s="29"/>
      <c r="V804" s="29"/>
      <c r="W804" s="29"/>
      <c r="X804" s="29"/>
      <c r="Y804" s="29"/>
      <c r="Z804" s="29"/>
      <c r="AA804" s="29"/>
      <c r="AB804" s="29"/>
      <c r="AC804" s="29"/>
      <c r="AD804" s="207"/>
    </row>
    <row r="805" spans="18:30" ht="29.25" customHeight="1" x14ac:dyDescent="0.25">
      <c r="R805" s="29"/>
      <c r="S805" s="29"/>
      <c r="T805" s="29"/>
      <c r="U805" s="29"/>
      <c r="V805" s="29"/>
      <c r="W805" s="29"/>
      <c r="X805" s="29"/>
      <c r="Y805" s="29"/>
      <c r="Z805" s="29"/>
      <c r="AA805" s="29"/>
      <c r="AB805" s="29"/>
      <c r="AC805" s="29"/>
      <c r="AD805" s="207"/>
    </row>
    <row r="806" spans="18:30" ht="29.25" customHeight="1" x14ac:dyDescent="0.25">
      <c r="R806" s="29"/>
      <c r="S806" s="29"/>
      <c r="T806" s="29"/>
      <c r="U806" s="29"/>
      <c r="V806" s="29"/>
      <c r="W806" s="29"/>
      <c r="X806" s="29"/>
      <c r="Y806" s="29"/>
      <c r="Z806" s="29"/>
      <c r="AA806" s="29"/>
      <c r="AB806" s="29"/>
      <c r="AC806" s="29"/>
      <c r="AD806" s="207"/>
    </row>
    <row r="807" spans="18:30" ht="29.25" customHeight="1" x14ac:dyDescent="0.25">
      <c r="R807" s="29"/>
      <c r="S807" s="29"/>
      <c r="T807" s="29"/>
      <c r="U807" s="29"/>
      <c r="V807" s="29"/>
      <c r="W807" s="29"/>
      <c r="X807" s="29"/>
      <c r="Y807" s="29"/>
      <c r="Z807" s="29"/>
      <c r="AA807" s="29"/>
      <c r="AB807" s="29"/>
      <c r="AC807" s="29"/>
      <c r="AD807" s="207"/>
    </row>
    <row r="808" spans="18:30" ht="29.25" customHeight="1" x14ac:dyDescent="0.25">
      <c r="R808" s="29"/>
      <c r="S808" s="29"/>
      <c r="T808" s="29"/>
      <c r="U808" s="29"/>
      <c r="V808" s="29"/>
      <c r="W808" s="29"/>
      <c r="X808" s="29"/>
      <c r="Y808" s="29"/>
      <c r="Z808" s="29"/>
      <c r="AA808" s="29"/>
      <c r="AB808" s="29"/>
      <c r="AC808" s="29"/>
      <c r="AD808" s="207"/>
    </row>
    <row r="809" spans="18:30" ht="29.25" customHeight="1" x14ac:dyDescent="0.25">
      <c r="R809" s="29"/>
      <c r="S809" s="29"/>
      <c r="T809" s="29"/>
      <c r="U809" s="29"/>
      <c r="V809" s="29"/>
      <c r="W809" s="29"/>
      <c r="X809" s="29"/>
      <c r="Y809" s="29"/>
      <c r="Z809" s="29"/>
      <c r="AA809" s="29"/>
      <c r="AB809" s="29"/>
      <c r="AC809" s="29"/>
      <c r="AD809" s="207"/>
    </row>
    <row r="810" spans="18:30" ht="29.25" customHeight="1" x14ac:dyDescent="0.25">
      <c r="R810" s="29"/>
      <c r="S810" s="29"/>
      <c r="T810" s="29"/>
      <c r="U810" s="29"/>
      <c r="V810" s="29"/>
      <c r="W810" s="29"/>
      <c r="X810" s="29"/>
      <c r="Y810" s="29"/>
      <c r="Z810" s="29"/>
      <c r="AA810" s="29"/>
      <c r="AB810" s="29"/>
      <c r="AC810" s="29"/>
      <c r="AD810" s="207"/>
    </row>
    <row r="811" spans="18:30" ht="29.25" customHeight="1" x14ac:dyDescent="0.25">
      <c r="R811" s="29"/>
      <c r="S811" s="29"/>
      <c r="T811" s="29"/>
      <c r="U811" s="29"/>
      <c r="V811" s="29"/>
      <c r="W811" s="29"/>
      <c r="X811" s="29"/>
      <c r="Y811" s="29"/>
      <c r="Z811" s="29"/>
      <c r="AA811" s="29"/>
      <c r="AB811" s="29"/>
      <c r="AC811" s="29"/>
      <c r="AD811" s="207"/>
    </row>
    <row r="812" spans="18:30" ht="29.25" customHeight="1" x14ac:dyDescent="0.25">
      <c r="R812" s="29"/>
      <c r="S812" s="29"/>
      <c r="T812" s="29"/>
      <c r="U812" s="29"/>
      <c r="V812" s="29"/>
      <c r="W812" s="29"/>
      <c r="X812" s="29"/>
      <c r="Y812" s="29"/>
      <c r="Z812" s="29"/>
      <c r="AA812" s="29"/>
      <c r="AB812" s="29"/>
      <c r="AC812" s="29"/>
      <c r="AD812" s="207"/>
    </row>
    <row r="813" spans="18:30" ht="29.25" customHeight="1" x14ac:dyDescent="0.25">
      <c r="R813" s="29"/>
      <c r="S813" s="29"/>
      <c r="T813" s="29"/>
      <c r="U813" s="29"/>
      <c r="V813" s="29"/>
      <c r="W813" s="29"/>
      <c r="X813" s="29"/>
      <c r="Y813" s="29"/>
      <c r="Z813" s="29"/>
      <c r="AA813" s="29"/>
      <c r="AB813" s="29"/>
      <c r="AC813" s="29"/>
      <c r="AD813" s="207"/>
    </row>
    <row r="814" spans="18:30" ht="29.25" customHeight="1" x14ac:dyDescent="0.25">
      <c r="R814" s="29"/>
      <c r="S814" s="29"/>
      <c r="T814" s="29"/>
      <c r="U814" s="29"/>
      <c r="V814" s="29"/>
      <c r="W814" s="29"/>
      <c r="X814" s="29"/>
      <c r="Y814" s="29"/>
      <c r="Z814" s="29"/>
      <c r="AA814" s="29"/>
      <c r="AB814" s="29"/>
      <c r="AC814" s="29"/>
      <c r="AD814" s="207"/>
    </row>
    <row r="815" spans="18:30" ht="29.25" customHeight="1" x14ac:dyDescent="0.25">
      <c r="R815" s="29"/>
      <c r="S815" s="29"/>
      <c r="T815" s="29"/>
      <c r="U815" s="29"/>
      <c r="V815" s="29"/>
      <c r="W815" s="29"/>
      <c r="X815" s="29"/>
      <c r="Y815" s="29"/>
      <c r="Z815" s="29"/>
      <c r="AA815" s="29"/>
      <c r="AB815" s="29"/>
      <c r="AC815" s="29"/>
      <c r="AD815" s="207"/>
    </row>
    <row r="816" spans="18:30" ht="29.25" customHeight="1" x14ac:dyDescent="0.25">
      <c r="R816" s="29"/>
      <c r="S816" s="29"/>
      <c r="T816" s="29"/>
      <c r="U816" s="29"/>
      <c r="V816" s="29"/>
      <c r="W816" s="29"/>
      <c r="X816" s="29"/>
      <c r="Y816" s="29"/>
      <c r="Z816" s="29"/>
      <c r="AA816" s="29"/>
      <c r="AB816" s="29"/>
      <c r="AC816" s="29"/>
      <c r="AD816" s="207"/>
    </row>
    <row r="817" spans="18:30" ht="29.25" customHeight="1" x14ac:dyDescent="0.25">
      <c r="R817" s="29"/>
      <c r="S817" s="29"/>
      <c r="T817" s="29"/>
      <c r="U817" s="29"/>
      <c r="V817" s="29"/>
      <c r="W817" s="29"/>
      <c r="X817" s="29"/>
      <c r="Y817" s="29"/>
      <c r="Z817" s="29"/>
      <c r="AA817" s="29"/>
      <c r="AB817" s="29"/>
      <c r="AC817" s="29"/>
      <c r="AD817" s="207"/>
    </row>
    <row r="818" spans="18:30" ht="29.25" customHeight="1" x14ac:dyDescent="0.25">
      <c r="R818" s="29"/>
      <c r="S818" s="29"/>
      <c r="T818" s="29"/>
      <c r="U818" s="29"/>
      <c r="V818" s="29"/>
      <c r="W818" s="29"/>
      <c r="X818" s="29"/>
      <c r="Y818" s="29"/>
      <c r="Z818" s="29"/>
      <c r="AA818" s="29"/>
      <c r="AB818" s="29"/>
      <c r="AC818" s="29"/>
      <c r="AD818" s="207"/>
    </row>
    <row r="819" spans="18:30" ht="29.25" customHeight="1" x14ac:dyDescent="0.25">
      <c r="R819" s="29"/>
      <c r="S819" s="29"/>
      <c r="T819" s="29"/>
      <c r="U819" s="29"/>
      <c r="V819" s="29"/>
      <c r="W819" s="29"/>
      <c r="X819" s="29"/>
      <c r="Y819" s="29"/>
      <c r="Z819" s="29"/>
      <c r="AA819" s="29"/>
      <c r="AB819" s="29"/>
      <c r="AC819" s="29"/>
      <c r="AD819" s="207"/>
    </row>
    <row r="820" spans="18:30" ht="29.25" customHeight="1" x14ac:dyDescent="0.25">
      <c r="R820" s="29"/>
      <c r="S820" s="29"/>
      <c r="T820" s="29"/>
      <c r="U820" s="29"/>
      <c r="V820" s="29"/>
      <c r="W820" s="29"/>
      <c r="X820" s="29"/>
      <c r="Y820" s="29"/>
      <c r="Z820" s="29"/>
      <c r="AA820" s="29"/>
      <c r="AB820" s="29"/>
      <c r="AC820" s="29"/>
      <c r="AD820" s="207"/>
    </row>
    <row r="821" spans="18:30" ht="29.25" customHeight="1" x14ac:dyDescent="0.25">
      <c r="R821" s="29"/>
      <c r="S821" s="29"/>
      <c r="T821" s="29"/>
      <c r="U821" s="29"/>
      <c r="V821" s="29"/>
      <c r="W821" s="29"/>
      <c r="X821" s="29"/>
      <c r="Y821" s="29"/>
      <c r="Z821" s="29"/>
      <c r="AA821" s="29"/>
      <c r="AB821" s="29"/>
      <c r="AC821" s="29"/>
      <c r="AD821" s="207"/>
    </row>
    <row r="822" spans="18:30" ht="29.25" customHeight="1" x14ac:dyDescent="0.25">
      <c r="R822" s="29"/>
      <c r="S822" s="29"/>
      <c r="T822" s="29"/>
      <c r="U822" s="29"/>
      <c r="V822" s="29"/>
      <c r="W822" s="29"/>
      <c r="X822" s="29"/>
      <c r="Y822" s="29"/>
      <c r="Z822" s="29"/>
      <c r="AA822" s="29"/>
      <c r="AB822" s="29"/>
      <c r="AC822" s="29"/>
      <c r="AD822" s="207"/>
    </row>
    <row r="823" spans="18:30" ht="29.25" customHeight="1" x14ac:dyDescent="0.25">
      <c r="R823" s="29"/>
      <c r="S823" s="29"/>
      <c r="T823" s="29"/>
      <c r="U823" s="29"/>
      <c r="V823" s="29"/>
      <c r="W823" s="29"/>
      <c r="X823" s="29"/>
      <c r="Y823" s="29"/>
      <c r="Z823" s="29"/>
      <c r="AA823" s="29"/>
      <c r="AB823" s="29"/>
      <c r="AC823" s="29"/>
      <c r="AD823" s="207"/>
    </row>
    <row r="824" spans="18:30" ht="29.25" customHeight="1" x14ac:dyDescent="0.25">
      <c r="R824" s="29"/>
      <c r="S824" s="29"/>
      <c r="T824" s="29"/>
      <c r="U824" s="29"/>
      <c r="V824" s="29"/>
      <c r="W824" s="29"/>
      <c r="X824" s="29"/>
      <c r="Y824" s="29"/>
      <c r="Z824" s="29"/>
      <c r="AA824" s="29"/>
      <c r="AB824" s="29"/>
      <c r="AC824" s="29"/>
      <c r="AD824" s="207"/>
    </row>
    <row r="825" spans="18:30" ht="29.25" customHeight="1" x14ac:dyDescent="0.25">
      <c r="R825" s="29"/>
      <c r="S825" s="29"/>
      <c r="T825" s="29"/>
      <c r="U825" s="29"/>
      <c r="V825" s="29"/>
      <c r="W825" s="29"/>
      <c r="X825" s="29"/>
      <c r="Y825" s="29"/>
      <c r="Z825" s="29"/>
      <c r="AA825" s="29"/>
      <c r="AB825" s="29"/>
      <c r="AC825" s="29"/>
      <c r="AD825" s="207"/>
    </row>
    <row r="826" spans="18:30" ht="29.25" customHeight="1" x14ac:dyDescent="0.25">
      <c r="R826" s="29"/>
      <c r="S826" s="29"/>
      <c r="T826" s="29"/>
      <c r="U826" s="29"/>
      <c r="V826" s="29"/>
      <c r="W826" s="29"/>
      <c r="X826" s="29"/>
      <c r="Y826" s="29"/>
      <c r="Z826" s="29"/>
      <c r="AA826" s="29"/>
      <c r="AB826" s="29"/>
      <c r="AC826" s="29"/>
      <c r="AD826" s="207"/>
    </row>
    <row r="827" spans="18:30" ht="29.25" customHeight="1" x14ac:dyDescent="0.25">
      <c r="R827" s="29"/>
      <c r="S827" s="29"/>
      <c r="T827" s="29"/>
      <c r="U827" s="29"/>
      <c r="V827" s="29"/>
      <c r="W827" s="29"/>
      <c r="X827" s="29"/>
      <c r="Y827" s="29"/>
      <c r="Z827" s="29"/>
      <c r="AA827" s="29"/>
      <c r="AB827" s="29"/>
      <c r="AC827" s="29"/>
      <c r="AD827" s="207"/>
    </row>
    <row r="828" spans="18:30" ht="29.25" customHeight="1" x14ac:dyDescent="0.25">
      <c r="R828" s="29"/>
      <c r="S828" s="29"/>
      <c r="T828" s="29"/>
      <c r="U828" s="29"/>
      <c r="V828" s="29"/>
      <c r="W828" s="29"/>
      <c r="X828" s="29"/>
      <c r="Y828" s="29"/>
      <c r="Z828" s="29"/>
      <c r="AA828" s="29"/>
      <c r="AB828" s="29"/>
      <c r="AC828" s="29"/>
      <c r="AD828" s="207"/>
    </row>
    <row r="829" spans="18:30" ht="29.25" customHeight="1" x14ac:dyDescent="0.25">
      <c r="R829" s="29"/>
      <c r="S829" s="29"/>
      <c r="T829" s="29"/>
      <c r="U829" s="29"/>
      <c r="V829" s="29"/>
      <c r="W829" s="29"/>
      <c r="X829" s="29"/>
      <c r="Y829" s="29"/>
      <c r="Z829" s="29"/>
      <c r="AA829" s="29"/>
      <c r="AB829" s="29"/>
      <c r="AC829" s="29"/>
      <c r="AD829" s="207"/>
    </row>
    <row r="830" spans="18:30" ht="29.25" customHeight="1" x14ac:dyDescent="0.25">
      <c r="R830" s="29"/>
      <c r="S830" s="29"/>
      <c r="T830" s="29"/>
      <c r="U830" s="29"/>
      <c r="V830" s="29"/>
      <c r="W830" s="29"/>
      <c r="X830" s="29"/>
      <c r="Y830" s="29"/>
      <c r="Z830" s="29"/>
      <c r="AA830" s="29"/>
      <c r="AB830" s="29"/>
      <c r="AC830" s="29"/>
      <c r="AD830" s="207"/>
    </row>
    <row r="831" spans="18:30" ht="29.25" customHeight="1" x14ac:dyDescent="0.25">
      <c r="R831" s="29"/>
      <c r="S831" s="29"/>
      <c r="T831" s="29"/>
      <c r="U831" s="29"/>
      <c r="V831" s="29"/>
      <c r="W831" s="29"/>
      <c r="X831" s="29"/>
      <c r="Y831" s="29"/>
      <c r="Z831" s="29"/>
      <c r="AA831" s="29"/>
      <c r="AB831" s="29"/>
      <c r="AC831" s="29"/>
      <c r="AD831" s="207"/>
    </row>
    <row r="832" spans="18:30" ht="29.25" customHeight="1" x14ac:dyDescent="0.25">
      <c r="R832" s="29"/>
      <c r="S832" s="29"/>
      <c r="T832" s="29"/>
      <c r="U832" s="29"/>
      <c r="V832" s="29"/>
      <c r="W832" s="29"/>
      <c r="X832" s="29"/>
      <c r="Y832" s="29"/>
      <c r="Z832" s="29"/>
      <c r="AA832" s="29"/>
      <c r="AB832" s="29"/>
      <c r="AC832" s="29"/>
      <c r="AD832" s="207"/>
    </row>
    <row r="833" spans="18:30" ht="29.25" customHeight="1" x14ac:dyDescent="0.25">
      <c r="R833" s="29"/>
      <c r="S833" s="29"/>
      <c r="T833" s="29"/>
      <c r="U833" s="29"/>
      <c r="V833" s="29"/>
      <c r="W833" s="29"/>
      <c r="X833" s="29"/>
      <c r="Y833" s="29"/>
      <c r="Z833" s="29"/>
      <c r="AA833" s="29"/>
      <c r="AB833" s="29"/>
      <c r="AC833" s="29"/>
      <c r="AD833" s="207"/>
    </row>
    <row r="834" spans="18:30" ht="29.25" customHeight="1" x14ac:dyDescent="0.25">
      <c r="R834" s="29"/>
      <c r="S834" s="29"/>
      <c r="T834" s="29"/>
      <c r="U834" s="29"/>
      <c r="V834" s="29"/>
      <c r="W834" s="29"/>
      <c r="X834" s="29"/>
      <c r="Y834" s="29"/>
      <c r="Z834" s="29"/>
      <c r="AA834" s="29"/>
      <c r="AB834" s="29"/>
      <c r="AC834" s="29"/>
      <c r="AD834" s="207"/>
    </row>
    <row r="835" spans="18:30" ht="29.25" customHeight="1" x14ac:dyDescent="0.25">
      <c r="R835" s="29"/>
      <c r="S835" s="29"/>
      <c r="T835" s="29"/>
      <c r="U835" s="29"/>
      <c r="V835" s="29"/>
      <c r="W835" s="29"/>
      <c r="X835" s="29"/>
      <c r="Y835" s="29"/>
      <c r="Z835" s="29"/>
      <c r="AA835" s="29"/>
      <c r="AB835" s="29"/>
      <c r="AC835" s="29"/>
      <c r="AD835" s="207"/>
    </row>
    <row r="836" spans="18:30" ht="29.25" customHeight="1" x14ac:dyDescent="0.25">
      <c r="R836" s="29"/>
      <c r="S836" s="29"/>
      <c r="T836" s="29"/>
      <c r="U836" s="29"/>
      <c r="V836" s="29"/>
      <c r="W836" s="29"/>
      <c r="X836" s="29"/>
      <c r="Y836" s="29"/>
      <c r="Z836" s="29"/>
      <c r="AA836" s="29"/>
      <c r="AB836" s="29"/>
      <c r="AC836" s="29"/>
      <c r="AD836" s="207"/>
    </row>
    <row r="837" spans="18:30" ht="29.25" customHeight="1" x14ac:dyDescent="0.25">
      <c r="R837" s="29"/>
      <c r="S837" s="29"/>
      <c r="T837" s="29"/>
      <c r="U837" s="29"/>
      <c r="V837" s="29"/>
      <c r="W837" s="29"/>
      <c r="X837" s="29"/>
      <c r="Y837" s="29"/>
      <c r="Z837" s="29"/>
      <c r="AA837" s="29"/>
      <c r="AB837" s="29"/>
      <c r="AC837" s="29"/>
      <c r="AD837" s="207"/>
    </row>
    <row r="838" spans="18:30" ht="29.25" customHeight="1" x14ac:dyDescent="0.25">
      <c r="R838" s="29"/>
      <c r="S838" s="29"/>
      <c r="T838" s="29"/>
      <c r="U838" s="29"/>
      <c r="V838" s="29"/>
      <c r="W838" s="29"/>
      <c r="X838" s="29"/>
      <c r="Y838" s="29"/>
      <c r="Z838" s="29"/>
      <c r="AA838" s="29"/>
      <c r="AB838" s="29"/>
      <c r="AC838" s="29"/>
      <c r="AD838" s="207"/>
    </row>
    <row r="839" spans="18:30" ht="29.25" customHeight="1" x14ac:dyDescent="0.25">
      <c r="R839" s="29"/>
      <c r="S839" s="29"/>
      <c r="T839" s="29"/>
      <c r="U839" s="29"/>
      <c r="V839" s="29"/>
      <c r="W839" s="29"/>
      <c r="X839" s="29"/>
      <c r="Y839" s="29"/>
      <c r="Z839" s="29"/>
      <c r="AA839" s="29"/>
      <c r="AB839" s="29"/>
      <c r="AC839" s="29"/>
      <c r="AD839" s="207"/>
    </row>
    <row r="840" spans="18:30" ht="29.25" customHeight="1" x14ac:dyDescent="0.25">
      <c r="R840" s="29"/>
      <c r="S840" s="29"/>
      <c r="T840" s="29"/>
      <c r="U840" s="29"/>
      <c r="V840" s="29"/>
      <c r="W840" s="29"/>
      <c r="X840" s="29"/>
      <c r="Y840" s="29"/>
      <c r="Z840" s="29"/>
      <c r="AA840" s="29"/>
      <c r="AB840" s="29"/>
      <c r="AC840" s="29"/>
      <c r="AD840" s="207"/>
    </row>
    <row r="841" spans="18:30" ht="29.25" customHeight="1" x14ac:dyDescent="0.25">
      <c r="R841" s="29"/>
      <c r="S841" s="29"/>
      <c r="T841" s="29"/>
      <c r="U841" s="29"/>
      <c r="V841" s="29"/>
      <c r="W841" s="29"/>
      <c r="X841" s="29"/>
      <c r="Y841" s="29"/>
      <c r="Z841" s="29"/>
      <c r="AA841" s="29"/>
      <c r="AB841" s="29"/>
      <c r="AC841" s="29"/>
      <c r="AD841" s="207"/>
    </row>
    <row r="842" spans="18:30" ht="29.25" customHeight="1" x14ac:dyDescent="0.25">
      <c r="R842" s="29"/>
      <c r="S842" s="29"/>
      <c r="T842" s="29"/>
      <c r="U842" s="29"/>
      <c r="V842" s="29"/>
      <c r="W842" s="29"/>
      <c r="X842" s="29"/>
      <c r="Y842" s="29"/>
      <c r="Z842" s="29"/>
      <c r="AA842" s="29"/>
      <c r="AB842" s="29"/>
      <c r="AC842" s="29"/>
      <c r="AD842" s="207"/>
    </row>
    <row r="843" spans="18:30" ht="29.25" customHeight="1" x14ac:dyDescent="0.25">
      <c r="R843" s="29"/>
      <c r="S843" s="29"/>
      <c r="T843" s="29"/>
      <c r="U843" s="29"/>
      <c r="V843" s="29"/>
      <c r="W843" s="29"/>
      <c r="X843" s="29"/>
      <c r="Y843" s="29"/>
      <c r="Z843" s="29"/>
      <c r="AA843" s="29"/>
      <c r="AB843" s="29"/>
      <c r="AC843" s="29"/>
      <c r="AD843" s="207"/>
    </row>
    <row r="844" spans="18:30" ht="29.25" customHeight="1" x14ac:dyDescent="0.25">
      <c r="R844" s="29"/>
      <c r="S844" s="29"/>
      <c r="T844" s="29"/>
      <c r="U844" s="29"/>
      <c r="V844" s="29"/>
      <c r="W844" s="29"/>
      <c r="X844" s="29"/>
      <c r="Y844" s="29"/>
      <c r="Z844" s="29"/>
      <c r="AA844" s="29"/>
      <c r="AB844" s="29"/>
      <c r="AC844" s="29"/>
      <c r="AD844" s="207"/>
    </row>
    <row r="845" spans="18:30" ht="29.25" customHeight="1" x14ac:dyDescent="0.25">
      <c r="R845" s="29"/>
      <c r="S845" s="29"/>
      <c r="T845" s="29"/>
      <c r="U845" s="29"/>
      <c r="V845" s="29"/>
      <c r="W845" s="29"/>
      <c r="X845" s="29"/>
      <c r="Y845" s="29"/>
      <c r="Z845" s="29"/>
      <c r="AA845" s="29"/>
      <c r="AB845" s="29"/>
      <c r="AC845" s="29"/>
      <c r="AD845" s="207"/>
    </row>
    <row r="846" spans="18:30" ht="29.25" customHeight="1" x14ac:dyDescent="0.25">
      <c r="R846" s="29"/>
      <c r="S846" s="29"/>
      <c r="T846" s="29"/>
      <c r="U846" s="29"/>
      <c r="V846" s="29"/>
      <c r="W846" s="29"/>
      <c r="X846" s="29"/>
      <c r="Y846" s="29"/>
      <c r="Z846" s="29"/>
      <c r="AA846" s="29"/>
      <c r="AB846" s="29"/>
      <c r="AC846" s="29"/>
      <c r="AD846" s="207"/>
    </row>
    <row r="847" spans="18:30" ht="29.25" customHeight="1" x14ac:dyDescent="0.25">
      <c r="R847" s="29"/>
      <c r="S847" s="29"/>
      <c r="T847" s="29"/>
      <c r="U847" s="29"/>
      <c r="V847" s="29"/>
      <c r="W847" s="29"/>
      <c r="X847" s="29"/>
      <c r="Y847" s="29"/>
      <c r="Z847" s="29"/>
      <c r="AA847" s="29"/>
      <c r="AB847" s="29"/>
      <c r="AC847" s="29"/>
      <c r="AD847" s="207"/>
    </row>
    <row r="848" spans="18:30" ht="29.25" customHeight="1" x14ac:dyDescent="0.25">
      <c r="R848" s="29"/>
      <c r="S848" s="29"/>
      <c r="T848" s="29"/>
      <c r="U848" s="29"/>
      <c r="V848" s="29"/>
      <c r="W848" s="29"/>
      <c r="X848" s="29"/>
      <c r="Y848" s="29"/>
      <c r="Z848" s="29"/>
      <c r="AA848" s="29"/>
      <c r="AB848" s="29"/>
      <c r="AC848" s="29"/>
      <c r="AD848" s="207"/>
    </row>
    <row r="849" spans="18:30" ht="29.25" customHeight="1" x14ac:dyDescent="0.25">
      <c r="R849" s="29"/>
      <c r="S849" s="29"/>
      <c r="T849" s="29"/>
      <c r="U849" s="29"/>
      <c r="V849" s="29"/>
      <c r="W849" s="29"/>
      <c r="X849" s="29"/>
      <c r="Y849" s="29"/>
      <c r="Z849" s="29"/>
      <c r="AA849" s="29"/>
      <c r="AB849" s="29"/>
      <c r="AC849" s="29"/>
      <c r="AD849" s="207"/>
    </row>
    <row r="850" spans="18:30" ht="29.25" customHeight="1" x14ac:dyDescent="0.25">
      <c r="R850" s="29"/>
      <c r="S850" s="29"/>
      <c r="T850" s="29"/>
      <c r="U850" s="29"/>
      <c r="V850" s="29"/>
      <c r="W850" s="29"/>
      <c r="X850" s="29"/>
      <c r="Y850" s="29"/>
      <c r="Z850" s="29"/>
      <c r="AA850" s="29"/>
      <c r="AB850" s="29"/>
      <c r="AC850" s="29"/>
      <c r="AD850" s="207"/>
    </row>
    <row r="851" spans="18:30" ht="29.25" customHeight="1" x14ac:dyDescent="0.25">
      <c r="R851" s="29"/>
      <c r="S851" s="29"/>
      <c r="T851" s="29"/>
      <c r="U851" s="29"/>
      <c r="V851" s="29"/>
      <c r="W851" s="29"/>
      <c r="X851" s="29"/>
      <c r="Y851" s="29"/>
      <c r="Z851" s="29"/>
      <c r="AA851" s="29"/>
      <c r="AB851" s="29"/>
      <c r="AC851" s="29"/>
      <c r="AD851" s="207"/>
    </row>
    <row r="852" spans="18:30" ht="29.25" customHeight="1" x14ac:dyDescent="0.25">
      <c r="R852" s="29"/>
      <c r="S852" s="29"/>
      <c r="T852" s="29"/>
      <c r="U852" s="29"/>
      <c r="V852" s="29"/>
      <c r="W852" s="29"/>
      <c r="X852" s="29"/>
      <c r="Y852" s="29"/>
      <c r="Z852" s="29"/>
      <c r="AA852" s="29"/>
      <c r="AB852" s="29"/>
      <c r="AC852" s="29"/>
      <c r="AD852" s="207"/>
    </row>
    <row r="853" spans="18:30" ht="29.25" customHeight="1" x14ac:dyDescent="0.25">
      <c r="R853" s="29"/>
      <c r="S853" s="29"/>
      <c r="T853" s="29"/>
      <c r="U853" s="29"/>
      <c r="V853" s="29"/>
      <c r="W853" s="29"/>
      <c r="X853" s="29"/>
      <c r="Y853" s="29"/>
      <c r="Z853" s="29"/>
      <c r="AA853" s="29"/>
      <c r="AB853" s="29"/>
      <c r="AC853" s="29"/>
      <c r="AD853" s="207"/>
    </row>
    <row r="854" spans="18:30" ht="29.25" customHeight="1" x14ac:dyDescent="0.25">
      <c r="R854" s="29"/>
      <c r="S854" s="29"/>
      <c r="T854" s="29"/>
      <c r="U854" s="29"/>
      <c r="V854" s="29"/>
      <c r="W854" s="29"/>
      <c r="X854" s="29"/>
      <c r="Y854" s="29"/>
      <c r="Z854" s="29"/>
      <c r="AA854" s="29"/>
      <c r="AB854" s="29"/>
      <c r="AC854" s="29"/>
      <c r="AD854" s="207"/>
    </row>
    <row r="855" spans="18:30" ht="29.25" customHeight="1" x14ac:dyDescent="0.25">
      <c r="R855" s="29"/>
      <c r="S855" s="29"/>
      <c r="T855" s="29"/>
      <c r="U855" s="29"/>
      <c r="V855" s="29"/>
      <c r="W855" s="29"/>
      <c r="X855" s="29"/>
      <c r="Y855" s="29"/>
      <c r="Z855" s="29"/>
      <c r="AA855" s="29"/>
      <c r="AB855" s="29"/>
      <c r="AC855" s="29"/>
      <c r="AD855" s="207"/>
    </row>
    <row r="856" spans="18:30" ht="29.25" customHeight="1" x14ac:dyDescent="0.25">
      <c r="R856" s="29"/>
      <c r="S856" s="29"/>
      <c r="T856" s="29"/>
      <c r="U856" s="29"/>
      <c r="V856" s="29"/>
      <c r="W856" s="29"/>
      <c r="X856" s="29"/>
      <c r="Y856" s="29"/>
      <c r="Z856" s="29"/>
      <c r="AA856" s="29"/>
      <c r="AB856" s="29"/>
      <c r="AC856" s="29"/>
      <c r="AD856" s="207"/>
    </row>
    <row r="857" spans="18:30" ht="29.25" customHeight="1" x14ac:dyDescent="0.25">
      <c r="R857" s="29"/>
      <c r="S857" s="29"/>
      <c r="T857" s="29"/>
      <c r="U857" s="29"/>
      <c r="V857" s="29"/>
      <c r="W857" s="29"/>
      <c r="X857" s="29"/>
      <c r="Y857" s="29"/>
      <c r="Z857" s="29"/>
      <c r="AA857" s="29"/>
      <c r="AB857" s="29"/>
      <c r="AC857" s="29"/>
      <c r="AD857" s="207"/>
    </row>
    <row r="858" spans="18:30" ht="29.25" customHeight="1" x14ac:dyDescent="0.25">
      <c r="R858" s="29"/>
      <c r="S858" s="29"/>
      <c r="T858" s="29"/>
      <c r="U858" s="29"/>
      <c r="V858" s="29"/>
      <c r="W858" s="29"/>
      <c r="X858" s="29"/>
      <c r="Y858" s="29"/>
      <c r="Z858" s="29"/>
      <c r="AA858" s="29"/>
      <c r="AB858" s="29"/>
      <c r="AC858" s="29"/>
      <c r="AD858" s="207"/>
    </row>
    <row r="859" spans="18:30" ht="29.25" customHeight="1" x14ac:dyDescent="0.25">
      <c r="R859" s="29"/>
      <c r="S859" s="29"/>
      <c r="T859" s="29"/>
      <c r="U859" s="29"/>
      <c r="V859" s="29"/>
      <c r="W859" s="29"/>
      <c r="X859" s="29"/>
      <c r="Y859" s="29"/>
      <c r="Z859" s="29"/>
      <c r="AA859" s="29"/>
      <c r="AB859" s="29"/>
      <c r="AC859" s="29"/>
      <c r="AD859" s="207"/>
    </row>
    <row r="860" spans="18:30" ht="29.25" customHeight="1" x14ac:dyDescent="0.25">
      <c r="R860" s="29"/>
      <c r="S860" s="29"/>
      <c r="T860" s="29"/>
      <c r="U860" s="29"/>
      <c r="V860" s="29"/>
      <c r="W860" s="29"/>
      <c r="X860" s="29"/>
      <c r="Y860" s="29"/>
      <c r="Z860" s="29"/>
      <c r="AA860" s="29"/>
      <c r="AB860" s="29"/>
      <c r="AC860" s="29"/>
      <c r="AD860" s="207"/>
    </row>
    <row r="861" spans="18:30" ht="29.25" customHeight="1" x14ac:dyDescent="0.25">
      <c r="R861" s="29"/>
      <c r="S861" s="29"/>
      <c r="T861" s="29"/>
      <c r="U861" s="29"/>
      <c r="V861" s="29"/>
      <c r="W861" s="29"/>
      <c r="X861" s="29"/>
      <c r="Y861" s="29"/>
      <c r="Z861" s="29"/>
      <c r="AA861" s="29"/>
      <c r="AB861" s="29"/>
      <c r="AC861" s="29"/>
      <c r="AD861" s="207"/>
    </row>
    <row r="862" spans="18:30" ht="29.25" customHeight="1" x14ac:dyDescent="0.25">
      <c r="R862" s="29"/>
      <c r="S862" s="29"/>
      <c r="T862" s="29"/>
      <c r="U862" s="29"/>
      <c r="V862" s="29"/>
      <c r="W862" s="29"/>
      <c r="X862" s="29"/>
      <c r="Y862" s="29"/>
      <c r="Z862" s="29"/>
      <c r="AA862" s="29"/>
      <c r="AB862" s="29"/>
      <c r="AC862" s="29"/>
      <c r="AD862" s="207"/>
    </row>
    <row r="863" spans="18:30" ht="29.25" customHeight="1" x14ac:dyDescent="0.25">
      <c r="R863" s="29"/>
      <c r="S863" s="29"/>
      <c r="T863" s="29"/>
      <c r="U863" s="29"/>
      <c r="V863" s="29"/>
      <c r="W863" s="29"/>
      <c r="X863" s="29"/>
      <c r="Y863" s="29"/>
      <c r="Z863" s="29"/>
      <c r="AA863" s="29"/>
      <c r="AB863" s="29"/>
      <c r="AC863" s="29"/>
      <c r="AD863" s="207"/>
    </row>
    <row r="864" spans="18:30" ht="29.25" customHeight="1" x14ac:dyDescent="0.25">
      <c r="R864" s="29"/>
      <c r="S864" s="29"/>
      <c r="T864" s="29"/>
      <c r="U864" s="29"/>
      <c r="V864" s="29"/>
      <c r="W864" s="29"/>
      <c r="X864" s="29"/>
      <c r="Y864" s="29"/>
      <c r="Z864" s="29"/>
      <c r="AA864" s="29"/>
      <c r="AB864" s="29"/>
      <c r="AC864" s="29"/>
      <c r="AD864" s="207"/>
    </row>
    <row r="865" spans="18:30" ht="29.25" customHeight="1" x14ac:dyDescent="0.25">
      <c r="R865" s="29"/>
      <c r="S865" s="29"/>
      <c r="T865" s="29"/>
      <c r="U865" s="29"/>
      <c r="V865" s="29"/>
      <c r="W865" s="29"/>
      <c r="X865" s="29"/>
      <c r="Y865" s="29"/>
      <c r="Z865" s="29"/>
      <c r="AA865" s="29"/>
      <c r="AB865" s="29"/>
      <c r="AC865" s="29"/>
      <c r="AD865" s="207"/>
    </row>
    <row r="866" spans="18:30" ht="29.25" customHeight="1" x14ac:dyDescent="0.25">
      <c r="R866" s="29"/>
      <c r="S866" s="29"/>
      <c r="T866" s="29"/>
      <c r="U866" s="29"/>
      <c r="V866" s="29"/>
      <c r="W866" s="29"/>
      <c r="X866" s="29"/>
      <c r="Y866" s="29"/>
      <c r="Z866" s="29"/>
      <c r="AA866" s="29"/>
      <c r="AB866" s="29"/>
      <c r="AC866" s="29"/>
      <c r="AD866" s="207"/>
    </row>
    <row r="867" spans="18:30" ht="29.25" customHeight="1" x14ac:dyDescent="0.25">
      <c r="R867" s="29"/>
      <c r="S867" s="29"/>
      <c r="T867" s="29"/>
      <c r="U867" s="29"/>
      <c r="V867" s="29"/>
      <c r="W867" s="29"/>
      <c r="X867" s="29"/>
      <c r="Y867" s="29"/>
      <c r="Z867" s="29"/>
      <c r="AA867" s="29"/>
      <c r="AB867" s="29"/>
      <c r="AC867" s="29"/>
      <c r="AD867" s="207"/>
    </row>
    <row r="868" spans="18:30" ht="29.25" customHeight="1" x14ac:dyDescent="0.25">
      <c r="R868" s="29"/>
      <c r="S868" s="29"/>
      <c r="T868" s="29"/>
      <c r="U868" s="29"/>
      <c r="V868" s="29"/>
      <c r="W868" s="29"/>
      <c r="X868" s="29"/>
      <c r="Y868" s="29"/>
      <c r="Z868" s="29"/>
      <c r="AA868" s="29"/>
      <c r="AB868" s="29"/>
      <c r="AC868" s="29"/>
      <c r="AD868" s="207"/>
    </row>
    <row r="869" spans="18:30" ht="29.25" customHeight="1" x14ac:dyDescent="0.25">
      <c r="R869" s="29"/>
      <c r="S869" s="29"/>
      <c r="T869" s="29"/>
      <c r="U869" s="29"/>
      <c r="V869" s="29"/>
      <c r="W869" s="29"/>
      <c r="X869" s="29"/>
      <c r="Y869" s="29"/>
      <c r="Z869" s="29"/>
      <c r="AA869" s="29"/>
      <c r="AB869" s="29"/>
      <c r="AC869" s="29"/>
      <c r="AD869" s="207"/>
    </row>
    <row r="870" spans="18:30" ht="29.25" customHeight="1" x14ac:dyDescent="0.25">
      <c r="R870" s="29"/>
      <c r="S870" s="29"/>
      <c r="T870" s="29"/>
      <c r="U870" s="29"/>
      <c r="V870" s="29"/>
      <c r="W870" s="29"/>
      <c r="X870" s="29"/>
      <c r="Y870" s="29"/>
      <c r="Z870" s="29"/>
      <c r="AA870" s="29"/>
      <c r="AB870" s="29"/>
      <c r="AC870" s="29"/>
      <c r="AD870" s="207"/>
    </row>
    <row r="871" spans="18:30" ht="29.25" customHeight="1" x14ac:dyDescent="0.25">
      <c r="R871" s="29"/>
      <c r="S871" s="29"/>
      <c r="T871" s="29"/>
      <c r="U871" s="29"/>
      <c r="V871" s="29"/>
      <c r="W871" s="29"/>
      <c r="X871" s="29"/>
      <c r="Y871" s="29"/>
      <c r="Z871" s="29"/>
      <c r="AA871" s="29"/>
      <c r="AB871" s="29"/>
      <c r="AC871" s="29"/>
      <c r="AD871" s="207"/>
    </row>
    <row r="872" spans="18:30" ht="29.25" customHeight="1" x14ac:dyDescent="0.25">
      <c r="R872" s="29"/>
      <c r="S872" s="29"/>
      <c r="T872" s="29"/>
      <c r="U872" s="29"/>
      <c r="V872" s="29"/>
      <c r="W872" s="29"/>
      <c r="X872" s="29"/>
      <c r="Y872" s="29"/>
      <c r="Z872" s="29"/>
      <c r="AA872" s="29"/>
      <c r="AB872" s="29"/>
      <c r="AC872" s="29"/>
      <c r="AD872" s="207"/>
    </row>
    <row r="873" spans="18:30" ht="29.25" customHeight="1" x14ac:dyDescent="0.25">
      <c r="R873" s="29"/>
      <c r="S873" s="29"/>
      <c r="T873" s="29"/>
      <c r="U873" s="29"/>
      <c r="V873" s="29"/>
      <c r="W873" s="29"/>
      <c r="X873" s="29"/>
      <c r="Y873" s="29"/>
      <c r="Z873" s="29"/>
      <c r="AA873" s="29"/>
      <c r="AB873" s="29"/>
      <c r="AC873" s="29"/>
      <c r="AD873" s="207"/>
    </row>
    <row r="874" spans="18:30" ht="29.25" customHeight="1" x14ac:dyDescent="0.25">
      <c r="R874" s="29"/>
      <c r="S874" s="29"/>
      <c r="T874" s="29"/>
      <c r="U874" s="29"/>
      <c r="V874" s="29"/>
      <c r="W874" s="29"/>
      <c r="X874" s="29"/>
      <c r="Y874" s="29"/>
      <c r="Z874" s="29"/>
      <c r="AA874" s="29"/>
      <c r="AB874" s="29"/>
      <c r="AC874" s="29"/>
      <c r="AD874" s="207"/>
    </row>
    <row r="875" spans="18:30" ht="29.25" customHeight="1" x14ac:dyDescent="0.25">
      <c r="R875" s="29"/>
      <c r="S875" s="29"/>
      <c r="T875" s="29"/>
      <c r="U875" s="29"/>
      <c r="V875" s="29"/>
      <c r="W875" s="29"/>
      <c r="X875" s="29"/>
      <c r="Y875" s="29"/>
      <c r="Z875" s="29"/>
      <c r="AA875" s="29"/>
      <c r="AB875" s="29"/>
      <c r="AC875" s="29"/>
      <c r="AD875" s="207"/>
    </row>
    <row r="876" spans="18:30" ht="29.25" customHeight="1" x14ac:dyDescent="0.25">
      <c r="R876" s="29"/>
      <c r="S876" s="29"/>
      <c r="T876" s="29"/>
      <c r="U876" s="29"/>
      <c r="V876" s="29"/>
      <c r="W876" s="29"/>
      <c r="X876" s="29"/>
      <c r="Y876" s="29"/>
      <c r="Z876" s="29"/>
      <c r="AA876" s="29"/>
      <c r="AB876" s="29"/>
      <c r="AC876" s="29"/>
      <c r="AD876" s="207"/>
    </row>
    <row r="877" spans="18:30" ht="29.25" customHeight="1" x14ac:dyDescent="0.25">
      <c r="R877" s="29"/>
      <c r="S877" s="29"/>
      <c r="T877" s="29"/>
      <c r="U877" s="29"/>
      <c r="V877" s="29"/>
      <c r="W877" s="29"/>
      <c r="X877" s="29"/>
      <c r="Y877" s="29"/>
      <c r="Z877" s="29"/>
      <c r="AA877" s="29"/>
      <c r="AB877" s="29"/>
      <c r="AC877" s="29"/>
      <c r="AD877" s="207"/>
    </row>
    <row r="878" spans="18:30" ht="29.25" customHeight="1" x14ac:dyDescent="0.25">
      <c r="R878" s="29"/>
      <c r="S878" s="29"/>
      <c r="T878" s="29"/>
      <c r="U878" s="29"/>
      <c r="V878" s="29"/>
      <c r="W878" s="29"/>
      <c r="X878" s="29"/>
      <c r="Y878" s="29"/>
      <c r="Z878" s="29"/>
      <c r="AA878" s="29"/>
      <c r="AB878" s="29"/>
      <c r="AC878" s="29"/>
      <c r="AD878" s="207"/>
    </row>
    <row r="879" spans="18:30" ht="29.25" customHeight="1" x14ac:dyDescent="0.25">
      <c r="R879" s="29"/>
      <c r="S879" s="29"/>
      <c r="T879" s="29"/>
      <c r="U879" s="29"/>
      <c r="V879" s="29"/>
      <c r="W879" s="29"/>
      <c r="X879" s="29"/>
      <c r="Y879" s="29"/>
      <c r="Z879" s="29"/>
      <c r="AA879" s="29"/>
      <c r="AB879" s="29"/>
      <c r="AC879" s="29"/>
      <c r="AD879" s="207"/>
    </row>
    <row r="880" spans="18:30" ht="29.25" customHeight="1" x14ac:dyDescent="0.25">
      <c r="R880" s="29"/>
      <c r="S880" s="29"/>
      <c r="T880" s="29"/>
      <c r="U880" s="29"/>
      <c r="V880" s="29"/>
      <c r="W880" s="29"/>
      <c r="X880" s="29"/>
      <c r="Y880" s="29"/>
      <c r="Z880" s="29"/>
      <c r="AA880" s="29"/>
      <c r="AB880" s="29"/>
      <c r="AC880" s="29"/>
      <c r="AD880" s="207"/>
    </row>
    <row r="881" spans="18:30" ht="29.25" customHeight="1" x14ac:dyDescent="0.25">
      <c r="R881" s="29"/>
      <c r="S881" s="29"/>
      <c r="T881" s="29"/>
      <c r="U881" s="29"/>
      <c r="V881" s="29"/>
      <c r="W881" s="29"/>
      <c r="X881" s="29"/>
      <c r="Y881" s="29"/>
      <c r="Z881" s="29"/>
      <c r="AA881" s="29"/>
      <c r="AB881" s="29"/>
      <c r="AC881" s="29"/>
      <c r="AD881" s="207"/>
    </row>
    <row r="882" spans="18:30" ht="29.25" customHeight="1" x14ac:dyDescent="0.25">
      <c r="R882" s="29"/>
      <c r="S882" s="29"/>
      <c r="T882" s="29"/>
      <c r="U882" s="29"/>
      <c r="V882" s="29"/>
      <c r="W882" s="29"/>
      <c r="X882" s="29"/>
      <c r="Y882" s="29"/>
      <c r="Z882" s="29"/>
      <c r="AA882" s="29"/>
      <c r="AB882" s="29"/>
      <c r="AC882" s="29"/>
      <c r="AD882" s="207"/>
    </row>
    <row r="883" spans="18:30" ht="29.25" customHeight="1" x14ac:dyDescent="0.25">
      <c r="R883" s="29"/>
      <c r="S883" s="29"/>
      <c r="T883" s="29"/>
      <c r="U883" s="29"/>
      <c r="V883" s="29"/>
      <c r="W883" s="29"/>
      <c r="X883" s="29"/>
      <c r="Y883" s="29"/>
      <c r="Z883" s="29"/>
      <c r="AA883" s="29"/>
      <c r="AB883" s="29"/>
      <c r="AC883" s="29"/>
      <c r="AD883" s="207"/>
    </row>
    <row r="884" spans="18:30" ht="29.25" customHeight="1" x14ac:dyDescent="0.25">
      <c r="R884" s="29"/>
      <c r="S884" s="29"/>
      <c r="T884" s="29"/>
      <c r="U884" s="29"/>
      <c r="V884" s="29"/>
      <c r="W884" s="29"/>
      <c r="X884" s="29"/>
      <c r="Y884" s="29"/>
      <c r="Z884" s="29"/>
      <c r="AA884" s="29"/>
      <c r="AB884" s="29"/>
      <c r="AC884" s="29"/>
      <c r="AD884" s="207"/>
    </row>
    <row r="885" spans="18:30" ht="29.25" customHeight="1" x14ac:dyDescent="0.25">
      <c r="R885" s="29"/>
      <c r="S885" s="29"/>
      <c r="T885" s="29"/>
      <c r="U885" s="29"/>
      <c r="V885" s="29"/>
      <c r="W885" s="29"/>
      <c r="X885" s="29"/>
      <c r="Y885" s="29"/>
      <c r="Z885" s="29"/>
      <c r="AA885" s="29"/>
      <c r="AB885" s="29"/>
      <c r="AC885" s="29"/>
      <c r="AD885" s="207"/>
    </row>
    <row r="886" spans="18:30" ht="29.25" customHeight="1" x14ac:dyDescent="0.25">
      <c r="R886" s="29"/>
      <c r="S886" s="29"/>
      <c r="T886" s="29"/>
      <c r="U886" s="29"/>
      <c r="V886" s="29"/>
      <c r="W886" s="29"/>
      <c r="X886" s="29"/>
      <c r="Y886" s="29"/>
      <c r="Z886" s="29"/>
      <c r="AA886" s="29"/>
      <c r="AB886" s="29"/>
      <c r="AC886" s="29"/>
      <c r="AD886" s="207"/>
    </row>
    <row r="887" spans="18:30" ht="29.25" customHeight="1" x14ac:dyDescent="0.25">
      <c r="R887" s="29"/>
      <c r="S887" s="29"/>
      <c r="T887" s="29"/>
      <c r="U887" s="29"/>
      <c r="V887" s="29"/>
      <c r="W887" s="29"/>
      <c r="X887" s="29"/>
      <c r="Y887" s="29"/>
      <c r="Z887" s="29"/>
      <c r="AA887" s="29"/>
      <c r="AB887" s="29"/>
      <c r="AC887" s="29"/>
      <c r="AD887" s="207"/>
    </row>
    <row r="888" spans="18:30" ht="29.25" customHeight="1" x14ac:dyDescent="0.25">
      <c r="R888" s="29"/>
      <c r="S888" s="29"/>
      <c r="T888" s="29"/>
      <c r="U888" s="29"/>
      <c r="V888" s="29"/>
      <c r="W888" s="29"/>
      <c r="X888" s="29"/>
      <c r="Y888" s="29"/>
      <c r="Z888" s="29"/>
      <c r="AA888" s="29"/>
      <c r="AB888" s="29"/>
      <c r="AC888" s="29"/>
      <c r="AD888" s="207"/>
    </row>
    <row r="889" spans="18:30" ht="29.25" customHeight="1" x14ac:dyDescent="0.25">
      <c r="R889" s="29"/>
      <c r="S889" s="29"/>
      <c r="T889" s="29"/>
      <c r="U889" s="29"/>
      <c r="V889" s="29"/>
      <c r="W889" s="29"/>
      <c r="X889" s="29"/>
      <c r="Y889" s="29"/>
      <c r="Z889" s="29"/>
      <c r="AA889" s="29"/>
      <c r="AB889" s="29"/>
      <c r="AC889" s="29"/>
      <c r="AD889" s="207"/>
    </row>
    <row r="890" spans="18:30" ht="29.25" customHeight="1" x14ac:dyDescent="0.25">
      <c r="R890" s="29"/>
      <c r="S890" s="29"/>
      <c r="T890" s="29"/>
      <c r="U890" s="29"/>
      <c r="V890" s="29"/>
      <c r="W890" s="29"/>
      <c r="X890" s="29"/>
      <c r="Y890" s="29"/>
      <c r="Z890" s="29"/>
      <c r="AA890" s="29"/>
      <c r="AB890" s="29"/>
      <c r="AC890" s="29"/>
      <c r="AD890" s="207"/>
    </row>
    <row r="891" spans="18:30" ht="29.25" customHeight="1" x14ac:dyDescent="0.25">
      <c r="R891" s="29"/>
      <c r="S891" s="29"/>
      <c r="T891" s="29"/>
      <c r="U891" s="29"/>
      <c r="V891" s="29"/>
      <c r="W891" s="29"/>
      <c r="X891" s="29"/>
      <c r="Y891" s="29"/>
      <c r="Z891" s="29"/>
      <c r="AA891" s="29"/>
      <c r="AB891" s="29"/>
      <c r="AC891" s="29"/>
      <c r="AD891" s="207"/>
    </row>
    <row r="892" spans="18:30" ht="29.25" customHeight="1" x14ac:dyDescent="0.25">
      <c r="R892" s="29"/>
      <c r="S892" s="29"/>
      <c r="T892" s="29"/>
      <c r="U892" s="29"/>
      <c r="V892" s="29"/>
      <c r="W892" s="29"/>
      <c r="X892" s="29"/>
      <c r="Y892" s="29"/>
      <c r="Z892" s="29"/>
      <c r="AA892" s="29"/>
      <c r="AB892" s="29"/>
      <c r="AC892" s="29"/>
      <c r="AD892" s="207"/>
    </row>
    <row r="893" spans="18:30" ht="29.25" customHeight="1" x14ac:dyDescent="0.25">
      <c r="R893" s="29"/>
      <c r="S893" s="29"/>
      <c r="T893" s="29"/>
      <c r="U893" s="29"/>
      <c r="V893" s="29"/>
      <c r="W893" s="29"/>
      <c r="X893" s="29"/>
      <c r="Y893" s="29"/>
      <c r="Z893" s="29"/>
      <c r="AA893" s="29"/>
      <c r="AB893" s="29"/>
      <c r="AC893" s="29"/>
      <c r="AD893" s="207"/>
    </row>
    <row r="894" spans="18:30" ht="29.25" customHeight="1" x14ac:dyDescent="0.25">
      <c r="R894" s="29"/>
      <c r="S894" s="29"/>
      <c r="T894" s="29"/>
      <c r="U894" s="29"/>
      <c r="V894" s="29"/>
      <c r="W894" s="29"/>
      <c r="X894" s="29"/>
      <c r="Y894" s="29"/>
      <c r="Z894" s="29"/>
      <c r="AA894" s="29"/>
      <c r="AB894" s="29"/>
      <c r="AC894" s="29"/>
      <c r="AD894" s="207"/>
    </row>
    <row r="895" spans="18:30" ht="29.25" customHeight="1" x14ac:dyDescent="0.25">
      <c r="R895" s="29"/>
      <c r="S895" s="29"/>
      <c r="T895" s="29"/>
      <c r="U895" s="29"/>
      <c r="V895" s="29"/>
      <c r="W895" s="29"/>
      <c r="X895" s="29"/>
      <c r="Y895" s="29"/>
      <c r="Z895" s="29"/>
      <c r="AA895" s="29"/>
      <c r="AB895" s="29"/>
      <c r="AC895" s="29"/>
      <c r="AD895" s="207"/>
    </row>
    <row r="896" spans="18:30" ht="29.25" customHeight="1" x14ac:dyDescent="0.25">
      <c r="R896" s="29"/>
      <c r="S896" s="29"/>
      <c r="T896" s="29"/>
      <c r="U896" s="29"/>
      <c r="V896" s="29"/>
      <c r="W896" s="29"/>
      <c r="X896" s="29"/>
      <c r="Y896" s="29"/>
      <c r="Z896" s="29"/>
      <c r="AA896" s="29"/>
      <c r="AB896" s="29"/>
      <c r="AC896" s="29"/>
      <c r="AD896" s="207"/>
    </row>
    <row r="897" spans="18:30" ht="29.25" customHeight="1" x14ac:dyDescent="0.25">
      <c r="R897" s="29"/>
      <c r="S897" s="29"/>
      <c r="T897" s="29"/>
      <c r="U897" s="29"/>
      <c r="V897" s="29"/>
      <c r="W897" s="29"/>
      <c r="X897" s="29"/>
      <c r="Y897" s="29"/>
      <c r="Z897" s="29"/>
      <c r="AA897" s="29"/>
      <c r="AB897" s="29"/>
      <c r="AC897" s="29"/>
      <c r="AD897" s="207"/>
    </row>
    <row r="898" spans="18:30" ht="29.25" customHeight="1" x14ac:dyDescent="0.25">
      <c r="R898" s="29"/>
      <c r="S898" s="29"/>
      <c r="T898" s="29"/>
      <c r="U898" s="29"/>
      <c r="V898" s="29"/>
      <c r="W898" s="29"/>
      <c r="X898" s="29"/>
      <c r="Y898" s="29"/>
      <c r="Z898" s="29"/>
      <c r="AA898" s="29"/>
      <c r="AB898" s="29"/>
      <c r="AC898" s="29"/>
      <c r="AD898" s="207"/>
    </row>
    <row r="899" spans="18:30" ht="29.25" customHeight="1" x14ac:dyDescent="0.25">
      <c r="R899" s="29"/>
      <c r="S899" s="29"/>
      <c r="T899" s="29"/>
      <c r="U899" s="29"/>
      <c r="V899" s="29"/>
      <c r="W899" s="29"/>
      <c r="X899" s="29"/>
      <c r="Y899" s="29"/>
      <c r="Z899" s="29"/>
      <c r="AA899" s="29"/>
      <c r="AB899" s="29"/>
      <c r="AC899" s="29"/>
      <c r="AD899" s="207"/>
    </row>
    <row r="900" spans="18:30" ht="29.25" customHeight="1" x14ac:dyDescent="0.25">
      <c r="R900" s="29"/>
      <c r="S900" s="29"/>
      <c r="T900" s="29"/>
      <c r="U900" s="29"/>
      <c r="V900" s="29"/>
      <c r="W900" s="29"/>
      <c r="X900" s="29"/>
      <c r="Y900" s="29"/>
      <c r="Z900" s="29"/>
      <c r="AA900" s="29"/>
      <c r="AB900" s="29"/>
      <c r="AC900" s="29"/>
      <c r="AD900" s="207"/>
    </row>
    <row r="901" spans="18:30" ht="29.25" customHeight="1" x14ac:dyDescent="0.25">
      <c r="R901" s="29"/>
      <c r="S901" s="29"/>
      <c r="T901" s="29"/>
      <c r="U901" s="29"/>
      <c r="V901" s="29"/>
      <c r="W901" s="29"/>
      <c r="X901" s="29"/>
      <c r="Y901" s="29"/>
      <c r="Z901" s="29"/>
      <c r="AA901" s="29"/>
      <c r="AB901" s="29"/>
      <c r="AC901" s="29"/>
      <c r="AD901" s="207"/>
    </row>
    <row r="902" spans="18:30" ht="29.25" customHeight="1" x14ac:dyDescent="0.25">
      <c r="R902" s="29"/>
      <c r="S902" s="29"/>
      <c r="T902" s="29"/>
      <c r="U902" s="29"/>
      <c r="V902" s="29"/>
      <c r="W902" s="29"/>
      <c r="X902" s="29"/>
      <c r="Y902" s="29"/>
      <c r="Z902" s="29"/>
      <c r="AA902" s="29"/>
      <c r="AB902" s="29"/>
      <c r="AC902" s="29"/>
      <c r="AD902" s="207"/>
    </row>
    <row r="903" spans="18:30" ht="29.25" customHeight="1" x14ac:dyDescent="0.25">
      <c r="R903" s="29"/>
      <c r="S903" s="29"/>
      <c r="T903" s="29"/>
      <c r="U903" s="29"/>
      <c r="V903" s="29"/>
      <c r="W903" s="29"/>
      <c r="X903" s="29"/>
      <c r="Y903" s="29"/>
      <c r="Z903" s="29"/>
      <c r="AA903" s="29"/>
      <c r="AB903" s="29"/>
      <c r="AC903" s="29"/>
      <c r="AD903" s="207"/>
    </row>
    <row r="904" spans="18:30" ht="29.25" customHeight="1" x14ac:dyDescent="0.25">
      <c r="R904" s="29"/>
      <c r="S904" s="29"/>
      <c r="T904" s="29"/>
      <c r="U904" s="29"/>
      <c r="V904" s="29"/>
      <c r="W904" s="29"/>
      <c r="X904" s="29"/>
      <c r="Y904" s="29"/>
      <c r="Z904" s="29"/>
      <c r="AA904" s="29"/>
      <c r="AB904" s="29"/>
      <c r="AC904" s="29"/>
      <c r="AD904" s="207"/>
    </row>
    <row r="905" spans="18:30" ht="29.25" customHeight="1" x14ac:dyDescent="0.25">
      <c r="R905" s="29"/>
      <c r="S905" s="29"/>
      <c r="T905" s="29"/>
      <c r="U905" s="29"/>
      <c r="V905" s="29"/>
      <c r="W905" s="29"/>
      <c r="X905" s="29"/>
      <c r="Y905" s="29"/>
      <c r="Z905" s="29"/>
      <c r="AA905" s="29"/>
      <c r="AB905" s="29"/>
      <c r="AC905" s="29"/>
      <c r="AD905" s="207"/>
    </row>
    <row r="906" spans="18:30" ht="29.25" customHeight="1" x14ac:dyDescent="0.25">
      <c r="R906" s="29"/>
      <c r="S906" s="29"/>
      <c r="T906" s="29"/>
      <c r="U906" s="29"/>
      <c r="V906" s="29"/>
      <c r="W906" s="29"/>
      <c r="X906" s="29"/>
      <c r="Y906" s="29"/>
      <c r="Z906" s="29"/>
      <c r="AA906" s="29"/>
      <c r="AB906" s="29"/>
      <c r="AC906" s="29"/>
      <c r="AD906" s="207"/>
    </row>
    <row r="907" spans="18:30" ht="29.25" customHeight="1" x14ac:dyDescent="0.25">
      <c r="R907" s="29"/>
      <c r="S907" s="29"/>
      <c r="T907" s="29"/>
      <c r="U907" s="29"/>
      <c r="V907" s="29"/>
      <c r="W907" s="29"/>
      <c r="X907" s="29"/>
      <c r="Y907" s="29"/>
      <c r="Z907" s="29"/>
      <c r="AA907" s="29"/>
      <c r="AB907" s="29"/>
      <c r="AC907" s="29"/>
      <c r="AD907" s="207"/>
    </row>
    <row r="908" spans="18:30" ht="29.25" customHeight="1" x14ac:dyDescent="0.25">
      <c r="R908" s="29"/>
      <c r="S908" s="29"/>
      <c r="T908" s="29"/>
      <c r="U908" s="29"/>
      <c r="V908" s="29"/>
      <c r="W908" s="29"/>
      <c r="X908" s="29"/>
      <c r="Y908" s="29"/>
      <c r="Z908" s="29"/>
      <c r="AA908" s="29"/>
      <c r="AB908" s="29"/>
      <c r="AC908" s="29"/>
      <c r="AD908" s="207"/>
    </row>
    <row r="909" spans="18:30" ht="29.25" customHeight="1" x14ac:dyDescent="0.25">
      <c r="R909" s="29"/>
      <c r="S909" s="29"/>
      <c r="T909" s="29"/>
      <c r="U909" s="29"/>
      <c r="V909" s="29"/>
      <c r="W909" s="29"/>
      <c r="X909" s="29"/>
      <c r="Y909" s="29"/>
      <c r="Z909" s="29"/>
      <c r="AA909" s="29"/>
      <c r="AB909" s="29"/>
      <c r="AC909" s="29"/>
      <c r="AD909" s="207"/>
    </row>
    <row r="910" spans="18:30" ht="29.25" customHeight="1" x14ac:dyDescent="0.25">
      <c r="R910" s="29"/>
      <c r="S910" s="29"/>
      <c r="T910" s="29"/>
      <c r="U910" s="29"/>
      <c r="V910" s="29"/>
      <c r="W910" s="29"/>
      <c r="X910" s="29"/>
      <c r="Y910" s="29"/>
      <c r="Z910" s="29"/>
      <c r="AA910" s="29"/>
      <c r="AB910" s="29"/>
      <c r="AC910" s="29"/>
      <c r="AD910" s="207"/>
    </row>
    <row r="911" spans="18:30" ht="29.25" customHeight="1" x14ac:dyDescent="0.25">
      <c r="R911" s="29"/>
      <c r="S911" s="29"/>
      <c r="T911" s="29"/>
      <c r="U911" s="29"/>
      <c r="V911" s="29"/>
      <c r="W911" s="29"/>
      <c r="X911" s="29"/>
      <c r="Y911" s="29"/>
      <c r="Z911" s="29"/>
      <c r="AA911" s="29"/>
      <c r="AB911" s="29"/>
      <c r="AC911" s="29"/>
      <c r="AD911" s="207"/>
    </row>
    <row r="912" spans="18:30" ht="29.25" customHeight="1" x14ac:dyDescent="0.25">
      <c r="R912" s="29"/>
      <c r="S912" s="29"/>
      <c r="T912" s="29"/>
      <c r="U912" s="29"/>
      <c r="V912" s="29"/>
      <c r="W912" s="29"/>
      <c r="X912" s="29"/>
      <c r="Y912" s="29"/>
      <c r="Z912" s="29"/>
      <c r="AA912" s="29"/>
      <c r="AB912" s="29"/>
      <c r="AC912" s="29"/>
      <c r="AD912" s="207"/>
    </row>
    <row r="913" spans="18:30" ht="29.25" customHeight="1" x14ac:dyDescent="0.25">
      <c r="R913" s="29"/>
      <c r="S913" s="29"/>
      <c r="T913" s="29"/>
      <c r="U913" s="29"/>
      <c r="V913" s="29"/>
      <c r="W913" s="29"/>
      <c r="X913" s="29"/>
      <c r="Y913" s="29"/>
      <c r="Z913" s="29"/>
      <c r="AA913" s="29"/>
      <c r="AB913" s="29"/>
      <c r="AC913" s="29"/>
      <c r="AD913" s="207"/>
    </row>
    <row r="914" spans="18:30" ht="29.25" customHeight="1" x14ac:dyDescent="0.25">
      <c r="R914" s="29"/>
      <c r="S914" s="29"/>
      <c r="T914" s="29"/>
      <c r="U914" s="29"/>
      <c r="V914" s="29"/>
      <c r="W914" s="29"/>
      <c r="X914" s="29"/>
      <c r="Y914" s="29"/>
      <c r="Z914" s="29"/>
      <c r="AA914" s="29"/>
      <c r="AB914" s="29"/>
      <c r="AC914" s="29"/>
      <c r="AD914" s="207"/>
    </row>
    <row r="915" spans="18:30" ht="29.25" customHeight="1" x14ac:dyDescent="0.25">
      <c r="R915" s="29"/>
      <c r="S915" s="29"/>
      <c r="T915" s="29"/>
      <c r="U915" s="29"/>
      <c r="V915" s="29"/>
      <c r="W915" s="29"/>
      <c r="X915" s="29"/>
      <c r="Y915" s="29"/>
      <c r="Z915" s="29"/>
      <c r="AA915" s="29"/>
      <c r="AB915" s="29"/>
      <c r="AC915" s="29"/>
      <c r="AD915" s="207"/>
    </row>
    <row r="916" spans="18:30" ht="29.25" customHeight="1" x14ac:dyDescent="0.25">
      <c r="R916" s="29"/>
      <c r="S916" s="29"/>
      <c r="T916" s="29"/>
      <c r="U916" s="29"/>
      <c r="V916" s="29"/>
      <c r="W916" s="29"/>
      <c r="X916" s="29"/>
      <c r="Y916" s="29"/>
      <c r="Z916" s="29"/>
      <c r="AA916" s="29"/>
      <c r="AB916" s="29"/>
      <c r="AC916" s="29"/>
      <c r="AD916" s="207"/>
    </row>
    <row r="917" spans="18:30" ht="29.25" customHeight="1" x14ac:dyDescent="0.25">
      <c r="R917" s="29"/>
      <c r="S917" s="29"/>
      <c r="T917" s="29"/>
      <c r="U917" s="29"/>
      <c r="V917" s="29"/>
      <c r="W917" s="29"/>
      <c r="X917" s="29"/>
      <c r="Y917" s="29"/>
      <c r="Z917" s="29"/>
      <c r="AA917" s="29"/>
      <c r="AB917" s="29"/>
      <c r="AC917" s="29"/>
      <c r="AD917" s="207"/>
    </row>
    <row r="918" spans="18:30" ht="29.25" customHeight="1" x14ac:dyDescent="0.25">
      <c r="R918" s="29"/>
      <c r="S918" s="29"/>
      <c r="T918" s="29"/>
      <c r="U918" s="29"/>
      <c r="V918" s="29"/>
      <c r="W918" s="29"/>
      <c r="X918" s="29"/>
      <c r="Y918" s="29"/>
      <c r="Z918" s="29"/>
      <c r="AA918" s="29"/>
      <c r="AB918" s="29"/>
      <c r="AC918" s="29"/>
      <c r="AD918" s="207"/>
    </row>
    <row r="919" spans="18:30" ht="29.25" customHeight="1" x14ac:dyDescent="0.25">
      <c r="R919" s="29"/>
      <c r="S919" s="29"/>
      <c r="T919" s="29"/>
      <c r="U919" s="29"/>
      <c r="V919" s="29"/>
      <c r="W919" s="29"/>
      <c r="X919" s="29"/>
      <c r="Y919" s="29"/>
      <c r="Z919" s="29"/>
      <c r="AA919" s="29"/>
      <c r="AB919" s="29"/>
      <c r="AC919" s="29"/>
      <c r="AD919" s="207"/>
    </row>
    <row r="920" spans="18:30" ht="29.25" customHeight="1" x14ac:dyDescent="0.25">
      <c r="R920" s="29"/>
      <c r="S920" s="29"/>
      <c r="T920" s="29"/>
      <c r="U920" s="29"/>
      <c r="V920" s="29"/>
      <c r="W920" s="29"/>
      <c r="X920" s="29"/>
      <c r="Y920" s="29"/>
      <c r="Z920" s="29"/>
      <c r="AA920" s="29"/>
      <c r="AB920" s="29"/>
      <c r="AC920" s="29"/>
      <c r="AD920" s="207"/>
    </row>
    <row r="921" spans="18:30" ht="29.25" customHeight="1" x14ac:dyDescent="0.25">
      <c r="R921" s="29"/>
      <c r="S921" s="29"/>
      <c r="T921" s="29"/>
      <c r="U921" s="29"/>
      <c r="V921" s="29"/>
      <c r="W921" s="29"/>
      <c r="X921" s="29"/>
      <c r="Y921" s="29"/>
      <c r="Z921" s="29"/>
      <c r="AA921" s="29"/>
      <c r="AB921" s="29"/>
      <c r="AC921" s="29"/>
      <c r="AD921" s="207"/>
    </row>
    <row r="922" spans="18:30" ht="29.25" customHeight="1" x14ac:dyDescent="0.25">
      <c r="R922" s="29"/>
      <c r="S922" s="29"/>
      <c r="T922" s="29"/>
      <c r="U922" s="29"/>
      <c r="V922" s="29"/>
      <c r="W922" s="29"/>
      <c r="X922" s="29"/>
      <c r="Y922" s="29"/>
      <c r="Z922" s="29"/>
      <c r="AA922" s="29"/>
      <c r="AB922" s="29"/>
      <c r="AC922" s="29"/>
      <c r="AD922" s="207"/>
    </row>
    <row r="923" spans="18:30" ht="29.25" customHeight="1" x14ac:dyDescent="0.25">
      <c r="R923" s="29"/>
      <c r="S923" s="29"/>
      <c r="T923" s="29"/>
      <c r="U923" s="29"/>
      <c r="V923" s="29"/>
      <c r="W923" s="29"/>
      <c r="X923" s="29"/>
      <c r="Y923" s="29"/>
      <c r="Z923" s="29"/>
      <c r="AA923" s="29"/>
      <c r="AB923" s="29"/>
      <c r="AC923" s="29"/>
      <c r="AD923" s="207"/>
    </row>
    <row r="924" spans="18:30" ht="29.25" customHeight="1" x14ac:dyDescent="0.25">
      <c r="R924" s="29"/>
      <c r="S924" s="29"/>
      <c r="T924" s="29"/>
      <c r="U924" s="29"/>
      <c r="V924" s="29"/>
      <c r="W924" s="29"/>
      <c r="X924" s="29"/>
      <c r="Y924" s="29"/>
      <c r="Z924" s="29"/>
      <c r="AA924" s="29"/>
      <c r="AB924" s="29"/>
      <c r="AC924" s="29"/>
      <c r="AD924" s="207"/>
    </row>
    <row r="925" spans="18:30" ht="29.25" customHeight="1" x14ac:dyDescent="0.25">
      <c r="R925" s="29"/>
      <c r="S925" s="29"/>
      <c r="T925" s="29"/>
      <c r="U925" s="29"/>
      <c r="V925" s="29"/>
      <c r="W925" s="29"/>
      <c r="X925" s="29"/>
      <c r="Y925" s="29"/>
      <c r="Z925" s="29"/>
      <c r="AA925" s="29"/>
      <c r="AB925" s="29"/>
      <c r="AC925" s="29"/>
      <c r="AD925" s="207"/>
    </row>
    <row r="926" spans="18:30" ht="29.25" customHeight="1" x14ac:dyDescent="0.25">
      <c r="R926" s="29"/>
      <c r="S926" s="29"/>
      <c r="T926" s="29"/>
      <c r="U926" s="29"/>
      <c r="V926" s="29"/>
      <c r="W926" s="29"/>
      <c r="X926" s="29"/>
      <c r="Y926" s="29"/>
      <c r="Z926" s="29"/>
      <c r="AA926" s="29"/>
      <c r="AB926" s="29"/>
      <c r="AC926" s="29"/>
      <c r="AD926" s="207"/>
    </row>
    <row r="927" spans="18:30" ht="29.25" customHeight="1" x14ac:dyDescent="0.25">
      <c r="R927" s="29"/>
      <c r="S927" s="29"/>
      <c r="T927" s="29"/>
      <c r="U927" s="29"/>
      <c r="V927" s="29"/>
      <c r="W927" s="29"/>
      <c r="X927" s="29"/>
      <c r="Y927" s="29"/>
      <c r="Z927" s="29"/>
      <c r="AA927" s="29"/>
      <c r="AB927" s="29"/>
      <c r="AC927" s="29"/>
      <c r="AD927" s="207"/>
    </row>
    <row r="928" spans="18:30" ht="29.25" customHeight="1" x14ac:dyDescent="0.25">
      <c r="R928" s="29"/>
      <c r="S928" s="29"/>
      <c r="T928" s="29"/>
      <c r="U928" s="29"/>
      <c r="V928" s="29"/>
      <c r="W928" s="29"/>
      <c r="X928" s="29"/>
      <c r="Y928" s="29"/>
      <c r="Z928" s="29"/>
      <c r="AA928" s="29"/>
      <c r="AB928" s="29"/>
      <c r="AC928" s="29"/>
      <c r="AD928" s="207"/>
    </row>
    <row r="929" spans="18:30" ht="29.25" customHeight="1" x14ac:dyDescent="0.25">
      <c r="R929" s="29"/>
      <c r="S929" s="29"/>
      <c r="T929" s="29"/>
      <c r="U929" s="29"/>
      <c r="V929" s="29"/>
      <c r="W929" s="29"/>
      <c r="X929" s="29"/>
      <c r="Y929" s="29"/>
      <c r="Z929" s="29"/>
      <c r="AA929" s="29"/>
      <c r="AB929" s="29"/>
      <c r="AC929" s="29"/>
      <c r="AD929" s="207"/>
    </row>
    <row r="930" spans="18:30" ht="29.25" customHeight="1" x14ac:dyDescent="0.25">
      <c r="R930" s="29"/>
      <c r="S930" s="29"/>
      <c r="T930" s="29"/>
      <c r="U930" s="29"/>
      <c r="V930" s="29"/>
      <c r="W930" s="29"/>
      <c r="X930" s="29"/>
      <c r="Y930" s="29"/>
      <c r="Z930" s="29"/>
      <c r="AA930" s="29"/>
      <c r="AB930" s="29"/>
      <c r="AC930" s="29"/>
      <c r="AD930" s="207"/>
    </row>
    <row r="931" spans="18:30" ht="29.25" customHeight="1" x14ac:dyDescent="0.25">
      <c r="R931" s="29"/>
      <c r="S931" s="29"/>
      <c r="T931" s="29"/>
      <c r="U931" s="29"/>
      <c r="V931" s="29"/>
      <c r="W931" s="29"/>
      <c r="X931" s="29"/>
      <c r="Y931" s="29"/>
      <c r="Z931" s="29"/>
      <c r="AA931" s="29"/>
      <c r="AB931" s="29"/>
      <c r="AC931" s="29"/>
      <c r="AD931" s="207"/>
    </row>
    <row r="932" spans="18:30" ht="29.25" customHeight="1" x14ac:dyDescent="0.25">
      <c r="R932" s="29"/>
      <c r="S932" s="29"/>
      <c r="T932" s="29"/>
      <c r="U932" s="29"/>
      <c r="V932" s="29"/>
      <c r="W932" s="29"/>
      <c r="X932" s="29"/>
      <c r="Y932" s="29"/>
      <c r="Z932" s="29"/>
      <c r="AA932" s="29"/>
      <c r="AB932" s="29"/>
      <c r="AC932" s="29"/>
      <c r="AD932" s="207"/>
    </row>
    <row r="933" spans="18:30" ht="29.25" customHeight="1" x14ac:dyDescent="0.25">
      <c r="R933" s="29"/>
      <c r="S933" s="29"/>
      <c r="T933" s="29"/>
      <c r="U933" s="29"/>
      <c r="V933" s="29"/>
      <c r="W933" s="29"/>
      <c r="X933" s="29"/>
      <c r="Y933" s="29"/>
      <c r="Z933" s="29"/>
      <c r="AA933" s="29"/>
      <c r="AB933" s="29"/>
      <c r="AC933" s="29"/>
      <c r="AD933" s="207"/>
    </row>
    <row r="934" spans="18:30" ht="29.25" customHeight="1" x14ac:dyDescent="0.25">
      <c r="R934" s="29"/>
      <c r="S934" s="29"/>
      <c r="T934" s="29"/>
      <c r="U934" s="29"/>
      <c r="V934" s="29"/>
      <c r="W934" s="29"/>
      <c r="X934" s="29"/>
      <c r="Y934" s="29"/>
      <c r="Z934" s="29"/>
      <c r="AA934" s="29"/>
      <c r="AB934" s="29"/>
      <c r="AC934" s="29"/>
      <c r="AD934" s="207"/>
    </row>
    <row r="935" spans="18:30" ht="29.25" customHeight="1" x14ac:dyDescent="0.25">
      <c r="R935" s="29"/>
      <c r="S935" s="29"/>
      <c r="T935" s="29"/>
      <c r="U935" s="29"/>
      <c r="V935" s="29"/>
      <c r="W935" s="29"/>
      <c r="X935" s="29"/>
      <c r="Y935" s="29"/>
      <c r="Z935" s="29"/>
      <c r="AA935" s="29"/>
      <c r="AB935" s="29"/>
      <c r="AC935" s="29"/>
      <c r="AD935" s="207"/>
    </row>
    <row r="936" spans="18:30" ht="29.25" customHeight="1" x14ac:dyDescent="0.25">
      <c r="R936" s="29"/>
      <c r="S936" s="29"/>
      <c r="T936" s="29"/>
      <c r="U936" s="29"/>
      <c r="V936" s="29"/>
      <c r="W936" s="29"/>
      <c r="X936" s="29"/>
      <c r="Y936" s="29"/>
      <c r="Z936" s="29"/>
      <c r="AA936" s="29"/>
      <c r="AB936" s="29"/>
      <c r="AC936" s="29"/>
      <c r="AD936" s="207"/>
    </row>
    <row r="937" spans="18:30" ht="29.25" customHeight="1" x14ac:dyDescent="0.25">
      <c r="R937" s="29"/>
      <c r="S937" s="29"/>
      <c r="T937" s="29"/>
      <c r="U937" s="29"/>
      <c r="V937" s="29"/>
      <c r="W937" s="29"/>
      <c r="X937" s="29"/>
      <c r="Y937" s="29"/>
      <c r="Z937" s="29"/>
      <c r="AA937" s="29"/>
      <c r="AB937" s="29"/>
      <c r="AC937" s="29"/>
      <c r="AD937" s="207"/>
    </row>
    <row r="938" spans="18:30" ht="29.25" customHeight="1" x14ac:dyDescent="0.25">
      <c r="R938" s="29"/>
      <c r="S938" s="29"/>
      <c r="T938" s="29"/>
      <c r="U938" s="29"/>
      <c r="V938" s="29"/>
      <c r="W938" s="29"/>
      <c r="X938" s="29"/>
      <c r="Y938" s="29"/>
      <c r="Z938" s="29"/>
      <c r="AA938" s="29"/>
      <c r="AB938" s="29"/>
      <c r="AC938" s="29"/>
      <c r="AD938" s="207"/>
    </row>
    <row r="939" spans="18:30" ht="29.25" customHeight="1" x14ac:dyDescent="0.25">
      <c r="R939" s="29"/>
      <c r="S939" s="29"/>
      <c r="T939" s="29"/>
      <c r="U939" s="29"/>
      <c r="V939" s="29"/>
      <c r="W939" s="29"/>
      <c r="X939" s="29"/>
      <c r="Y939" s="29"/>
      <c r="Z939" s="29"/>
      <c r="AA939" s="29"/>
      <c r="AB939" s="29"/>
      <c r="AC939" s="29"/>
      <c r="AD939" s="207"/>
    </row>
    <row r="940" spans="18:30" ht="29.25" customHeight="1" x14ac:dyDescent="0.25">
      <c r="R940" s="29"/>
      <c r="S940" s="29"/>
      <c r="T940" s="29"/>
      <c r="U940" s="29"/>
      <c r="V940" s="29"/>
      <c r="W940" s="29"/>
      <c r="X940" s="29"/>
      <c r="Y940" s="29"/>
      <c r="Z940" s="29"/>
      <c r="AA940" s="29"/>
      <c r="AB940" s="29"/>
      <c r="AC940" s="29"/>
      <c r="AD940" s="207"/>
    </row>
    <row r="941" spans="18:30" ht="29.25" customHeight="1" x14ac:dyDescent="0.25">
      <c r="R941" s="29"/>
      <c r="S941" s="29"/>
      <c r="T941" s="29"/>
      <c r="U941" s="29"/>
      <c r="V941" s="29"/>
      <c r="W941" s="29"/>
      <c r="X941" s="29"/>
      <c r="Y941" s="29"/>
      <c r="Z941" s="29"/>
      <c r="AA941" s="29"/>
      <c r="AB941" s="29"/>
      <c r="AC941" s="29"/>
      <c r="AD941" s="207"/>
    </row>
    <row r="942" spans="18:30" ht="29.25" customHeight="1" x14ac:dyDescent="0.25">
      <c r="R942" s="29"/>
      <c r="S942" s="29"/>
      <c r="T942" s="29"/>
      <c r="U942" s="29"/>
      <c r="V942" s="29"/>
      <c r="W942" s="29"/>
      <c r="X942" s="29"/>
      <c r="Y942" s="29"/>
      <c r="Z942" s="29"/>
      <c r="AA942" s="29"/>
      <c r="AB942" s="29"/>
      <c r="AC942" s="29"/>
      <c r="AD942" s="207"/>
    </row>
    <row r="943" spans="18:30" ht="29.25" customHeight="1" x14ac:dyDescent="0.25">
      <c r="R943" s="29"/>
      <c r="S943" s="29"/>
      <c r="T943" s="29"/>
      <c r="U943" s="29"/>
      <c r="V943" s="29"/>
      <c r="W943" s="29"/>
      <c r="X943" s="29"/>
      <c r="Y943" s="29"/>
      <c r="Z943" s="29"/>
      <c r="AA943" s="29"/>
      <c r="AB943" s="29"/>
      <c r="AC943" s="29"/>
      <c r="AD943" s="207"/>
    </row>
    <row r="944" spans="18:30" ht="29.25" customHeight="1" x14ac:dyDescent="0.25">
      <c r="R944" s="29"/>
      <c r="S944" s="29"/>
      <c r="T944" s="29"/>
      <c r="U944" s="29"/>
      <c r="V944" s="29"/>
      <c r="W944" s="29"/>
      <c r="X944" s="29"/>
      <c r="Y944" s="29"/>
      <c r="Z944" s="29"/>
      <c r="AA944" s="29"/>
      <c r="AB944" s="29"/>
      <c r="AC944" s="29"/>
      <c r="AD944" s="207"/>
    </row>
    <row r="945" spans="18:30" ht="29.25" customHeight="1" x14ac:dyDescent="0.25">
      <c r="R945" s="29"/>
      <c r="S945" s="29"/>
      <c r="T945" s="29"/>
      <c r="U945" s="29"/>
      <c r="V945" s="29"/>
      <c r="W945" s="29"/>
      <c r="X945" s="29"/>
      <c r="Y945" s="29"/>
      <c r="Z945" s="29"/>
      <c r="AA945" s="29"/>
      <c r="AB945" s="29"/>
      <c r="AC945" s="29"/>
      <c r="AD945" s="207"/>
    </row>
    <row r="946" spans="18:30" ht="29.25" customHeight="1" x14ac:dyDescent="0.25">
      <c r="R946" s="29"/>
      <c r="S946" s="29"/>
      <c r="T946" s="29"/>
      <c r="U946" s="29"/>
      <c r="V946" s="29"/>
      <c r="W946" s="29"/>
      <c r="X946" s="29"/>
      <c r="Y946" s="29"/>
      <c r="Z946" s="29"/>
      <c r="AA946" s="29"/>
      <c r="AB946" s="29"/>
      <c r="AC946" s="29"/>
      <c r="AD946" s="207"/>
    </row>
    <row r="947" spans="18:30" ht="29.25" customHeight="1" x14ac:dyDescent="0.25">
      <c r="R947" s="29"/>
      <c r="S947" s="29"/>
      <c r="T947" s="29"/>
      <c r="U947" s="29"/>
      <c r="V947" s="29"/>
      <c r="W947" s="29"/>
      <c r="X947" s="29"/>
      <c r="Y947" s="29"/>
      <c r="Z947" s="29"/>
      <c r="AA947" s="29"/>
      <c r="AB947" s="29"/>
      <c r="AC947" s="29"/>
      <c r="AD947" s="207"/>
    </row>
    <row r="948" spans="18:30" ht="29.25" customHeight="1" x14ac:dyDescent="0.25">
      <c r="R948" s="29"/>
      <c r="S948" s="29"/>
      <c r="T948" s="29"/>
      <c r="U948" s="29"/>
      <c r="V948" s="29"/>
      <c r="W948" s="29"/>
      <c r="X948" s="29"/>
      <c r="Y948" s="29"/>
      <c r="Z948" s="29"/>
      <c r="AA948" s="29"/>
      <c r="AB948" s="29"/>
      <c r="AC948" s="29"/>
      <c r="AD948" s="207"/>
    </row>
    <row r="949" spans="18:30" ht="29.25" customHeight="1" x14ac:dyDescent="0.25">
      <c r="R949" s="29"/>
      <c r="S949" s="29"/>
      <c r="T949" s="29"/>
      <c r="U949" s="29"/>
      <c r="V949" s="29"/>
      <c r="W949" s="29"/>
      <c r="X949" s="29"/>
      <c r="Y949" s="29"/>
      <c r="Z949" s="29"/>
      <c r="AA949" s="29"/>
      <c r="AB949" s="29"/>
      <c r="AC949" s="29"/>
      <c r="AD949" s="207"/>
    </row>
    <row r="950" spans="18:30" ht="29.25" customHeight="1" x14ac:dyDescent="0.25">
      <c r="R950" s="29"/>
      <c r="S950" s="29"/>
      <c r="T950" s="29"/>
      <c r="U950" s="29"/>
      <c r="V950" s="29"/>
      <c r="W950" s="29"/>
      <c r="X950" s="29"/>
      <c r="Y950" s="29"/>
      <c r="Z950" s="29"/>
      <c r="AA950" s="29"/>
      <c r="AB950" s="29"/>
      <c r="AC950" s="29"/>
      <c r="AD950" s="207"/>
    </row>
    <row r="951" spans="18:30" ht="29.25" customHeight="1" x14ac:dyDescent="0.25">
      <c r="R951" s="29"/>
      <c r="S951" s="29"/>
      <c r="T951" s="29"/>
      <c r="U951" s="29"/>
      <c r="V951" s="29"/>
      <c r="W951" s="29"/>
      <c r="X951" s="29"/>
      <c r="Y951" s="29"/>
      <c r="Z951" s="29"/>
      <c r="AA951" s="29"/>
      <c r="AB951" s="29"/>
      <c r="AC951" s="29"/>
      <c r="AD951" s="207"/>
    </row>
    <row r="952" spans="18:30" ht="29.25" customHeight="1" x14ac:dyDescent="0.25">
      <c r="R952" s="29"/>
      <c r="S952" s="29"/>
      <c r="T952" s="29"/>
      <c r="U952" s="29"/>
      <c r="V952" s="29"/>
      <c r="W952" s="29"/>
      <c r="X952" s="29"/>
      <c r="Y952" s="29"/>
      <c r="Z952" s="29"/>
      <c r="AA952" s="29"/>
      <c r="AB952" s="29"/>
      <c r="AC952" s="29"/>
      <c r="AD952" s="207"/>
    </row>
    <row r="953" spans="18:30" ht="29.25" customHeight="1" x14ac:dyDescent="0.25">
      <c r="R953" s="29"/>
      <c r="S953" s="29"/>
      <c r="T953" s="29"/>
      <c r="U953" s="29"/>
      <c r="V953" s="29"/>
      <c r="W953" s="29"/>
      <c r="X953" s="29"/>
      <c r="Y953" s="29"/>
      <c r="Z953" s="29"/>
      <c r="AA953" s="29"/>
      <c r="AB953" s="29"/>
      <c r="AC953" s="29"/>
      <c r="AD953" s="207"/>
    </row>
    <row r="954" spans="18:30" ht="29.25" customHeight="1" x14ac:dyDescent="0.25">
      <c r="R954" s="29"/>
      <c r="S954" s="29"/>
      <c r="T954" s="29"/>
      <c r="U954" s="29"/>
      <c r="V954" s="29"/>
      <c r="W954" s="29"/>
      <c r="X954" s="29"/>
      <c r="Y954" s="29"/>
      <c r="Z954" s="29"/>
      <c r="AA954" s="29"/>
      <c r="AB954" s="29"/>
      <c r="AC954" s="29"/>
      <c r="AD954" s="207"/>
    </row>
    <row r="955" spans="18:30" ht="29.25" customHeight="1" x14ac:dyDescent="0.25">
      <c r="R955" s="29"/>
      <c r="S955" s="29"/>
      <c r="T955" s="29"/>
      <c r="U955" s="29"/>
      <c r="V955" s="29"/>
      <c r="W955" s="29"/>
      <c r="X955" s="29"/>
      <c r="Y955" s="29"/>
      <c r="Z955" s="29"/>
      <c r="AA955" s="29"/>
      <c r="AB955" s="29"/>
      <c r="AC955" s="29"/>
      <c r="AD955" s="207"/>
    </row>
    <row r="956" spans="18:30" ht="29.25" customHeight="1" x14ac:dyDescent="0.25">
      <c r="R956" s="29"/>
      <c r="S956" s="29"/>
      <c r="T956" s="29"/>
      <c r="U956" s="29"/>
      <c r="V956" s="29"/>
      <c r="W956" s="29"/>
      <c r="X956" s="29"/>
      <c r="Y956" s="29"/>
      <c r="Z956" s="29"/>
      <c r="AA956" s="29"/>
      <c r="AB956" s="29"/>
      <c r="AC956" s="29"/>
      <c r="AD956" s="207"/>
    </row>
    <row r="957" spans="18:30" ht="29.25" customHeight="1" x14ac:dyDescent="0.25">
      <c r="R957" s="29"/>
      <c r="S957" s="29"/>
      <c r="T957" s="29"/>
      <c r="U957" s="29"/>
      <c r="V957" s="29"/>
      <c r="W957" s="29"/>
      <c r="X957" s="29"/>
      <c r="Y957" s="29"/>
      <c r="Z957" s="29"/>
      <c r="AA957" s="29"/>
      <c r="AB957" s="29"/>
      <c r="AC957" s="29"/>
      <c r="AD957" s="207"/>
    </row>
    <row r="958" spans="18:30" ht="29.25" customHeight="1" x14ac:dyDescent="0.25">
      <c r="R958" s="29"/>
      <c r="S958" s="29"/>
      <c r="T958" s="29"/>
      <c r="U958" s="29"/>
      <c r="V958" s="29"/>
      <c r="W958" s="29"/>
      <c r="X958" s="29"/>
      <c r="Y958" s="29"/>
      <c r="Z958" s="29"/>
      <c r="AA958" s="29"/>
      <c r="AB958" s="29"/>
      <c r="AC958" s="29"/>
      <c r="AD958" s="207"/>
    </row>
    <row r="959" spans="18:30" ht="29.25" customHeight="1" x14ac:dyDescent="0.25">
      <c r="R959" s="29"/>
      <c r="S959" s="29"/>
      <c r="T959" s="29"/>
      <c r="U959" s="29"/>
      <c r="V959" s="29"/>
      <c r="W959" s="29"/>
      <c r="X959" s="29"/>
      <c r="Y959" s="29"/>
      <c r="Z959" s="29"/>
      <c r="AA959" s="29"/>
      <c r="AB959" s="29"/>
      <c r="AC959" s="29"/>
      <c r="AD959" s="207"/>
    </row>
    <row r="960" spans="18:30" ht="29.25" customHeight="1" x14ac:dyDescent="0.25">
      <c r="R960" s="29"/>
      <c r="S960" s="29"/>
      <c r="T960" s="29"/>
      <c r="U960" s="29"/>
      <c r="V960" s="29"/>
      <c r="W960" s="29"/>
      <c r="X960" s="29"/>
      <c r="Y960" s="29"/>
      <c r="Z960" s="29"/>
      <c r="AA960" s="29"/>
      <c r="AB960" s="29"/>
      <c r="AC960" s="29"/>
      <c r="AD960" s="207"/>
    </row>
    <row r="961" spans="18:30" ht="29.25" customHeight="1" x14ac:dyDescent="0.25">
      <c r="R961" s="29"/>
      <c r="S961" s="29"/>
      <c r="T961" s="29"/>
      <c r="U961" s="29"/>
      <c r="V961" s="29"/>
      <c r="W961" s="29"/>
      <c r="X961" s="29"/>
      <c r="Y961" s="29"/>
      <c r="Z961" s="29"/>
      <c r="AA961" s="29"/>
      <c r="AB961" s="29"/>
      <c r="AC961" s="29"/>
      <c r="AD961" s="207"/>
    </row>
    <row r="962" spans="18:30" ht="29.25" customHeight="1" x14ac:dyDescent="0.25">
      <c r="R962" s="29"/>
      <c r="S962" s="29"/>
      <c r="T962" s="29"/>
      <c r="U962" s="29"/>
      <c r="V962" s="29"/>
      <c r="W962" s="29"/>
      <c r="X962" s="29"/>
      <c r="Y962" s="29"/>
      <c r="Z962" s="29"/>
      <c r="AA962" s="29"/>
      <c r="AB962" s="29"/>
      <c r="AC962" s="29"/>
      <c r="AD962" s="207"/>
    </row>
    <row r="963" spans="18:30" ht="29.25" customHeight="1" x14ac:dyDescent="0.25">
      <c r="R963" s="29"/>
      <c r="S963" s="29"/>
      <c r="T963" s="29"/>
      <c r="U963" s="29"/>
      <c r="V963" s="29"/>
      <c r="W963" s="29"/>
      <c r="X963" s="29"/>
      <c r="Y963" s="29"/>
      <c r="Z963" s="29"/>
      <c r="AA963" s="29"/>
      <c r="AB963" s="29"/>
      <c r="AC963" s="29"/>
      <c r="AD963" s="207"/>
    </row>
    <row r="964" spans="18:30" ht="29.25" customHeight="1" x14ac:dyDescent="0.25">
      <c r="R964" s="29"/>
      <c r="S964" s="29"/>
      <c r="T964" s="29"/>
      <c r="U964" s="29"/>
      <c r="V964" s="29"/>
      <c r="W964" s="29"/>
      <c r="X964" s="29"/>
      <c r="Y964" s="29"/>
      <c r="Z964" s="29"/>
      <c r="AA964" s="29"/>
      <c r="AB964" s="29"/>
      <c r="AC964" s="29"/>
      <c r="AD964" s="207"/>
    </row>
    <row r="965" spans="18:30" ht="29.25" customHeight="1" x14ac:dyDescent="0.25">
      <c r="R965" s="29"/>
      <c r="S965" s="29"/>
      <c r="T965" s="29"/>
      <c r="U965" s="29"/>
      <c r="V965" s="29"/>
      <c r="W965" s="29"/>
      <c r="X965" s="29"/>
      <c r="Y965" s="29"/>
      <c r="Z965" s="29"/>
      <c r="AA965" s="29"/>
      <c r="AB965" s="29"/>
      <c r="AC965" s="29"/>
      <c r="AD965" s="207"/>
    </row>
    <row r="966" spans="18:30" ht="29.25" customHeight="1" x14ac:dyDescent="0.25">
      <c r="R966" s="29"/>
      <c r="S966" s="29"/>
      <c r="T966" s="29"/>
      <c r="U966" s="29"/>
      <c r="V966" s="29"/>
      <c r="W966" s="29"/>
      <c r="X966" s="29"/>
      <c r="Y966" s="29"/>
      <c r="Z966" s="29"/>
      <c r="AA966" s="29"/>
      <c r="AB966" s="29"/>
      <c r="AC966" s="29"/>
      <c r="AD966" s="207"/>
    </row>
    <row r="967" spans="18:30" ht="29.25" customHeight="1" x14ac:dyDescent="0.25">
      <c r="R967" s="29"/>
      <c r="S967" s="29"/>
      <c r="T967" s="29"/>
      <c r="U967" s="29"/>
      <c r="V967" s="29"/>
      <c r="W967" s="29"/>
      <c r="X967" s="29"/>
      <c r="Y967" s="29"/>
      <c r="Z967" s="29"/>
      <c r="AA967" s="29"/>
      <c r="AB967" s="29"/>
      <c r="AC967" s="29"/>
      <c r="AD967" s="207"/>
    </row>
    <row r="968" spans="18:30" ht="29.25" customHeight="1" x14ac:dyDescent="0.25">
      <c r="R968" s="29"/>
      <c r="S968" s="29"/>
      <c r="T968" s="29"/>
      <c r="U968" s="29"/>
      <c r="V968" s="29"/>
      <c r="W968" s="29"/>
      <c r="X968" s="29"/>
      <c r="Y968" s="29"/>
      <c r="Z968" s="29"/>
      <c r="AA968" s="29"/>
      <c r="AB968" s="29"/>
      <c r="AC968" s="29"/>
      <c r="AD968" s="207"/>
    </row>
    <row r="969" spans="18:30" ht="29.25" customHeight="1" x14ac:dyDescent="0.25">
      <c r="R969" s="29"/>
      <c r="S969" s="29"/>
      <c r="T969" s="29"/>
      <c r="U969" s="29"/>
      <c r="V969" s="29"/>
      <c r="W969" s="29"/>
      <c r="X969" s="29"/>
      <c r="Y969" s="29"/>
      <c r="Z969" s="29"/>
      <c r="AA969" s="29"/>
      <c r="AB969" s="29"/>
      <c r="AC969" s="29"/>
      <c r="AD969" s="207"/>
    </row>
    <row r="970" spans="18:30" ht="29.25" customHeight="1" x14ac:dyDescent="0.25">
      <c r="R970" s="29"/>
      <c r="S970" s="29"/>
      <c r="T970" s="29"/>
      <c r="U970" s="29"/>
      <c r="V970" s="29"/>
      <c r="W970" s="29"/>
      <c r="X970" s="29"/>
      <c r="Y970" s="29"/>
      <c r="Z970" s="29"/>
      <c r="AA970" s="29"/>
      <c r="AB970" s="29"/>
      <c r="AC970" s="29"/>
      <c r="AD970" s="207"/>
    </row>
    <row r="971" spans="18:30" ht="29.25" customHeight="1" x14ac:dyDescent="0.25">
      <c r="R971" s="29"/>
      <c r="S971" s="29"/>
      <c r="T971" s="29"/>
      <c r="U971" s="29"/>
      <c r="V971" s="29"/>
      <c r="W971" s="29"/>
      <c r="X971" s="29"/>
      <c r="Y971" s="29"/>
      <c r="Z971" s="29"/>
      <c r="AA971" s="29"/>
      <c r="AB971" s="29"/>
      <c r="AC971" s="29"/>
      <c r="AD971" s="207"/>
    </row>
    <row r="972" spans="18:30" ht="29.25" customHeight="1" x14ac:dyDescent="0.25">
      <c r="R972" s="29"/>
      <c r="S972" s="29"/>
      <c r="T972" s="29"/>
      <c r="U972" s="29"/>
      <c r="V972" s="29"/>
      <c r="W972" s="29"/>
      <c r="X972" s="29"/>
      <c r="Y972" s="29"/>
      <c r="Z972" s="29"/>
      <c r="AA972" s="29"/>
      <c r="AB972" s="29"/>
      <c r="AC972" s="29"/>
      <c r="AD972" s="207"/>
    </row>
    <row r="973" spans="18:30" ht="29.25" customHeight="1" x14ac:dyDescent="0.25">
      <c r="R973" s="29"/>
      <c r="S973" s="29"/>
      <c r="T973" s="29"/>
      <c r="U973" s="29"/>
      <c r="V973" s="29"/>
      <c r="W973" s="29"/>
      <c r="X973" s="29"/>
      <c r="Y973" s="29"/>
      <c r="Z973" s="29"/>
      <c r="AA973" s="29"/>
      <c r="AB973" s="29"/>
      <c r="AC973" s="29"/>
      <c r="AD973" s="207"/>
    </row>
    <row r="974" spans="18:30" ht="29.25" customHeight="1" x14ac:dyDescent="0.25">
      <c r="R974" s="29"/>
      <c r="S974" s="29"/>
      <c r="T974" s="29"/>
      <c r="U974" s="29"/>
      <c r="V974" s="29"/>
      <c r="W974" s="29"/>
      <c r="X974" s="29"/>
      <c r="Y974" s="29"/>
      <c r="Z974" s="29"/>
      <c r="AA974" s="29"/>
      <c r="AB974" s="29"/>
      <c r="AC974" s="29"/>
      <c r="AD974" s="207"/>
    </row>
    <row r="975" spans="18:30" ht="29.25" customHeight="1" x14ac:dyDescent="0.25">
      <c r="R975" s="29"/>
      <c r="S975" s="29"/>
      <c r="T975" s="29"/>
      <c r="U975" s="29"/>
      <c r="V975" s="29"/>
      <c r="W975" s="29"/>
      <c r="X975" s="29"/>
      <c r="Y975" s="29"/>
      <c r="Z975" s="29"/>
      <c r="AA975" s="29"/>
      <c r="AB975" s="29"/>
      <c r="AC975" s="29"/>
      <c r="AD975" s="207"/>
    </row>
    <row r="976" spans="18:30" ht="29.25" customHeight="1" x14ac:dyDescent="0.25">
      <c r="R976" s="29"/>
      <c r="S976" s="29"/>
      <c r="T976" s="29"/>
      <c r="U976" s="29"/>
      <c r="V976" s="29"/>
      <c r="W976" s="29"/>
      <c r="X976" s="29"/>
      <c r="Y976" s="29"/>
      <c r="Z976" s="29"/>
      <c r="AA976" s="29"/>
      <c r="AB976" s="29"/>
      <c r="AC976" s="29"/>
      <c r="AD976" s="207"/>
    </row>
    <row r="977" spans="18:30" ht="29.25" customHeight="1" x14ac:dyDescent="0.25">
      <c r="R977" s="29"/>
      <c r="S977" s="29"/>
      <c r="T977" s="29"/>
      <c r="U977" s="29"/>
      <c r="V977" s="29"/>
      <c r="W977" s="29"/>
      <c r="X977" s="29"/>
      <c r="Y977" s="29"/>
      <c r="Z977" s="29"/>
      <c r="AA977" s="29"/>
      <c r="AB977" s="29"/>
      <c r="AC977" s="29"/>
      <c r="AD977" s="207"/>
    </row>
    <row r="978" spans="18:30" ht="29.25" customHeight="1" x14ac:dyDescent="0.25">
      <c r="R978" s="29"/>
      <c r="S978" s="29"/>
      <c r="T978" s="29"/>
      <c r="U978" s="29"/>
      <c r="V978" s="29"/>
      <c r="W978" s="29"/>
      <c r="X978" s="29"/>
      <c r="Y978" s="29"/>
      <c r="Z978" s="29"/>
      <c r="AA978" s="29"/>
      <c r="AB978" s="29"/>
      <c r="AC978" s="29"/>
      <c r="AD978" s="207"/>
    </row>
    <row r="979" spans="18:30" ht="29.25" customHeight="1" x14ac:dyDescent="0.25">
      <c r="R979" s="29"/>
      <c r="S979" s="29"/>
      <c r="T979" s="29"/>
      <c r="U979" s="29"/>
      <c r="V979" s="29"/>
      <c r="W979" s="29"/>
      <c r="X979" s="29"/>
      <c r="Y979" s="29"/>
      <c r="Z979" s="29"/>
      <c r="AA979" s="29"/>
      <c r="AB979" s="29"/>
      <c r="AC979" s="29"/>
      <c r="AD979" s="207"/>
    </row>
    <row r="980" spans="18:30" ht="29.25" customHeight="1" x14ac:dyDescent="0.25">
      <c r="R980" s="29"/>
      <c r="S980" s="29"/>
      <c r="T980" s="29"/>
      <c r="U980" s="29"/>
      <c r="V980" s="29"/>
      <c r="W980" s="29"/>
      <c r="X980" s="29"/>
      <c r="Y980" s="29"/>
      <c r="Z980" s="29"/>
      <c r="AA980" s="29"/>
      <c r="AB980" s="29"/>
      <c r="AC980" s="29"/>
      <c r="AD980" s="207"/>
    </row>
    <row r="981" spans="18:30" ht="29.25" customHeight="1" x14ac:dyDescent="0.25">
      <c r="R981" s="29"/>
      <c r="S981" s="29"/>
      <c r="T981" s="29"/>
      <c r="U981" s="29"/>
      <c r="V981" s="29"/>
      <c r="W981" s="29"/>
      <c r="X981" s="29"/>
      <c r="Y981" s="29"/>
      <c r="Z981" s="29"/>
      <c r="AA981" s="29"/>
      <c r="AB981" s="29"/>
      <c r="AC981" s="29"/>
      <c r="AD981" s="207"/>
    </row>
    <row r="982" spans="18:30" ht="29.25" customHeight="1" x14ac:dyDescent="0.25">
      <c r="R982" s="29"/>
      <c r="S982" s="29"/>
      <c r="T982" s="29"/>
      <c r="U982" s="29"/>
      <c r="V982" s="29"/>
      <c r="W982" s="29"/>
      <c r="X982" s="29"/>
      <c r="Y982" s="29"/>
      <c r="Z982" s="29"/>
      <c r="AA982" s="29"/>
      <c r="AB982" s="29"/>
      <c r="AC982" s="29"/>
      <c r="AD982" s="207"/>
    </row>
    <row r="983" spans="18:30" ht="29.25" customHeight="1" x14ac:dyDescent="0.25">
      <c r="R983" s="29"/>
      <c r="S983" s="29"/>
      <c r="T983" s="29"/>
      <c r="U983" s="29"/>
      <c r="V983" s="29"/>
      <c r="W983" s="29"/>
      <c r="X983" s="29"/>
      <c r="Y983" s="29"/>
      <c r="Z983" s="29"/>
      <c r="AA983" s="29"/>
      <c r="AB983" s="29"/>
      <c r="AC983" s="29"/>
      <c r="AD983" s="207"/>
    </row>
    <row r="984" spans="18:30" ht="29.25" customHeight="1" x14ac:dyDescent="0.25">
      <c r="R984" s="29"/>
      <c r="S984" s="29"/>
      <c r="T984" s="29"/>
      <c r="U984" s="29"/>
      <c r="V984" s="29"/>
      <c r="W984" s="29"/>
      <c r="X984" s="29"/>
      <c r="Y984" s="29"/>
      <c r="Z984" s="29"/>
      <c r="AA984" s="29"/>
      <c r="AB984" s="29"/>
      <c r="AC984" s="29"/>
      <c r="AD984" s="207"/>
    </row>
    <row r="985" spans="18:30" ht="29.25" customHeight="1" x14ac:dyDescent="0.25">
      <c r="R985" s="29"/>
      <c r="S985" s="29"/>
      <c r="T985" s="29"/>
      <c r="U985" s="29"/>
      <c r="V985" s="29"/>
      <c r="W985" s="29"/>
      <c r="X985" s="29"/>
      <c r="Y985" s="29"/>
      <c r="Z985" s="29"/>
      <c r="AA985" s="29"/>
      <c r="AB985" s="29"/>
      <c r="AC985" s="29"/>
      <c r="AD985" s="207"/>
    </row>
    <row r="986" spans="18:30" ht="29.25" customHeight="1" x14ac:dyDescent="0.25">
      <c r="R986" s="29"/>
      <c r="S986" s="29"/>
      <c r="T986" s="29"/>
      <c r="U986" s="29"/>
      <c r="V986" s="29"/>
      <c r="W986" s="29"/>
      <c r="X986" s="29"/>
      <c r="Y986" s="29"/>
      <c r="Z986" s="29"/>
      <c r="AA986" s="29"/>
      <c r="AB986" s="29"/>
      <c r="AC986" s="29"/>
      <c r="AD986" s="207"/>
    </row>
    <row r="987" spans="18:30" ht="29.25" customHeight="1" x14ac:dyDescent="0.25">
      <c r="R987" s="29"/>
      <c r="S987" s="29"/>
      <c r="T987" s="29"/>
      <c r="U987" s="29"/>
      <c r="V987" s="29"/>
      <c r="W987" s="29"/>
      <c r="X987" s="29"/>
      <c r="Y987" s="29"/>
      <c r="Z987" s="29"/>
      <c r="AA987" s="29"/>
      <c r="AB987" s="29"/>
      <c r="AC987" s="29"/>
      <c r="AD987" s="207"/>
    </row>
    <row r="988" spans="18:30" ht="29.25" customHeight="1" x14ac:dyDescent="0.25">
      <c r="R988" s="29"/>
      <c r="S988" s="29"/>
      <c r="T988" s="29"/>
      <c r="U988" s="29"/>
      <c r="V988" s="29"/>
      <c r="W988" s="29"/>
      <c r="X988" s="29"/>
      <c r="Y988" s="29"/>
      <c r="Z988" s="29"/>
      <c r="AA988" s="29"/>
      <c r="AB988" s="29"/>
      <c r="AC988" s="29"/>
      <c r="AD988" s="207"/>
    </row>
    <row r="989" spans="18:30" ht="29.25" customHeight="1" x14ac:dyDescent="0.25">
      <c r="R989" s="29"/>
      <c r="S989" s="29"/>
      <c r="T989" s="29"/>
      <c r="U989" s="29"/>
      <c r="V989" s="29"/>
      <c r="W989" s="29"/>
      <c r="X989" s="29"/>
      <c r="Y989" s="29"/>
      <c r="Z989" s="29"/>
      <c r="AA989" s="29"/>
      <c r="AB989" s="29"/>
      <c r="AC989" s="29"/>
      <c r="AD989" s="207"/>
    </row>
    <row r="990" spans="18:30" ht="29.25" customHeight="1" x14ac:dyDescent="0.25">
      <c r="R990" s="29"/>
      <c r="S990" s="29"/>
      <c r="T990" s="29"/>
      <c r="U990" s="29"/>
      <c r="V990" s="29"/>
      <c r="W990" s="29"/>
      <c r="X990" s="29"/>
      <c r="Y990" s="29"/>
      <c r="Z990" s="29"/>
      <c r="AA990" s="29"/>
      <c r="AB990" s="29"/>
      <c r="AC990" s="29"/>
      <c r="AD990" s="207"/>
    </row>
    <row r="991" spans="18:30" ht="29.25" customHeight="1" x14ac:dyDescent="0.25">
      <c r="R991" s="29"/>
      <c r="S991" s="29"/>
      <c r="T991" s="29"/>
      <c r="U991" s="29"/>
      <c r="V991" s="29"/>
      <c r="W991" s="29"/>
      <c r="X991" s="29"/>
      <c r="Y991" s="29"/>
      <c r="Z991" s="29"/>
      <c r="AA991" s="29"/>
      <c r="AB991" s="29"/>
      <c r="AC991" s="29"/>
      <c r="AD991" s="207"/>
    </row>
    <row r="992" spans="18:30" ht="29.25" customHeight="1" x14ac:dyDescent="0.25">
      <c r="R992" s="29"/>
      <c r="S992" s="29"/>
      <c r="T992" s="29"/>
      <c r="U992" s="29"/>
      <c r="V992" s="29"/>
      <c r="W992" s="29"/>
      <c r="X992" s="29"/>
      <c r="Y992" s="29"/>
      <c r="Z992" s="29"/>
      <c r="AA992" s="29"/>
      <c r="AB992" s="29"/>
      <c r="AC992" s="29"/>
      <c r="AD992" s="207"/>
    </row>
    <row r="993" spans="18:30" ht="29.25" customHeight="1" x14ac:dyDescent="0.25">
      <c r="R993" s="29"/>
      <c r="S993" s="29"/>
      <c r="T993" s="29"/>
      <c r="U993" s="29"/>
      <c r="V993" s="29"/>
      <c r="W993" s="29"/>
      <c r="X993" s="29"/>
      <c r="Y993" s="29"/>
      <c r="Z993" s="29"/>
      <c r="AA993" s="29"/>
      <c r="AB993" s="29"/>
      <c r="AC993" s="29"/>
      <c r="AD993" s="207"/>
    </row>
    <row r="994" spans="18:30" ht="29.25" customHeight="1" x14ac:dyDescent="0.25">
      <c r="R994" s="29"/>
      <c r="S994" s="29"/>
      <c r="T994" s="29"/>
      <c r="U994" s="29"/>
      <c r="V994" s="29"/>
      <c r="W994" s="29"/>
      <c r="X994" s="29"/>
      <c r="Y994" s="29"/>
      <c r="Z994" s="29"/>
      <c r="AA994" s="29"/>
      <c r="AB994" s="29"/>
      <c r="AC994" s="29"/>
      <c r="AD994" s="207"/>
    </row>
    <row r="995" spans="18:30" ht="29.25" customHeight="1" x14ac:dyDescent="0.25">
      <c r="R995" s="29"/>
      <c r="S995" s="29"/>
      <c r="T995" s="29"/>
      <c r="U995" s="29"/>
      <c r="V995" s="29"/>
      <c r="W995" s="29"/>
      <c r="X995" s="29"/>
      <c r="Y995" s="29"/>
      <c r="Z995" s="29"/>
      <c r="AA995" s="29"/>
      <c r="AB995" s="29"/>
      <c r="AC995" s="29"/>
      <c r="AD995" s="207"/>
    </row>
    <row r="996" spans="18:30" ht="29.25" customHeight="1" x14ac:dyDescent="0.25">
      <c r="R996" s="29"/>
      <c r="S996" s="29"/>
      <c r="T996" s="29"/>
      <c r="U996" s="29"/>
      <c r="V996" s="29"/>
      <c r="W996" s="29"/>
      <c r="X996" s="29"/>
      <c r="Y996" s="29"/>
      <c r="Z996" s="29"/>
      <c r="AA996" s="29"/>
      <c r="AB996" s="29"/>
      <c r="AC996" s="29"/>
      <c r="AD996" s="207"/>
    </row>
    <row r="997" spans="18:30" ht="29.25" customHeight="1" x14ac:dyDescent="0.25">
      <c r="R997" s="29"/>
      <c r="S997" s="29"/>
      <c r="T997" s="29"/>
      <c r="U997" s="29"/>
      <c r="V997" s="29"/>
      <c r="W997" s="29"/>
      <c r="X997" s="29"/>
      <c r="Y997" s="29"/>
      <c r="Z997" s="29"/>
      <c r="AA997" s="29"/>
      <c r="AB997" s="29"/>
      <c r="AC997" s="29"/>
      <c r="AD997" s="207"/>
    </row>
    <row r="998" spans="18:30" ht="29.25" customHeight="1" x14ac:dyDescent="0.25">
      <c r="R998" s="29"/>
      <c r="S998" s="29"/>
      <c r="T998" s="29"/>
      <c r="U998" s="29"/>
      <c r="V998" s="29"/>
      <c r="W998" s="29"/>
      <c r="X998" s="29"/>
      <c r="Y998" s="29"/>
      <c r="Z998" s="29"/>
      <c r="AA998" s="29"/>
      <c r="AB998" s="29"/>
      <c r="AC998" s="29"/>
      <c r="AD998" s="207"/>
    </row>
    <row r="999" spans="18:30" ht="29.25" customHeight="1" x14ac:dyDescent="0.25">
      <c r="R999" s="29"/>
      <c r="S999" s="29"/>
      <c r="T999" s="29"/>
      <c r="U999" s="29"/>
      <c r="V999" s="29"/>
      <c r="W999" s="29"/>
      <c r="X999" s="29"/>
      <c r="Y999" s="29"/>
      <c r="Z999" s="29"/>
      <c r="AA999" s="29"/>
      <c r="AB999" s="29"/>
      <c r="AC999" s="29"/>
      <c r="AD999" s="207"/>
    </row>
    <row r="1000" spans="18:30" ht="29.25" customHeight="1" x14ac:dyDescent="0.25">
      <c r="R1000" s="29"/>
      <c r="S1000" s="29"/>
      <c r="T1000" s="29"/>
      <c r="U1000" s="29"/>
      <c r="V1000" s="29"/>
      <c r="W1000" s="29"/>
      <c r="X1000" s="29"/>
      <c r="Y1000" s="29"/>
      <c r="Z1000" s="29"/>
      <c r="AA1000" s="29"/>
      <c r="AB1000" s="29"/>
      <c r="AC1000" s="29"/>
      <c r="AD1000" s="207"/>
    </row>
    <row r="1001" spans="18:30" ht="29.25" customHeight="1" x14ac:dyDescent="0.25">
      <c r="R1001" s="29"/>
      <c r="S1001" s="29"/>
      <c r="T1001" s="29"/>
      <c r="U1001" s="29"/>
      <c r="V1001" s="29"/>
      <c r="W1001" s="29"/>
      <c r="X1001" s="29"/>
      <c r="Y1001" s="29"/>
      <c r="Z1001" s="29"/>
      <c r="AA1001" s="29"/>
      <c r="AB1001" s="29"/>
      <c r="AC1001" s="29"/>
      <c r="AD1001" s="207"/>
    </row>
    <row r="1002" spans="18:30" ht="29.25" customHeight="1" x14ac:dyDescent="0.25">
      <c r="R1002" s="29"/>
      <c r="S1002" s="29"/>
      <c r="T1002" s="29"/>
      <c r="U1002" s="29"/>
      <c r="V1002" s="29"/>
      <c r="W1002" s="29"/>
      <c r="X1002" s="29"/>
      <c r="Y1002" s="29"/>
      <c r="Z1002" s="29"/>
      <c r="AA1002" s="29"/>
      <c r="AB1002" s="29"/>
      <c r="AC1002" s="29"/>
      <c r="AD1002" s="207"/>
    </row>
    <row r="1003" spans="18:30" ht="29.25" customHeight="1" x14ac:dyDescent="0.25">
      <c r="R1003" s="29"/>
      <c r="S1003" s="29"/>
      <c r="T1003" s="29"/>
      <c r="U1003" s="29"/>
      <c r="V1003" s="29"/>
      <c r="W1003" s="29"/>
      <c r="X1003" s="29"/>
      <c r="Y1003" s="29"/>
      <c r="Z1003" s="29"/>
      <c r="AA1003" s="29"/>
      <c r="AB1003" s="29"/>
      <c r="AC1003" s="29"/>
      <c r="AD1003" s="207"/>
    </row>
    <row r="1004" spans="18:30" ht="29.25" customHeight="1" x14ac:dyDescent="0.25">
      <c r="R1004" s="29"/>
      <c r="S1004" s="29"/>
      <c r="T1004" s="29"/>
      <c r="U1004" s="29"/>
      <c r="V1004" s="29"/>
      <c r="W1004" s="29"/>
      <c r="X1004" s="29"/>
      <c r="Y1004" s="29"/>
      <c r="Z1004" s="29"/>
      <c r="AA1004" s="29"/>
      <c r="AB1004" s="29"/>
      <c r="AC1004" s="29"/>
      <c r="AD1004" s="207"/>
    </row>
    <row r="1005" spans="18:30" ht="29.25" customHeight="1" x14ac:dyDescent="0.25">
      <c r="R1005" s="29"/>
      <c r="S1005" s="29"/>
      <c r="T1005" s="29"/>
      <c r="U1005" s="29"/>
      <c r="V1005" s="29"/>
      <c r="W1005" s="29"/>
      <c r="X1005" s="29"/>
      <c r="Y1005" s="29"/>
      <c r="Z1005" s="29"/>
      <c r="AA1005" s="29"/>
      <c r="AB1005" s="29"/>
      <c r="AC1005" s="29"/>
      <c r="AD1005" s="207"/>
    </row>
    <row r="1006" spans="18:30" ht="29.25" customHeight="1" x14ac:dyDescent="0.25">
      <c r="R1006" s="29"/>
      <c r="S1006" s="29"/>
      <c r="T1006" s="29"/>
      <c r="U1006" s="29"/>
      <c r="V1006" s="29"/>
      <c r="W1006" s="29"/>
      <c r="X1006" s="29"/>
      <c r="Y1006" s="29"/>
      <c r="Z1006" s="29"/>
      <c r="AA1006" s="29"/>
      <c r="AB1006" s="29"/>
      <c r="AC1006" s="29"/>
      <c r="AD1006" s="207"/>
    </row>
    <row r="1007" spans="18:30" ht="29.25" customHeight="1" x14ac:dyDescent="0.25">
      <c r="R1007" s="29"/>
      <c r="S1007" s="29"/>
      <c r="T1007" s="29"/>
      <c r="U1007" s="29"/>
      <c r="V1007" s="29"/>
      <c r="W1007" s="29"/>
      <c r="X1007" s="29"/>
      <c r="Y1007" s="29"/>
      <c r="Z1007" s="29"/>
      <c r="AA1007" s="29"/>
      <c r="AB1007" s="29"/>
      <c r="AC1007" s="29"/>
      <c r="AD1007" s="207"/>
    </row>
    <row r="1008" spans="18:30" ht="29.25" customHeight="1" x14ac:dyDescent="0.25">
      <c r="R1008" s="29"/>
      <c r="S1008" s="29"/>
      <c r="T1008" s="29"/>
      <c r="U1008" s="29"/>
      <c r="V1008" s="29"/>
      <c r="W1008" s="29"/>
      <c r="X1008" s="29"/>
      <c r="Y1008" s="29"/>
      <c r="Z1008" s="29"/>
      <c r="AA1008" s="29"/>
      <c r="AB1008" s="29"/>
      <c r="AC1008" s="29"/>
      <c r="AD1008" s="207"/>
    </row>
    <row r="1009" spans="18:30" ht="29.25" customHeight="1" x14ac:dyDescent="0.25">
      <c r="R1009" s="29"/>
      <c r="S1009" s="29"/>
      <c r="T1009" s="29"/>
      <c r="U1009" s="29"/>
      <c r="V1009" s="29"/>
      <c r="W1009" s="29"/>
      <c r="X1009" s="29"/>
      <c r="Y1009" s="29"/>
      <c r="Z1009" s="29"/>
      <c r="AA1009" s="29"/>
      <c r="AB1009" s="29"/>
      <c r="AC1009" s="29"/>
      <c r="AD1009" s="207"/>
    </row>
    <row r="1010" spans="18:30" ht="29.25" customHeight="1" x14ac:dyDescent="0.25">
      <c r="R1010" s="29"/>
      <c r="S1010" s="29"/>
      <c r="T1010" s="29"/>
      <c r="U1010" s="29"/>
      <c r="V1010" s="29"/>
      <c r="W1010" s="29"/>
      <c r="X1010" s="29"/>
      <c r="Y1010" s="29"/>
      <c r="Z1010" s="29"/>
      <c r="AA1010" s="29"/>
      <c r="AB1010" s="29"/>
      <c r="AC1010" s="29"/>
      <c r="AD1010" s="207"/>
    </row>
    <row r="1011" spans="18:30" ht="29.25" customHeight="1" x14ac:dyDescent="0.25">
      <c r="R1011" s="29"/>
      <c r="S1011" s="29"/>
      <c r="T1011" s="29"/>
      <c r="U1011" s="29"/>
      <c r="V1011" s="29"/>
      <c r="W1011" s="29"/>
      <c r="X1011" s="29"/>
      <c r="Y1011" s="29"/>
      <c r="Z1011" s="29"/>
      <c r="AA1011" s="29"/>
      <c r="AB1011" s="29"/>
      <c r="AC1011" s="29"/>
      <c r="AD1011" s="207"/>
    </row>
    <row r="1012" spans="18:30" ht="29.25" customHeight="1" x14ac:dyDescent="0.25">
      <c r="R1012" s="29"/>
      <c r="S1012" s="29"/>
      <c r="T1012" s="29"/>
      <c r="U1012" s="29"/>
      <c r="V1012" s="29"/>
      <c r="W1012" s="29"/>
      <c r="X1012" s="29"/>
      <c r="Y1012" s="29"/>
      <c r="Z1012" s="29"/>
      <c r="AA1012" s="29"/>
      <c r="AB1012" s="29"/>
      <c r="AC1012" s="29"/>
      <c r="AD1012" s="207"/>
    </row>
    <row r="1013" spans="18:30" ht="29.25" customHeight="1" x14ac:dyDescent="0.25">
      <c r="R1013" s="29"/>
      <c r="S1013" s="29"/>
      <c r="T1013" s="29"/>
      <c r="U1013" s="29"/>
      <c r="V1013" s="29"/>
      <c r="W1013" s="29"/>
      <c r="X1013" s="29"/>
      <c r="Y1013" s="29"/>
      <c r="Z1013" s="29"/>
      <c r="AA1013" s="29"/>
      <c r="AB1013" s="29"/>
      <c r="AC1013" s="29"/>
      <c r="AD1013" s="207"/>
    </row>
    <row r="1014" spans="18:30" ht="29.25" customHeight="1" x14ac:dyDescent="0.25">
      <c r="R1014" s="29"/>
      <c r="S1014" s="29"/>
      <c r="T1014" s="29"/>
      <c r="U1014" s="29"/>
      <c r="V1014" s="29"/>
      <c r="W1014" s="29"/>
      <c r="X1014" s="29"/>
      <c r="Y1014" s="29"/>
      <c r="Z1014" s="29"/>
      <c r="AA1014" s="29"/>
      <c r="AB1014" s="29"/>
      <c r="AC1014" s="29"/>
      <c r="AD1014" s="207"/>
    </row>
    <row r="1015" spans="18:30" ht="29.25" customHeight="1" x14ac:dyDescent="0.25">
      <c r="R1015" s="29"/>
      <c r="S1015" s="29"/>
      <c r="T1015" s="29"/>
      <c r="U1015" s="29"/>
      <c r="V1015" s="29"/>
      <c r="W1015" s="29"/>
      <c r="X1015" s="29"/>
      <c r="Y1015" s="29"/>
      <c r="Z1015" s="29"/>
      <c r="AA1015" s="29"/>
      <c r="AB1015" s="29"/>
      <c r="AC1015" s="29"/>
      <c r="AD1015" s="207"/>
    </row>
    <row r="1016" spans="18:30" ht="29.25" customHeight="1" x14ac:dyDescent="0.25">
      <c r="R1016" s="29"/>
      <c r="S1016" s="29"/>
      <c r="T1016" s="29"/>
      <c r="U1016" s="29"/>
      <c r="V1016" s="29"/>
      <c r="W1016" s="29"/>
      <c r="X1016" s="29"/>
      <c r="Y1016" s="29"/>
      <c r="Z1016" s="29"/>
      <c r="AA1016" s="29"/>
      <c r="AB1016" s="29"/>
      <c r="AC1016" s="29"/>
      <c r="AD1016" s="207"/>
    </row>
    <row r="1017" spans="18:30" ht="29.25" customHeight="1" x14ac:dyDescent="0.25">
      <c r="R1017" s="29"/>
      <c r="S1017" s="29"/>
      <c r="T1017" s="29"/>
      <c r="U1017" s="29"/>
      <c r="V1017" s="29"/>
      <c r="W1017" s="29"/>
      <c r="X1017" s="29"/>
      <c r="Y1017" s="29"/>
      <c r="Z1017" s="29"/>
      <c r="AA1017" s="29"/>
      <c r="AB1017" s="29"/>
      <c r="AC1017" s="29"/>
      <c r="AD1017" s="207"/>
    </row>
    <row r="1018" spans="18:30" ht="29.25" customHeight="1" x14ac:dyDescent="0.25">
      <c r="R1018" s="29"/>
      <c r="S1018" s="29"/>
      <c r="T1018" s="29"/>
      <c r="U1018" s="29"/>
      <c r="V1018" s="29"/>
      <c r="W1018" s="29"/>
      <c r="X1018" s="29"/>
      <c r="Y1018" s="29"/>
      <c r="Z1018" s="29"/>
      <c r="AA1018" s="29"/>
      <c r="AB1018" s="29"/>
      <c r="AC1018" s="29"/>
      <c r="AD1018" s="207"/>
    </row>
    <row r="1019" spans="18:30" ht="29.25" customHeight="1" x14ac:dyDescent="0.25">
      <c r="R1019" s="29"/>
      <c r="S1019" s="29"/>
      <c r="T1019" s="29"/>
      <c r="U1019" s="29"/>
      <c r="V1019" s="29"/>
      <c r="W1019" s="29"/>
      <c r="X1019" s="29"/>
      <c r="Y1019" s="29"/>
      <c r="Z1019" s="29"/>
      <c r="AA1019" s="29"/>
      <c r="AB1019" s="29"/>
      <c r="AC1019" s="29"/>
      <c r="AD1019" s="207"/>
    </row>
    <row r="1020" spans="18:30" ht="29.25" customHeight="1" x14ac:dyDescent="0.25">
      <c r="R1020" s="29"/>
      <c r="S1020" s="29"/>
      <c r="T1020" s="29"/>
      <c r="U1020" s="29"/>
      <c r="V1020" s="29"/>
      <c r="W1020" s="29"/>
      <c r="X1020" s="29"/>
      <c r="Y1020" s="29"/>
      <c r="Z1020" s="29"/>
      <c r="AA1020" s="29"/>
      <c r="AB1020" s="29"/>
      <c r="AC1020" s="29"/>
      <c r="AD1020" s="207"/>
    </row>
    <row r="1021" spans="18:30" ht="29.25" customHeight="1" x14ac:dyDescent="0.25">
      <c r="R1021" s="29"/>
      <c r="S1021" s="29"/>
      <c r="T1021" s="29"/>
      <c r="U1021" s="29"/>
      <c r="V1021" s="29"/>
      <c r="W1021" s="29"/>
      <c r="X1021" s="29"/>
      <c r="Y1021" s="29"/>
      <c r="Z1021" s="29"/>
      <c r="AA1021" s="29"/>
      <c r="AB1021" s="29"/>
      <c r="AC1021" s="29"/>
      <c r="AD1021" s="207"/>
    </row>
    <row r="1022" spans="18:30" ht="29.25" customHeight="1" x14ac:dyDescent="0.25">
      <c r="R1022" s="29"/>
      <c r="S1022" s="29"/>
      <c r="T1022" s="29"/>
      <c r="U1022" s="29"/>
      <c r="V1022" s="29"/>
      <c r="W1022" s="29"/>
      <c r="X1022" s="29"/>
      <c r="Y1022" s="29"/>
      <c r="Z1022" s="29"/>
      <c r="AA1022" s="29"/>
      <c r="AB1022" s="29"/>
      <c r="AC1022" s="29"/>
      <c r="AD1022" s="207"/>
    </row>
    <row r="1023" spans="18:30" ht="29.25" customHeight="1" x14ac:dyDescent="0.25">
      <c r="R1023" s="29"/>
      <c r="S1023" s="29"/>
      <c r="T1023" s="29"/>
      <c r="U1023" s="29"/>
      <c r="V1023" s="29"/>
      <c r="W1023" s="29"/>
      <c r="X1023" s="29"/>
      <c r="Y1023" s="29"/>
      <c r="Z1023" s="29"/>
      <c r="AA1023" s="29"/>
      <c r="AB1023" s="29"/>
      <c r="AC1023" s="29"/>
      <c r="AD1023" s="207"/>
    </row>
    <row r="1024" spans="18:30" ht="29.25" customHeight="1" x14ac:dyDescent="0.25">
      <c r="R1024" s="29"/>
      <c r="S1024" s="29"/>
      <c r="T1024" s="29"/>
      <c r="U1024" s="29"/>
      <c r="V1024" s="29"/>
      <c r="W1024" s="29"/>
      <c r="X1024" s="29"/>
      <c r="Y1024" s="29"/>
      <c r="Z1024" s="29"/>
      <c r="AA1024" s="29"/>
      <c r="AB1024" s="29"/>
      <c r="AC1024" s="29"/>
      <c r="AD1024" s="207"/>
    </row>
    <row r="1025" spans="18:30" ht="29.25" customHeight="1" x14ac:dyDescent="0.25">
      <c r="R1025" s="29"/>
      <c r="S1025" s="29"/>
      <c r="T1025" s="29"/>
      <c r="U1025" s="29"/>
      <c r="V1025" s="29"/>
      <c r="W1025" s="29"/>
      <c r="X1025" s="29"/>
      <c r="Y1025" s="29"/>
      <c r="Z1025" s="29"/>
      <c r="AA1025" s="29"/>
      <c r="AB1025" s="29"/>
      <c r="AC1025" s="29"/>
      <c r="AD1025" s="207"/>
    </row>
    <row r="1026" spans="18:30" ht="29.25" customHeight="1" x14ac:dyDescent="0.25">
      <c r="R1026" s="29"/>
      <c r="S1026" s="29"/>
      <c r="T1026" s="29"/>
      <c r="U1026" s="29"/>
      <c r="V1026" s="29"/>
      <c r="W1026" s="29"/>
      <c r="X1026" s="29"/>
      <c r="Y1026" s="29"/>
      <c r="Z1026" s="29"/>
      <c r="AA1026" s="29"/>
      <c r="AB1026" s="29"/>
      <c r="AC1026" s="29"/>
      <c r="AD1026" s="207"/>
    </row>
    <row r="1027" spans="18:30" ht="29.25" customHeight="1" x14ac:dyDescent="0.25">
      <c r="R1027" s="29"/>
      <c r="S1027" s="29"/>
      <c r="T1027" s="29"/>
      <c r="U1027" s="29"/>
      <c r="V1027" s="29"/>
      <c r="W1027" s="29"/>
      <c r="X1027" s="29"/>
      <c r="Y1027" s="29"/>
      <c r="Z1027" s="29"/>
      <c r="AA1027" s="29"/>
      <c r="AB1027" s="29"/>
      <c r="AC1027" s="29"/>
      <c r="AD1027" s="207"/>
    </row>
    <row r="1028" spans="18:30" ht="29.25" customHeight="1" x14ac:dyDescent="0.25">
      <c r="R1028" s="29"/>
      <c r="S1028" s="29"/>
      <c r="T1028" s="29"/>
      <c r="U1028" s="29"/>
      <c r="V1028" s="29"/>
      <c r="W1028" s="29"/>
      <c r="X1028" s="29"/>
      <c r="Y1028" s="29"/>
      <c r="Z1028" s="29"/>
      <c r="AA1028" s="29"/>
      <c r="AB1028" s="29"/>
      <c r="AC1028" s="29"/>
      <c r="AD1028" s="207"/>
    </row>
    <row r="1029" spans="18:30" ht="29.25" customHeight="1" x14ac:dyDescent="0.25">
      <c r="R1029" s="29"/>
      <c r="S1029" s="29"/>
      <c r="T1029" s="29"/>
      <c r="U1029" s="29"/>
      <c r="V1029" s="29"/>
      <c r="W1029" s="29"/>
      <c r="X1029" s="29"/>
      <c r="Y1029" s="29"/>
      <c r="Z1029" s="29"/>
      <c r="AA1029" s="29"/>
      <c r="AB1029" s="29"/>
      <c r="AC1029" s="29"/>
      <c r="AD1029" s="207"/>
    </row>
    <row r="1030" spans="18:30" ht="29.25" customHeight="1" x14ac:dyDescent="0.25">
      <c r="R1030" s="29"/>
      <c r="S1030" s="29"/>
      <c r="T1030" s="29"/>
      <c r="U1030" s="29"/>
      <c r="V1030" s="29"/>
      <c r="W1030" s="29"/>
      <c r="X1030" s="29"/>
      <c r="Y1030" s="29"/>
      <c r="Z1030" s="29"/>
      <c r="AA1030" s="29"/>
      <c r="AB1030" s="29"/>
      <c r="AC1030" s="29"/>
      <c r="AD1030" s="207"/>
    </row>
    <row r="1031" spans="18:30" ht="29.25" customHeight="1" x14ac:dyDescent="0.25">
      <c r="R1031" s="29"/>
      <c r="S1031" s="29"/>
      <c r="T1031" s="29"/>
      <c r="U1031" s="29"/>
      <c r="V1031" s="29"/>
      <c r="W1031" s="29"/>
      <c r="X1031" s="29"/>
      <c r="Y1031" s="29"/>
      <c r="Z1031" s="29"/>
      <c r="AA1031" s="29"/>
      <c r="AB1031" s="29"/>
      <c r="AC1031" s="29"/>
      <c r="AD1031" s="207"/>
    </row>
    <row r="1032" spans="18:30" ht="29.25" customHeight="1" x14ac:dyDescent="0.25">
      <c r="R1032" s="29"/>
      <c r="S1032" s="29"/>
      <c r="T1032" s="29"/>
      <c r="U1032" s="29"/>
      <c r="V1032" s="29"/>
      <c r="W1032" s="29"/>
      <c r="X1032" s="29"/>
      <c r="Y1032" s="29"/>
      <c r="Z1032" s="29"/>
      <c r="AA1032" s="29"/>
      <c r="AB1032" s="29"/>
      <c r="AC1032" s="29"/>
      <c r="AD1032" s="207"/>
    </row>
    <row r="1033" spans="18:30" ht="29.25" customHeight="1" x14ac:dyDescent="0.25">
      <c r="R1033" s="29"/>
      <c r="S1033" s="29"/>
      <c r="T1033" s="29"/>
      <c r="U1033" s="29"/>
      <c r="V1033" s="29"/>
      <c r="W1033" s="29"/>
      <c r="X1033" s="29"/>
      <c r="Y1033" s="29"/>
      <c r="Z1033" s="29"/>
      <c r="AA1033" s="29"/>
      <c r="AB1033" s="29"/>
      <c r="AC1033" s="29"/>
      <c r="AD1033" s="207"/>
    </row>
    <row r="1034" spans="18:30" ht="29.25" customHeight="1" x14ac:dyDescent="0.25">
      <c r="R1034" s="29"/>
      <c r="S1034" s="29"/>
      <c r="T1034" s="29"/>
      <c r="U1034" s="29"/>
      <c r="V1034" s="29"/>
      <c r="W1034" s="29"/>
      <c r="X1034" s="29"/>
      <c r="Y1034" s="29"/>
      <c r="Z1034" s="29"/>
      <c r="AA1034" s="29"/>
      <c r="AB1034" s="29"/>
      <c r="AC1034" s="29"/>
      <c r="AD1034" s="207"/>
    </row>
    <row r="1035" spans="18:30" ht="29.25" customHeight="1" x14ac:dyDescent="0.25">
      <c r="R1035" s="29"/>
      <c r="S1035" s="29"/>
      <c r="T1035" s="29"/>
      <c r="U1035" s="29"/>
      <c r="V1035" s="29"/>
      <c r="W1035" s="29"/>
      <c r="X1035" s="29"/>
      <c r="Y1035" s="29"/>
      <c r="Z1035" s="29"/>
      <c r="AA1035" s="29"/>
      <c r="AB1035" s="29"/>
      <c r="AC1035" s="29"/>
      <c r="AD1035" s="207"/>
    </row>
    <row r="1036" spans="18:30" ht="29.25" customHeight="1" x14ac:dyDescent="0.25">
      <c r="R1036" s="29"/>
      <c r="S1036" s="29"/>
      <c r="T1036" s="29"/>
      <c r="U1036" s="29"/>
      <c r="V1036" s="29"/>
      <c r="W1036" s="29"/>
      <c r="X1036" s="29"/>
      <c r="Y1036" s="29"/>
      <c r="Z1036" s="29"/>
      <c r="AA1036" s="29"/>
      <c r="AB1036" s="29"/>
      <c r="AC1036" s="29"/>
      <c r="AD1036" s="207"/>
    </row>
    <row r="1037" spans="18:30" ht="29.25" customHeight="1" x14ac:dyDescent="0.25">
      <c r="R1037" s="29"/>
      <c r="S1037" s="29"/>
      <c r="T1037" s="29"/>
      <c r="U1037" s="29"/>
      <c r="V1037" s="29"/>
      <c r="W1037" s="29"/>
      <c r="X1037" s="29"/>
      <c r="Y1037" s="29"/>
      <c r="Z1037" s="29"/>
      <c r="AA1037" s="29"/>
      <c r="AB1037" s="29"/>
      <c r="AC1037" s="29"/>
      <c r="AD1037" s="207"/>
    </row>
    <row r="1038" spans="18:30" ht="29.25" customHeight="1" x14ac:dyDescent="0.25">
      <c r="R1038" s="29"/>
      <c r="S1038" s="29"/>
      <c r="T1038" s="29"/>
      <c r="U1038" s="29"/>
      <c r="V1038" s="29"/>
      <c r="W1038" s="29"/>
      <c r="X1038" s="29"/>
      <c r="Y1038" s="29"/>
      <c r="Z1038" s="29"/>
      <c r="AA1038" s="29"/>
      <c r="AB1038" s="29"/>
      <c r="AC1038" s="29"/>
      <c r="AD1038" s="207"/>
    </row>
    <row r="1039" spans="18:30" ht="29.25" customHeight="1" x14ac:dyDescent="0.25">
      <c r="R1039" s="29"/>
      <c r="S1039" s="29"/>
      <c r="T1039" s="29"/>
      <c r="U1039" s="29"/>
      <c r="V1039" s="29"/>
      <c r="W1039" s="29"/>
      <c r="X1039" s="29"/>
      <c r="Y1039" s="29"/>
      <c r="Z1039" s="29"/>
      <c r="AA1039" s="29"/>
      <c r="AB1039" s="29"/>
      <c r="AC1039" s="29"/>
      <c r="AD1039" s="207"/>
    </row>
    <row r="1040" spans="18:30" ht="29.25" customHeight="1" x14ac:dyDescent="0.25">
      <c r="R1040" s="29"/>
      <c r="S1040" s="29"/>
      <c r="T1040" s="29"/>
      <c r="U1040" s="29"/>
      <c r="V1040" s="29"/>
      <c r="W1040" s="29"/>
      <c r="X1040" s="29"/>
      <c r="Y1040" s="29"/>
      <c r="Z1040" s="29"/>
      <c r="AA1040" s="29"/>
      <c r="AB1040" s="29"/>
      <c r="AC1040" s="29"/>
      <c r="AD1040" s="207"/>
    </row>
    <row r="1041" spans="18:30" ht="29.25" customHeight="1" x14ac:dyDescent="0.25">
      <c r="R1041" s="29"/>
      <c r="S1041" s="29"/>
      <c r="T1041" s="29"/>
      <c r="U1041" s="29"/>
      <c r="V1041" s="29"/>
      <c r="W1041" s="29"/>
      <c r="X1041" s="29"/>
      <c r="Y1041" s="29"/>
      <c r="Z1041" s="29"/>
      <c r="AA1041" s="29"/>
      <c r="AB1041" s="29"/>
      <c r="AC1041" s="29"/>
      <c r="AD1041" s="207"/>
    </row>
    <row r="1042" spans="18:30" ht="29.25" customHeight="1" x14ac:dyDescent="0.25">
      <c r="R1042" s="29"/>
      <c r="S1042" s="29"/>
      <c r="T1042" s="29"/>
      <c r="U1042" s="29"/>
      <c r="V1042" s="29"/>
      <c r="W1042" s="29"/>
      <c r="X1042" s="29"/>
      <c r="Y1042" s="29"/>
      <c r="Z1042" s="29"/>
      <c r="AA1042" s="29"/>
      <c r="AB1042" s="29"/>
      <c r="AC1042" s="29"/>
      <c r="AD1042" s="207"/>
    </row>
    <row r="1043" spans="18:30" ht="29.25" customHeight="1" x14ac:dyDescent="0.25">
      <c r="R1043" s="29"/>
      <c r="S1043" s="29"/>
      <c r="T1043" s="29"/>
      <c r="U1043" s="29"/>
      <c r="V1043" s="29"/>
      <c r="W1043" s="29"/>
      <c r="X1043" s="29"/>
      <c r="Y1043" s="29"/>
      <c r="Z1043" s="29"/>
      <c r="AA1043" s="29"/>
      <c r="AB1043" s="29"/>
      <c r="AC1043" s="29"/>
      <c r="AD1043" s="207"/>
    </row>
    <row r="1044" spans="18:30" ht="29.25" customHeight="1" x14ac:dyDescent="0.25">
      <c r="R1044" s="29"/>
      <c r="S1044" s="29"/>
      <c r="T1044" s="29"/>
      <c r="U1044" s="29"/>
      <c r="V1044" s="29"/>
      <c r="W1044" s="29"/>
      <c r="X1044" s="29"/>
      <c r="Y1044" s="29"/>
      <c r="Z1044" s="29"/>
      <c r="AA1044" s="29"/>
      <c r="AB1044" s="29"/>
      <c r="AC1044" s="29"/>
      <c r="AD1044" s="207"/>
    </row>
    <row r="1045" spans="18:30" ht="29.25" customHeight="1" x14ac:dyDescent="0.25">
      <c r="R1045" s="29"/>
      <c r="S1045" s="29"/>
      <c r="T1045" s="29"/>
      <c r="U1045" s="29"/>
      <c r="V1045" s="29"/>
      <c r="W1045" s="29"/>
      <c r="X1045" s="29"/>
      <c r="Y1045" s="29"/>
      <c r="Z1045" s="29"/>
      <c r="AA1045" s="29"/>
      <c r="AB1045" s="29"/>
      <c r="AC1045" s="29"/>
      <c r="AD1045" s="207"/>
    </row>
    <row r="1046" spans="18:30" ht="29.25" customHeight="1" x14ac:dyDescent="0.25">
      <c r="R1046" s="29"/>
      <c r="S1046" s="29"/>
      <c r="T1046" s="29"/>
      <c r="U1046" s="29"/>
      <c r="V1046" s="29"/>
      <c r="W1046" s="29"/>
      <c r="X1046" s="29"/>
      <c r="Y1046" s="29"/>
      <c r="Z1046" s="29"/>
      <c r="AA1046" s="29"/>
      <c r="AB1046" s="29"/>
      <c r="AC1046" s="29"/>
      <c r="AD1046" s="207"/>
    </row>
    <row r="1047" spans="18:30" ht="29.25" customHeight="1" x14ac:dyDescent="0.25">
      <c r="R1047" s="29"/>
      <c r="S1047" s="29"/>
      <c r="T1047" s="29"/>
      <c r="U1047" s="29"/>
      <c r="V1047" s="29"/>
      <c r="W1047" s="29"/>
      <c r="X1047" s="29"/>
      <c r="Y1047" s="29"/>
      <c r="Z1047" s="29"/>
      <c r="AA1047" s="29"/>
      <c r="AB1047" s="29"/>
      <c r="AC1047" s="29"/>
      <c r="AD1047" s="207"/>
    </row>
    <row r="1048" spans="18:30" ht="29.25" customHeight="1" x14ac:dyDescent="0.25">
      <c r="R1048" s="29"/>
      <c r="S1048" s="29"/>
      <c r="T1048" s="29"/>
      <c r="U1048" s="29"/>
      <c r="V1048" s="29"/>
      <c r="W1048" s="29"/>
      <c r="X1048" s="29"/>
      <c r="Y1048" s="29"/>
      <c r="Z1048" s="29"/>
      <c r="AA1048" s="29"/>
      <c r="AB1048" s="29"/>
      <c r="AC1048" s="29"/>
      <c r="AD1048" s="207"/>
    </row>
    <row r="1049" spans="18:30" ht="29.25" customHeight="1" x14ac:dyDescent="0.25">
      <c r="R1049" s="29"/>
      <c r="S1049" s="29"/>
      <c r="T1049" s="29"/>
      <c r="U1049" s="29"/>
      <c r="V1049" s="29"/>
      <c r="W1049" s="29"/>
      <c r="X1049" s="29"/>
      <c r="Y1049" s="29"/>
      <c r="Z1049" s="29"/>
      <c r="AA1049" s="29"/>
      <c r="AB1049" s="29"/>
      <c r="AC1049" s="29"/>
      <c r="AD1049" s="207"/>
    </row>
    <row r="1050" spans="18:30" ht="29.25" customHeight="1" x14ac:dyDescent="0.25">
      <c r="R1050" s="29"/>
      <c r="S1050" s="29"/>
      <c r="T1050" s="29"/>
      <c r="U1050" s="29"/>
      <c r="V1050" s="29"/>
      <c r="W1050" s="29"/>
      <c r="X1050" s="29"/>
      <c r="Y1050" s="29"/>
      <c r="Z1050" s="29"/>
      <c r="AA1050" s="29"/>
      <c r="AB1050" s="29"/>
      <c r="AC1050" s="29"/>
      <c r="AD1050" s="207"/>
    </row>
    <row r="1051" spans="18:30" ht="29.25" customHeight="1" x14ac:dyDescent="0.25">
      <c r="R1051" s="29"/>
      <c r="S1051" s="29"/>
      <c r="T1051" s="29"/>
      <c r="U1051" s="29"/>
      <c r="V1051" s="29"/>
      <c r="W1051" s="29"/>
      <c r="X1051" s="29"/>
      <c r="Y1051" s="29"/>
      <c r="Z1051" s="29"/>
      <c r="AA1051" s="29"/>
      <c r="AB1051" s="29"/>
      <c r="AC1051" s="29"/>
      <c r="AD1051" s="207"/>
    </row>
    <row r="1052" spans="18:30" ht="29.25" customHeight="1" x14ac:dyDescent="0.25">
      <c r="R1052" s="29"/>
      <c r="S1052" s="29"/>
      <c r="T1052" s="29"/>
      <c r="U1052" s="29"/>
      <c r="V1052" s="29"/>
      <c r="W1052" s="29"/>
      <c r="X1052" s="29"/>
      <c r="Y1052" s="29"/>
      <c r="Z1052" s="29"/>
      <c r="AA1052" s="29"/>
      <c r="AB1052" s="29"/>
      <c r="AC1052" s="29"/>
      <c r="AD1052" s="207"/>
    </row>
    <row r="1053" spans="18:30" ht="29.25" customHeight="1" x14ac:dyDescent="0.25">
      <c r="R1053" s="29"/>
      <c r="S1053" s="29"/>
      <c r="T1053" s="29"/>
      <c r="U1053" s="29"/>
      <c r="V1053" s="29"/>
      <c r="W1053" s="29"/>
      <c r="X1053" s="29"/>
      <c r="Y1053" s="29"/>
      <c r="Z1053" s="29"/>
      <c r="AA1053" s="29"/>
      <c r="AB1053" s="29"/>
      <c r="AC1053" s="29"/>
      <c r="AD1053" s="207"/>
    </row>
    <row r="1054" spans="18:30" ht="29.25" customHeight="1" x14ac:dyDescent="0.25">
      <c r="R1054" s="29"/>
      <c r="S1054" s="29"/>
      <c r="T1054" s="29"/>
      <c r="U1054" s="29"/>
      <c r="V1054" s="29"/>
      <c r="W1054" s="29"/>
      <c r="X1054" s="29"/>
      <c r="Y1054" s="29"/>
      <c r="Z1054" s="29"/>
      <c r="AA1054" s="29"/>
      <c r="AB1054" s="29"/>
      <c r="AC1054" s="29"/>
      <c r="AD1054" s="207"/>
    </row>
    <row r="1055" spans="18:30" ht="29.25" customHeight="1" x14ac:dyDescent="0.25">
      <c r="R1055" s="29"/>
      <c r="S1055" s="29"/>
      <c r="T1055" s="29"/>
      <c r="U1055" s="29"/>
      <c r="V1055" s="29"/>
      <c r="W1055" s="29"/>
      <c r="X1055" s="29"/>
      <c r="Y1055" s="29"/>
      <c r="Z1055" s="29"/>
      <c r="AA1055" s="29"/>
      <c r="AB1055" s="29"/>
      <c r="AC1055" s="29"/>
      <c r="AD1055" s="207"/>
    </row>
    <row r="1056" spans="18:30" ht="29.25" customHeight="1" x14ac:dyDescent="0.25">
      <c r="R1056" s="29"/>
      <c r="S1056" s="29"/>
      <c r="T1056" s="29"/>
      <c r="U1056" s="29"/>
      <c r="V1056" s="29"/>
      <c r="W1056" s="29"/>
      <c r="X1056" s="29"/>
      <c r="Y1056" s="29"/>
      <c r="Z1056" s="29"/>
      <c r="AA1056" s="29"/>
      <c r="AB1056" s="29"/>
      <c r="AC1056" s="29"/>
      <c r="AD1056" s="207"/>
    </row>
    <row r="1057" spans="18:30" ht="29.25" customHeight="1" x14ac:dyDescent="0.25">
      <c r="R1057" s="29"/>
      <c r="S1057" s="29"/>
      <c r="T1057" s="29"/>
      <c r="U1057" s="29"/>
      <c r="V1057" s="29"/>
      <c r="W1057" s="29"/>
      <c r="X1057" s="29"/>
      <c r="Y1057" s="29"/>
      <c r="Z1057" s="29"/>
      <c r="AA1057" s="29"/>
      <c r="AB1057" s="29"/>
      <c r="AC1057" s="29"/>
      <c r="AD1057" s="207"/>
    </row>
    <row r="1058" spans="18:30" ht="29.25" customHeight="1" x14ac:dyDescent="0.25">
      <c r="R1058" s="29"/>
      <c r="S1058" s="29"/>
      <c r="T1058" s="29"/>
      <c r="U1058" s="29"/>
      <c r="V1058" s="29"/>
      <c r="W1058" s="29"/>
      <c r="X1058" s="29"/>
      <c r="Y1058" s="29"/>
      <c r="Z1058" s="29"/>
      <c r="AA1058" s="29"/>
      <c r="AB1058" s="29"/>
      <c r="AC1058" s="29"/>
      <c r="AD1058" s="207"/>
    </row>
    <row r="1059" spans="18:30" ht="29.25" customHeight="1" x14ac:dyDescent="0.25">
      <c r="R1059" s="29"/>
      <c r="S1059" s="29"/>
      <c r="T1059" s="29"/>
      <c r="U1059" s="29"/>
      <c r="V1059" s="29"/>
      <c r="W1059" s="29"/>
      <c r="X1059" s="29"/>
      <c r="Y1059" s="29"/>
      <c r="Z1059" s="29"/>
      <c r="AA1059" s="29"/>
      <c r="AB1059" s="29"/>
      <c r="AC1059" s="29"/>
      <c r="AD1059" s="207"/>
    </row>
    <row r="1060" spans="18:30" ht="29.25" customHeight="1" x14ac:dyDescent="0.25">
      <c r="R1060" s="29"/>
      <c r="S1060" s="29"/>
      <c r="T1060" s="29"/>
      <c r="U1060" s="29"/>
      <c r="V1060" s="29"/>
      <c r="W1060" s="29"/>
      <c r="X1060" s="29"/>
      <c r="Y1060" s="29"/>
      <c r="Z1060" s="29"/>
      <c r="AA1060" s="29"/>
      <c r="AB1060" s="29"/>
      <c r="AC1060" s="29"/>
      <c r="AD1060" s="207"/>
    </row>
    <row r="1061" spans="18:30" ht="29.25" customHeight="1" x14ac:dyDescent="0.25">
      <c r="R1061" s="29"/>
      <c r="S1061" s="29"/>
      <c r="T1061" s="29"/>
      <c r="U1061" s="29"/>
      <c r="V1061" s="29"/>
      <c r="W1061" s="29"/>
      <c r="X1061" s="29"/>
      <c r="Y1061" s="29"/>
      <c r="Z1061" s="29"/>
      <c r="AA1061" s="29"/>
      <c r="AB1061" s="29"/>
      <c r="AC1061" s="29"/>
      <c r="AD1061" s="207"/>
    </row>
    <row r="1062" spans="18:30" ht="29.25" customHeight="1" x14ac:dyDescent="0.25">
      <c r="R1062" s="29"/>
      <c r="S1062" s="29"/>
      <c r="T1062" s="29"/>
      <c r="U1062" s="29"/>
      <c r="V1062" s="29"/>
      <c r="W1062" s="29"/>
      <c r="X1062" s="29"/>
      <c r="Y1062" s="29"/>
      <c r="Z1062" s="29"/>
      <c r="AA1062" s="29"/>
      <c r="AB1062" s="29"/>
      <c r="AC1062" s="29"/>
      <c r="AD1062" s="207"/>
    </row>
    <row r="1063" spans="18:30" ht="29.25" customHeight="1" x14ac:dyDescent="0.25">
      <c r="R1063" s="29"/>
      <c r="S1063" s="29"/>
      <c r="T1063" s="29"/>
      <c r="U1063" s="29"/>
      <c r="V1063" s="29"/>
      <c r="W1063" s="29"/>
      <c r="X1063" s="29"/>
      <c r="Y1063" s="29"/>
      <c r="Z1063" s="29"/>
      <c r="AA1063" s="29"/>
      <c r="AB1063" s="29"/>
      <c r="AC1063" s="29"/>
      <c r="AD1063" s="207"/>
    </row>
    <row r="1064" spans="18:30" ht="29.25" customHeight="1" x14ac:dyDescent="0.25">
      <c r="R1064" s="29"/>
      <c r="S1064" s="29"/>
      <c r="T1064" s="29"/>
      <c r="U1064" s="29"/>
      <c r="V1064" s="29"/>
      <c r="W1064" s="29"/>
      <c r="X1064" s="29"/>
      <c r="Y1064" s="29"/>
      <c r="Z1064" s="29"/>
      <c r="AA1064" s="29"/>
      <c r="AB1064" s="29"/>
      <c r="AC1064" s="29"/>
      <c r="AD1064" s="207"/>
    </row>
    <row r="1065" spans="18:30" ht="29.25" customHeight="1" x14ac:dyDescent="0.25">
      <c r="R1065" s="29"/>
      <c r="S1065" s="29"/>
      <c r="T1065" s="29"/>
      <c r="U1065" s="29"/>
      <c r="V1065" s="29"/>
      <c r="W1065" s="29"/>
      <c r="X1065" s="29"/>
      <c r="Y1065" s="29"/>
      <c r="Z1065" s="29"/>
      <c r="AA1065" s="29"/>
      <c r="AB1065" s="29"/>
      <c r="AC1065" s="29"/>
      <c r="AD1065" s="207"/>
    </row>
    <row r="1066" spans="18:30" ht="29.25" customHeight="1" x14ac:dyDescent="0.25">
      <c r="R1066" s="29"/>
      <c r="S1066" s="29"/>
      <c r="T1066" s="29"/>
      <c r="U1066" s="29"/>
      <c r="V1066" s="29"/>
      <c r="W1066" s="29"/>
      <c r="X1066" s="29"/>
      <c r="Y1066" s="29"/>
      <c r="Z1066" s="29"/>
      <c r="AA1066" s="29"/>
      <c r="AB1066" s="29"/>
      <c r="AC1066" s="29"/>
      <c r="AD1066" s="207"/>
    </row>
    <row r="1067" spans="18:30" ht="29.25" customHeight="1" x14ac:dyDescent="0.25">
      <c r="R1067" s="29"/>
      <c r="S1067" s="29"/>
      <c r="T1067" s="29"/>
      <c r="U1067" s="29"/>
      <c r="V1067" s="29"/>
      <c r="W1067" s="29"/>
      <c r="X1067" s="29"/>
      <c r="Y1067" s="29"/>
      <c r="Z1067" s="29"/>
      <c r="AA1067" s="29"/>
      <c r="AB1067" s="29"/>
      <c r="AC1067" s="29"/>
      <c r="AD1067" s="207"/>
    </row>
    <row r="1068" spans="18:30" ht="29.25" customHeight="1" x14ac:dyDescent="0.25">
      <c r="R1068" s="29"/>
      <c r="S1068" s="29"/>
      <c r="T1068" s="29"/>
      <c r="U1068" s="29"/>
      <c r="V1068" s="29"/>
      <c r="W1068" s="29"/>
      <c r="X1068" s="29"/>
      <c r="Y1068" s="29"/>
      <c r="Z1068" s="29"/>
      <c r="AA1068" s="29"/>
      <c r="AB1068" s="29"/>
      <c r="AC1068" s="29"/>
      <c r="AD1068" s="207"/>
    </row>
    <row r="1069" spans="18:30" ht="29.25" customHeight="1" x14ac:dyDescent="0.25">
      <c r="R1069" s="29"/>
      <c r="S1069" s="29"/>
      <c r="T1069" s="29"/>
      <c r="U1069" s="29"/>
      <c r="V1069" s="29"/>
      <c r="W1069" s="29"/>
      <c r="X1069" s="29"/>
      <c r="Y1069" s="29"/>
      <c r="Z1069" s="29"/>
      <c r="AA1069" s="29"/>
      <c r="AB1069" s="29"/>
      <c r="AC1069" s="29"/>
      <c r="AD1069" s="207"/>
    </row>
    <row r="1070" spans="18:30" ht="29.25" customHeight="1" x14ac:dyDescent="0.25">
      <c r="R1070" s="29"/>
      <c r="S1070" s="29"/>
      <c r="T1070" s="29"/>
      <c r="U1070" s="29"/>
      <c r="V1070" s="29"/>
      <c r="W1070" s="29"/>
      <c r="X1070" s="29"/>
      <c r="Y1070" s="29"/>
      <c r="Z1070" s="29"/>
      <c r="AA1070" s="29"/>
      <c r="AB1070" s="29"/>
      <c r="AC1070" s="29"/>
      <c r="AD1070" s="207"/>
    </row>
    <row r="1071" spans="18:30" ht="29.25" customHeight="1" x14ac:dyDescent="0.25">
      <c r="R1071" s="29"/>
      <c r="S1071" s="29"/>
      <c r="T1071" s="29"/>
      <c r="U1071" s="29"/>
      <c r="V1071" s="29"/>
      <c r="W1071" s="29"/>
      <c r="X1071" s="29"/>
      <c r="Y1071" s="29"/>
      <c r="Z1071" s="29"/>
      <c r="AA1071" s="29"/>
      <c r="AB1071" s="29"/>
      <c r="AC1071" s="29"/>
      <c r="AD1071" s="207"/>
    </row>
    <row r="1072" spans="18:30" ht="29.25" customHeight="1" x14ac:dyDescent="0.25">
      <c r="R1072" s="29"/>
      <c r="S1072" s="29"/>
      <c r="T1072" s="29"/>
      <c r="U1072" s="29"/>
      <c r="V1072" s="29"/>
      <c r="W1072" s="29"/>
      <c r="X1072" s="29"/>
      <c r="Y1072" s="29"/>
      <c r="Z1072" s="29"/>
      <c r="AA1072" s="29"/>
      <c r="AB1072" s="29"/>
      <c r="AC1072" s="29"/>
      <c r="AD1072" s="207"/>
    </row>
    <row r="1073" spans="18:30" ht="29.25" customHeight="1" x14ac:dyDescent="0.25">
      <c r="R1073" s="29"/>
      <c r="S1073" s="29"/>
      <c r="T1073" s="29"/>
      <c r="U1073" s="29"/>
      <c r="V1073" s="29"/>
      <c r="W1073" s="29"/>
      <c r="X1073" s="29"/>
      <c r="Y1073" s="29"/>
      <c r="Z1073" s="29"/>
      <c r="AA1073" s="29"/>
      <c r="AB1073" s="29"/>
      <c r="AC1073" s="29"/>
      <c r="AD1073" s="207"/>
    </row>
    <row r="1074" spans="18:30" ht="29.25" customHeight="1" x14ac:dyDescent="0.25">
      <c r="R1074" s="29"/>
      <c r="S1074" s="29"/>
      <c r="T1074" s="29"/>
      <c r="U1074" s="29"/>
      <c r="V1074" s="29"/>
      <c r="W1074" s="29"/>
      <c r="X1074" s="29"/>
      <c r="Y1074" s="29"/>
      <c r="Z1074" s="29"/>
      <c r="AA1074" s="29"/>
      <c r="AB1074" s="29"/>
      <c r="AC1074" s="29"/>
      <c r="AD1074" s="207"/>
    </row>
    <row r="1075" spans="18:30" ht="29.25" customHeight="1" x14ac:dyDescent="0.25">
      <c r="R1075" s="29"/>
      <c r="S1075" s="29"/>
      <c r="T1075" s="29"/>
      <c r="U1075" s="29"/>
      <c r="V1075" s="29"/>
      <c r="W1075" s="29"/>
      <c r="X1075" s="29"/>
      <c r="Y1075" s="29"/>
      <c r="Z1075" s="29"/>
      <c r="AA1075" s="29"/>
      <c r="AB1075" s="29"/>
      <c r="AC1075" s="29"/>
      <c r="AD1075" s="207"/>
    </row>
    <row r="1076" spans="18:30" ht="29.25" customHeight="1" x14ac:dyDescent="0.25">
      <c r="R1076" s="29"/>
      <c r="S1076" s="29"/>
      <c r="T1076" s="29"/>
      <c r="U1076" s="29"/>
      <c r="V1076" s="29"/>
      <c r="W1076" s="29"/>
      <c r="X1076" s="29"/>
      <c r="Y1076" s="29"/>
      <c r="Z1076" s="29"/>
      <c r="AA1076" s="29"/>
      <c r="AB1076" s="29"/>
      <c r="AC1076" s="29"/>
      <c r="AD1076" s="207"/>
    </row>
    <row r="1077" spans="18:30" ht="29.25" customHeight="1" x14ac:dyDescent="0.25">
      <c r="R1077" s="29"/>
      <c r="S1077" s="29"/>
      <c r="T1077" s="29"/>
      <c r="U1077" s="29"/>
      <c r="V1077" s="29"/>
      <c r="W1077" s="29"/>
      <c r="X1077" s="29"/>
      <c r="Y1077" s="29"/>
      <c r="Z1077" s="29"/>
      <c r="AA1077" s="29"/>
      <c r="AB1077" s="29"/>
      <c r="AC1077" s="29"/>
      <c r="AD1077" s="207"/>
    </row>
    <row r="1078" spans="18:30" ht="29.25" customHeight="1" x14ac:dyDescent="0.25">
      <c r="R1078" s="29"/>
      <c r="S1078" s="29"/>
      <c r="T1078" s="29"/>
      <c r="U1078" s="29"/>
      <c r="V1078" s="29"/>
      <c r="W1078" s="29"/>
      <c r="X1078" s="29"/>
      <c r="Y1078" s="29"/>
      <c r="Z1078" s="29"/>
      <c r="AA1078" s="29"/>
      <c r="AB1078" s="29"/>
      <c r="AC1078" s="29"/>
      <c r="AD1078" s="207"/>
    </row>
    <row r="1079" spans="18:30" ht="29.25" customHeight="1" x14ac:dyDescent="0.25">
      <c r="R1079" s="29"/>
      <c r="S1079" s="29"/>
      <c r="T1079" s="29"/>
      <c r="U1079" s="29"/>
      <c r="V1079" s="29"/>
      <c r="W1079" s="29"/>
      <c r="X1079" s="29"/>
      <c r="Y1079" s="29"/>
      <c r="Z1079" s="29"/>
      <c r="AA1079" s="29"/>
      <c r="AB1079" s="29"/>
      <c r="AC1079" s="29"/>
      <c r="AD1079" s="207"/>
    </row>
    <row r="1080" spans="18:30" ht="29.25" customHeight="1" x14ac:dyDescent="0.25">
      <c r="R1080" s="29"/>
      <c r="S1080" s="29"/>
      <c r="T1080" s="29"/>
      <c r="U1080" s="29"/>
      <c r="V1080" s="29"/>
      <c r="W1080" s="29"/>
      <c r="X1080" s="29"/>
      <c r="Y1080" s="29"/>
      <c r="Z1080" s="29"/>
      <c r="AA1080" s="29"/>
      <c r="AB1080" s="29"/>
      <c r="AC1080" s="29"/>
      <c r="AD1080" s="207"/>
    </row>
    <row r="1081" spans="18:30" ht="29.25" customHeight="1" x14ac:dyDescent="0.25">
      <c r="R1081" s="29"/>
      <c r="S1081" s="29"/>
      <c r="T1081" s="29"/>
      <c r="U1081" s="29"/>
      <c r="V1081" s="29"/>
      <c r="W1081" s="29"/>
      <c r="X1081" s="29"/>
      <c r="Y1081" s="29"/>
      <c r="Z1081" s="29"/>
      <c r="AA1081" s="29"/>
      <c r="AB1081" s="29"/>
      <c r="AC1081" s="29"/>
      <c r="AD1081" s="207"/>
    </row>
    <row r="1082" spans="18:30" ht="29.25" customHeight="1" x14ac:dyDescent="0.25">
      <c r="R1082" s="29"/>
      <c r="S1082" s="29"/>
      <c r="T1082" s="29"/>
      <c r="U1082" s="29"/>
      <c r="V1082" s="29"/>
      <c r="W1082" s="29"/>
      <c r="X1082" s="29"/>
      <c r="Y1082" s="29"/>
      <c r="Z1082" s="29"/>
      <c r="AA1082" s="29"/>
      <c r="AB1082" s="29"/>
      <c r="AC1082" s="29"/>
      <c r="AD1082" s="207"/>
    </row>
    <row r="1083" spans="18:30" ht="29.25" customHeight="1" x14ac:dyDescent="0.25">
      <c r="R1083" s="29"/>
      <c r="S1083" s="29"/>
      <c r="T1083" s="29"/>
      <c r="U1083" s="29"/>
      <c r="V1083" s="29"/>
      <c r="W1083" s="29"/>
      <c r="X1083" s="29"/>
      <c r="Y1083" s="29"/>
      <c r="Z1083" s="29"/>
      <c r="AA1083" s="29"/>
      <c r="AB1083" s="29"/>
      <c r="AC1083" s="29"/>
      <c r="AD1083" s="207"/>
    </row>
    <row r="1084" spans="18:30" ht="29.25" customHeight="1" x14ac:dyDescent="0.25">
      <c r="R1084" s="29"/>
      <c r="S1084" s="29"/>
      <c r="T1084" s="29"/>
      <c r="U1084" s="29"/>
      <c r="V1084" s="29"/>
      <c r="W1084" s="29"/>
      <c r="X1084" s="29"/>
      <c r="Y1084" s="29"/>
      <c r="Z1084" s="29"/>
      <c r="AA1084" s="29"/>
      <c r="AB1084" s="29"/>
      <c r="AC1084" s="29"/>
      <c r="AD1084" s="207"/>
    </row>
    <row r="1085" spans="18:30" ht="29.25" customHeight="1" x14ac:dyDescent="0.25">
      <c r="R1085" s="29"/>
      <c r="S1085" s="29"/>
      <c r="T1085" s="29"/>
      <c r="U1085" s="29"/>
      <c r="V1085" s="29"/>
      <c r="W1085" s="29"/>
      <c r="X1085" s="29"/>
      <c r="Y1085" s="29"/>
      <c r="Z1085" s="29"/>
      <c r="AA1085" s="29"/>
      <c r="AB1085" s="29"/>
      <c r="AC1085" s="29"/>
      <c r="AD1085" s="207"/>
    </row>
    <row r="1086" spans="18:30" ht="29.25" customHeight="1" x14ac:dyDescent="0.25">
      <c r="R1086" s="29"/>
      <c r="S1086" s="29"/>
      <c r="T1086" s="29"/>
      <c r="U1086" s="29"/>
      <c r="V1086" s="29"/>
      <c r="W1086" s="29"/>
      <c r="X1086" s="29"/>
      <c r="Y1086" s="29"/>
      <c r="Z1086" s="29"/>
      <c r="AA1086" s="29"/>
      <c r="AB1086" s="29"/>
      <c r="AC1086" s="29"/>
      <c r="AD1086" s="207"/>
    </row>
    <row r="1087" spans="18:30" ht="29.25" customHeight="1" x14ac:dyDescent="0.25">
      <c r="R1087" s="29"/>
      <c r="S1087" s="29"/>
      <c r="T1087" s="29"/>
      <c r="U1087" s="29"/>
      <c r="V1087" s="29"/>
      <c r="W1087" s="29"/>
      <c r="X1087" s="29"/>
      <c r="Y1087" s="29"/>
      <c r="Z1087" s="29"/>
      <c r="AA1087" s="29"/>
      <c r="AB1087" s="29"/>
      <c r="AC1087" s="29"/>
      <c r="AD1087" s="207"/>
    </row>
    <row r="1088" spans="18:30" ht="29.25" customHeight="1" x14ac:dyDescent="0.25">
      <c r="R1088" s="29"/>
      <c r="S1088" s="29"/>
      <c r="T1088" s="29"/>
      <c r="U1088" s="29"/>
      <c r="V1088" s="29"/>
      <c r="W1088" s="29"/>
      <c r="X1088" s="29"/>
      <c r="Y1088" s="29"/>
      <c r="Z1088" s="29"/>
      <c r="AA1088" s="29"/>
      <c r="AB1088" s="29"/>
      <c r="AC1088" s="29"/>
      <c r="AD1088" s="207"/>
    </row>
    <row r="1089" spans="18:30" ht="29.25" customHeight="1" x14ac:dyDescent="0.25">
      <c r="R1089" s="29"/>
      <c r="S1089" s="29"/>
      <c r="T1089" s="29"/>
      <c r="U1089" s="29"/>
      <c r="V1089" s="29"/>
      <c r="W1089" s="29"/>
      <c r="X1089" s="29"/>
      <c r="Y1089" s="29"/>
      <c r="Z1089" s="29"/>
      <c r="AA1089" s="29"/>
      <c r="AB1089" s="29"/>
      <c r="AC1089" s="29"/>
      <c r="AD1089" s="207"/>
    </row>
    <row r="1090" spans="18:30" ht="29.25" customHeight="1" x14ac:dyDescent="0.25">
      <c r="R1090" s="29"/>
      <c r="S1090" s="29"/>
      <c r="T1090" s="29"/>
      <c r="U1090" s="29"/>
      <c r="V1090" s="29"/>
      <c r="W1090" s="29"/>
      <c r="X1090" s="29"/>
      <c r="Y1090" s="29"/>
      <c r="Z1090" s="29"/>
      <c r="AA1090" s="29"/>
      <c r="AB1090" s="29"/>
      <c r="AC1090" s="29"/>
      <c r="AD1090" s="207"/>
    </row>
    <row r="1091" spans="18:30" ht="29.25" customHeight="1" x14ac:dyDescent="0.25">
      <c r="R1091" s="29"/>
      <c r="S1091" s="29"/>
      <c r="T1091" s="29"/>
      <c r="U1091" s="29"/>
      <c r="V1091" s="29"/>
      <c r="W1091" s="29"/>
      <c r="X1091" s="29"/>
      <c r="Y1091" s="29"/>
      <c r="Z1091" s="29"/>
      <c r="AA1091" s="29"/>
      <c r="AB1091" s="29"/>
      <c r="AC1091" s="29"/>
      <c r="AD1091" s="207"/>
    </row>
    <row r="1092" spans="18:30" ht="29.25" customHeight="1" x14ac:dyDescent="0.25">
      <c r="R1092" s="29"/>
      <c r="S1092" s="29"/>
      <c r="T1092" s="29"/>
      <c r="U1092" s="29"/>
      <c r="V1092" s="29"/>
      <c r="W1092" s="29"/>
      <c r="X1092" s="29"/>
      <c r="Y1092" s="29"/>
      <c r="Z1092" s="29"/>
      <c r="AA1092" s="29"/>
      <c r="AB1092" s="29"/>
      <c r="AC1092" s="29"/>
      <c r="AD1092" s="207"/>
    </row>
    <row r="1093" spans="18:30" ht="29.25" customHeight="1" x14ac:dyDescent="0.25">
      <c r="R1093" s="29"/>
      <c r="S1093" s="29"/>
      <c r="T1093" s="29"/>
      <c r="U1093" s="29"/>
      <c r="V1093" s="29"/>
      <c r="W1093" s="29"/>
      <c r="X1093" s="29"/>
      <c r="Y1093" s="29"/>
      <c r="Z1093" s="29"/>
      <c r="AA1093" s="29"/>
      <c r="AB1093" s="29"/>
      <c r="AC1093" s="29"/>
      <c r="AD1093" s="207"/>
    </row>
    <row r="1094" spans="18:30" ht="29.25" customHeight="1" x14ac:dyDescent="0.25">
      <c r="R1094" s="29"/>
      <c r="S1094" s="29"/>
      <c r="T1094" s="29"/>
      <c r="U1094" s="29"/>
      <c r="V1094" s="29"/>
      <c r="W1094" s="29"/>
      <c r="X1094" s="29"/>
      <c r="Y1094" s="29"/>
      <c r="Z1094" s="29"/>
      <c r="AA1094" s="29"/>
      <c r="AB1094" s="29"/>
      <c r="AC1094" s="29"/>
      <c r="AD1094" s="207"/>
    </row>
    <row r="1095" spans="18:30" ht="29.25" customHeight="1" x14ac:dyDescent="0.25">
      <c r="R1095" s="29"/>
      <c r="S1095" s="29"/>
      <c r="T1095" s="29"/>
      <c r="U1095" s="29"/>
      <c r="V1095" s="29"/>
      <c r="W1095" s="29"/>
      <c r="X1095" s="29"/>
      <c r="Y1095" s="29"/>
      <c r="Z1095" s="29"/>
      <c r="AA1095" s="29"/>
      <c r="AB1095" s="29"/>
      <c r="AC1095" s="29"/>
      <c r="AD1095" s="207"/>
    </row>
    <row r="1096" spans="18:30" ht="29.25" customHeight="1" x14ac:dyDescent="0.25">
      <c r="R1096" s="29"/>
      <c r="S1096" s="29"/>
      <c r="T1096" s="29"/>
      <c r="U1096" s="29"/>
      <c r="V1096" s="29"/>
      <c r="W1096" s="29"/>
      <c r="X1096" s="29"/>
      <c r="Y1096" s="29"/>
      <c r="Z1096" s="29"/>
      <c r="AA1096" s="29"/>
      <c r="AB1096" s="29"/>
      <c r="AC1096" s="29"/>
      <c r="AD1096" s="207"/>
    </row>
    <row r="1097" spans="18:30" ht="29.25" customHeight="1" x14ac:dyDescent="0.25">
      <c r="R1097" s="29"/>
      <c r="S1097" s="29"/>
      <c r="T1097" s="29"/>
      <c r="U1097" s="29"/>
      <c r="V1097" s="29"/>
      <c r="W1097" s="29"/>
      <c r="X1097" s="29"/>
      <c r="Y1097" s="29"/>
      <c r="Z1097" s="29"/>
      <c r="AA1097" s="29"/>
      <c r="AB1097" s="29"/>
      <c r="AC1097" s="29"/>
      <c r="AD1097" s="207"/>
    </row>
    <row r="1098" spans="18:30" ht="29.25" customHeight="1" x14ac:dyDescent="0.25">
      <c r="R1098" s="29"/>
      <c r="S1098" s="29"/>
      <c r="T1098" s="29"/>
      <c r="U1098" s="29"/>
      <c r="V1098" s="29"/>
      <c r="W1098" s="29"/>
      <c r="X1098" s="29"/>
      <c r="Y1098" s="29"/>
      <c r="Z1098" s="29"/>
      <c r="AA1098" s="29"/>
      <c r="AB1098" s="29"/>
      <c r="AC1098" s="29"/>
      <c r="AD1098" s="207"/>
    </row>
    <row r="1099" spans="18:30" ht="29.25" customHeight="1" x14ac:dyDescent="0.25">
      <c r="R1099" s="29"/>
      <c r="S1099" s="29"/>
      <c r="T1099" s="29"/>
      <c r="U1099" s="29"/>
      <c r="V1099" s="29"/>
      <c r="W1099" s="29"/>
      <c r="X1099" s="29"/>
      <c r="Y1099" s="29"/>
      <c r="Z1099" s="29"/>
      <c r="AA1099" s="29"/>
      <c r="AB1099" s="29"/>
      <c r="AC1099" s="29"/>
      <c r="AD1099" s="207"/>
    </row>
    <row r="1100" spans="18:30" ht="29.25" customHeight="1" x14ac:dyDescent="0.25">
      <c r="R1100" s="29"/>
      <c r="S1100" s="29"/>
      <c r="T1100" s="29"/>
      <c r="U1100" s="29"/>
      <c r="V1100" s="29"/>
      <c r="W1100" s="29"/>
      <c r="X1100" s="29"/>
      <c r="Y1100" s="29"/>
      <c r="Z1100" s="29"/>
      <c r="AA1100" s="29"/>
      <c r="AB1100" s="29"/>
      <c r="AC1100" s="29"/>
      <c r="AD1100" s="207"/>
    </row>
    <row r="1101" spans="18:30" ht="29.25" customHeight="1" x14ac:dyDescent="0.25">
      <c r="R1101" s="29"/>
      <c r="S1101" s="29"/>
      <c r="T1101" s="29"/>
      <c r="U1101" s="29"/>
      <c r="V1101" s="29"/>
      <c r="W1101" s="29"/>
      <c r="X1101" s="29"/>
      <c r="Y1101" s="29"/>
      <c r="Z1101" s="29"/>
      <c r="AA1101" s="29"/>
      <c r="AB1101" s="29"/>
      <c r="AC1101" s="29"/>
      <c r="AD1101" s="207"/>
    </row>
    <row r="1102" spans="18:30" ht="29.25" customHeight="1" x14ac:dyDescent="0.25">
      <c r="R1102" s="29"/>
      <c r="S1102" s="29"/>
      <c r="T1102" s="29"/>
      <c r="U1102" s="29"/>
      <c r="V1102" s="29"/>
      <c r="W1102" s="29"/>
      <c r="X1102" s="29"/>
      <c r="Y1102" s="29"/>
      <c r="Z1102" s="29"/>
      <c r="AA1102" s="29"/>
      <c r="AB1102" s="29"/>
      <c r="AC1102" s="29"/>
      <c r="AD1102" s="207"/>
    </row>
    <row r="1103" spans="18:30" ht="29.25" customHeight="1" x14ac:dyDescent="0.25">
      <c r="R1103" s="29"/>
      <c r="S1103" s="29"/>
      <c r="T1103" s="29"/>
      <c r="U1103" s="29"/>
      <c r="V1103" s="29"/>
      <c r="W1103" s="29"/>
      <c r="X1103" s="29"/>
      <c r="Y1103" s="29"/>
      <c r="Z1103" s="29"/>
      <c r="AA1103" s="29"/>
      <c r="AB1103" s="29"/>
      <c r="AC1103" s="29"/>
      <c r="AD1103" s="207"/>
    </row>
    <row r="1104" spans="18:30" ht="29.25" customHeight="1" x14ac:dyDescent="0.25">
      <c r="R1104" s="29"/>
      <c r="S1104" s="29"/>
      <c r="T1104" s="29"/>
      <c r="U1104" s="29"/>
      <c r="V1104" s="29"/>
      <c r="W1104" s="29"/>
      <c r="X1104" s="29"/>
      <c r="Y1104" s="29"/>
      <c r="Z1104" s="29"/>
      <c r="AA1104" s="29"/>
      <c r="AB1104" s="29"/>
      <c r="AC1104" s="29"/>
      <c r="AD1104" s="207"/>
    </row>
    <row r="1105" spans="18:30" ht="29.25" customHeight="1" x14ac:dyDescent="0.25">
      <c r="R1105" s="29"/>
      <c r="S1105" s="29"/>
      <c r="T1105" s="29"/>
      <c r="U1105" s="29"/>
      <c r="V1105" s="29"/>
      <c r="W1105" s="29"/>
      <c r="X1105" s="29"/>
      <c r="Y1105" s="29"/>
      <c r="Z1105" s="29"/>
      <c r="AA1105" s="29"/>
      <c r="AB1105" s="29"/>
      <c r="AC1105" s="29"/>
      <c r="AD1105" s="207"/>
    </row>
    <row r="1106" spans="18:30" ht="29.25" customHeight="1" x14ac:dyDescent="0.25">
      <c r="R1106" s="29"/>
      <c r="S1106" s="29"/>
      <c r="T1106" s="29"/>
      <c r="U1106" s="29"/>
      <c r="V1106" s="29"/>
      <c r="W1106" s="29"/>
      <c r="X1106" s="29"/>
      <c r="Y1106" s="29"/>
      <c r="Z1106" s="29"/>
      <c r="AA1106" s="29"/>
      <c r="AB1106" s="29"/>
      <c r="AC1106" s="29"/>
      <c r="AD1106" s="207"/>
    </row>
    <row r="1107" spans="18:30" ht="29.25" customHeight="1" x14ac:dyDescent="0.25">
      <c r="R1107" s="29"/>
      <c r="S1107" s="29"/>
      <c r="T1107" s="29"/>
      <c r="U1107" s="29"/>
      <c r="V1107" s="29"/>
      <c r="W1107" s="29"/>
      <c r="X1107" s="29"/>
      <c r="Y1107" s="29"/>
      <c r="Z1107" s="29"/>
      <c r="AA1107" s="29"/>
      <c r="AB1107" s="29"/>
      <c r="AC1107" s="29"/>
      <c r="AD1107" s="207"/>
    </row>
    <row r="1108" spans="18:30" ht="29.25" customHeight="1" x14ac:dyDescent="0.25">
      <c r="R1108" s="29"/>
      <c r="S1108" s="29"/>
      <c r="T1108" s="29"/>
      <c r="U1108" s="29"/>
      <c r="V1108" s="29"/>
      <c r="W1108" s="29"/>
      <c r="X1108" s="29"/>
      <c r="Y1108" s="29"/>
      <c r="Z1108" s="29"/>
      <c r="AA1108" s="29"/>
      <c r="AB1108" s="29"/>
      <c r="AC1108" s="29"/>
      <c r="AD1108" s="207"/>
    </row>
    <row r="1109" spans="18:30" ht="29.25" customHeight="1" x14ac:dyDescent="0.25">
      <c r="R1109" s="29"/>
      <c r="S1109" s="29"/>
      <c r="T1109" s="29"/>
      <c r="U1109" s="29"/>
      <c r="V1109" s="29"/>
      <c r="W1109" s="29"/>
      <c r="X1109" s="29"/>
      <c r="Y1109" s="29"/>
      <c r="Z1109" s="29"/>
      <c r="AA1109" s="29"/>
      <c r="AB1109" s="29"/>
      <c r="AC1109" s="29"/>
      <c r="AD1109" s="207"/>
    </row>
    <row r="1110" spans="18:30" ht="29.25" customHeight="1" x14ac:dyDescent="0.25">
      <c r="R1110" s="29"/>
      <c r="S1110" s="29"/>
      <c r="T1110" s="29"/>
      <c r="U1110" s="29"/>
      <c r="V1110" s="29"/>
      <c r="W1110" s="29"/>
      <c r="X1110" s="29"/>
      <c r="Y1110" s="29"/>
      <c r="Z1110" s="29"/>
      <c r="AA1110" s="29"/>
      <c r="AB1110" s="29"/>
      <c r="AC1110" s="29"/>
      <c r="AD1110" s="207"/>
    </row>
    <row r="1111" spans="18:30" ht="29.25" customHeight="1" x14ac:dyDescent="0.25">
      <c r="R1111" s="29"/>
      <c r="S1111" s="29"/>
      <c r="T1111" s="29"/>
      <c r="U1111" s="29"/>
      <c r="V1111" s="29"/>
      <c r="W1111" s="29"/>
      <c r="X1111" s="29"/>
      <c r="Y1111" s="29"/>
      <c r="Z1111" s="29"/>
      <c r="AA1111" s="29"/>
      <c r="AB1111" s="29"/>
      <c r="AC1111" s="29"/>
      <c r="AD1111" s="207"/>
    </row>
    <row r="1112" spans="18:30" ht="29.25" customHeight="1" x14ac:dyDescent="0.25">
      <c r="R1112" s="29"/>
      <c r="S1112" s="29"/>
      <c r="T1112" s="29"/>
      <c r="U1112" s="29"/>
      <c r="V1112" s="29"/>
      <c r="W1112" s="29"/>
      <c r="X1112" s="29"/>
      <c r="Y1112" s="29"/>
      <c r="Z1112" s="29"/>
      <c r="AA1112" s="29"/>
      <c r="AB1112" s="29"/>
      <c r="AC1112" s="29"/>
      <c r="AD1112" s="207"/>
    </row>
    <row r="1113" spans="18:30" ht="29.25" customHeight="1" x14ac:dyDescent="0.25">
      <c r="R1113" s="29"/>
      <c r="S1113" s="29"/>
      <c r="T1113" s="29"/>
      <c r="U1113" s="29"/>
      <c r="V1113" s="29"/>
      <c r="W1113" s="29"/>
      <c r="X1113" s="29"/>
      <c r="Y1113" s="29"/>
      <c r="Z1113" s="29"/>
      <c r="AA1113" s="29"/>
      <c r="AB1113" s="29"/>
      <c r="AC1113" s="29"/>
      <c r="AD1113" s="207"/>
    </row>
    <row r="1114" spans="18:30" ht="29.25" customHeight="1" x14ac:dyDescent="0.25">
      <c r="R1114" s="29"/>
      <c r="S1114" s="29"/>
      <c r="T1114" s="29"/>
      <c r="U1114" s="29"/>
      <c r="V1114" s="29"/>
      <c r="W1114" s="29"/>
      <c r="X1114" s="29"/>
      <c r="Y1114" s="29"/>
      <c r="Z1114" s="29"/>
      <c r="AA1114" s="29"/>
      <c r="AB1114" s="29"/>
      <c r="AC1114" s="29"/>
      <c r="AD1114" s="207"/>
    </row>
    <row r="1115" spans="18:30" ht="29.25" customHeight="1" x14ac:dyDescent="0.25">
      <c r="R1115" s="29"/>
      <c r="S1115" s="29"/>
      <c r="T1115" s="29"/>
      <c r="U1115" s="29"/>
      <c r="V1115" s="29"/>
      <c r="W1115" s="29"/>
      <c r="X1115" s="29"/>
      <c r="Y1115" s="29"/>
      <c r="Z1115" s="29"/>
      <c r="AA1115" s="29"/>
      <c r="AB1115" s="29"/>
      <c r="AC1115" s="29"/>
      <c r="AD1115" s="207"/>
    </row>
    <row r="1116" spans="18:30" ht="29.25" customHeight="1" x14ac:dyDescent="0.25">
      <c r="R1116" s="29"/>
      <c r="S1116" s="29"/>
      <c r="T1116" s="29"/>
      <c r="U1116" s="29"/>
      <c r="V1116" s="29"/>
      <c r="W1116" s="29"/>
      <c r="X1116" s="29"/>
      <c r="Y1116" s="29"/>
      <c r="Z1116" s="29"/>
      <c r="AA1116" s="29"/>
      <c r="AB1116" s="29"/>
      <c r="AC1116" s="29"/>
      <c r="AD1116" s="207"/>
    </row>
    <row r="1117" spans="18:30" ht="29.25" customHeight="1" x14ac:dyDescent="0.25">
      <c r="R1117" s="29"/>
      <c r="S1117" s="29"/>
      <c r="T1117" s="29"/>
      <c r="U1117" s="29"/>
      <c r="V1117" s="29"/>
      <c r="W1117" s="29"/>
      <c r="X1117" s="29"/>
      <c r="Y1117" s="29"/>
      <c r="Z1117" s="29"/>
      <c r="AA1117" s="29"/>
      <c r="AB1117" s="29"/>
      <c r="AC1117" s="29"/>
      <c r="AD1117" s="207"/>
    </row>
    <row r="1118" spans="18:30" ht="29.25" customHeight="1" x14ac:dyDescent="0.25">
      <c r="R1118" s="29"/>
      <c r="S1118" s="29"/>
      <c r="T1118" s="29"/>
      <c r="U1118" s="29"/>
      <c r="V1118" s="29"/>
      <c r="W1118" s="29"/>
      <c r="X1118" s="29"/>
      <c r="Y1118" s="29"/>
      <c r="Z1118" s="29"/>
      <c r="AA1118" s="29"/>
      <c r="AB1118" s="29"/>
      <c r="AC1118" s="29"/>
      <c r="AD1118" s="207"/>
    </row>
    <row r="1119" spans="18:30" ht="29.25" customHeight="1" x14ac:dyDescent="0.25">
      <c r="R1119" s="29"/>
      <c r="S1119" s="29"/>
      <c r="T1119" s="29"/>
      <c r="U1119" s="29"/>
      <c r="V1119" s="29"/>
      <c r="W1119" s="29"/>
      <c r="X1119" s="29"/>
      <c r="Y1119" s="29"/>
      <c r="Z1119" s="29"/>
      <c r="AA1119" s="29"/>
      <c r="AB1119" s="29"/>
      <c r="AC1119" s="29"/>
      <c r="AD1119" s="207"/>
    </row>
    <row r="1120" spans="18:30" ht="29.25" customHeight="1" x14ac:dyDescent="0.25">
      <c r="R1120" s="29"/>
      <c r="S1120" s="29"/>
      <c r="T1120" s="29"/>
      <c r="U1120" s="29"/>
      <c r="V1120" s="29"/>
      <c r="W1120" s="29"/>
      <c r="X1120" s="29"/>
      <c r="Y1120" s="29"/>
      <c r="Z1120" s="29"/>
      <c r="AA1120" s="29"/>
      <c r="AB1120" s="29"/>
      <c r="AC1120" s="29"/>
      <c r="AD1120" s="207"/>
    </row>
    <row r="1121" spans="18:30" ht="29.25" customHeight="1" x14ac:dyDescent="0.25">
      <c r="R1121" s="29"/>
      <c r="S1121" s="29"/>
      <c r="T1121" s="29"/>
      <c r="U1121" s="29"/>
      <c r="V1121" s="29"/>
      <c r="W1121" s="29"/>
      <c r="X1121" s="29"/>
      <c r="Y1121" s="29"/>
      <c r="Z1121" s="29"/>
      <c r="AA1121" s="29"/>
      <c r="AB1121" s="29"/>
      <c r="AC1121" s="29"/>
      <c r="AD1121" s="207"/>
    </row>
    <row r="1122" spans="18:30" ht="29.25" customHeight="1" x14ac:dyDescent="0.25">
      <c r="R1122" s="29"/>
      <c r="S1122" s="29"/>
      <c r="T1122" s="29"/>
      <c r="U1122" s="29"/>
      <c r="V1122" s="29"/>
      <c r="W1122" s="29"/>
      <c r="X1122" s="29"/>
      <c r="Y1122" s="29"/>
      <c r="Z1122" s="29"/>
      <c r="AA1122" s="29"/>
      <c r="AB1122" s="29"/>
      <c r="AC1122" s="29"/>
      <c r="AD1122" s="207"/>
    </row>
    <row r="1123" spans="18:30" ht="29.25" customHeight="1" x14ac:dyDescent="0.25">
      <c r="R1123" s="29"/>
      <c r="S1123" s="29"/>
      <c r="T1123" s="29"/>
      <c r="U1123" s="29"/>
      <c r="V1123" s="29"/>
      <c r="W1123" s="29"/>
      <c r="X1123" s="29"/>
      <c r="Y1123" s="29"/>
      <c r="Z1123" s="29"/>
      <c r="AA1123" s="29"/>
      <c r="AB1123" s="29"/>
      <c r="AC1123" s="29"/>
      <c r="AD1123" s="207"/>
    </row>
    <row r="1124" spans="18:30" ht="29.25" customHeight="1" x14ac:dyDescent="0.25">
      <c r="R1124" s="29"/>
      <c r="S1124" s="29"/>
      <c r="T1124" s="29"/>
      <c r="U1124" s="29"/>
      <c r="V1124" s="29"/>
      <c r="W1124" s="29"/>
      <c r="X1124" s="29"/>
      <c r="Y1124" s="29"/>
      <c r="Z1124" s="29"/>
      <c r="AA1124" s="29"/>
      <c r="AB1124" s="29"/>
      <c r="AC1124" s="29"/>
      <c r="AD1124" s="207"/>
    </row>
    <row r="1125" spans="18:30" ht="29.25" customHeight="1" x14ac:dyDescent="0.25">
      <c r="R1125" s="29"/>
      <c r="S1125" s="29"/>
      <c r="T1125" s="29"/>
      <c r="U1125" s="29"/>
      <c r="V1125" s="29"/>
      <c r="W1125" s="29"/>
      <c r="X1125" s="29"/>
      <c r="Y1125" s="29"/>
      <c r="Z1125" s="29"/>
      <c r="AA1125" s="29"/>
      <c r="AB1125" s="29"/>
      <c r="AC1125" s="29"/>
      <c r="AD1125" s="207"/>
    </row>
    <row r="1126" spans="18:30" ht="29.25" customHeight="1" x14ac:dyDescent="0.25">
      <c r="R1126" s="29"/>
      <c r="S1126" s="29"/>
      <c r="T1126" s="29"/>
      <c r="U1126" s="29"/>
      <c r="V1126" s="29"/>
      <c r="W1126" s="29"/>
      <c r="X1126" s="29"/>
      <c r="Y1126" s="29"/>
      <c r="Z1126" s="29"/>
      <c r="AA1126" s="29"/>
      <c r="AB1126" s="29"/>
      <c r="AC1126" s="29"/>
      <c r="AD1126" s="207"/>
    </row>
    <row r="1127" spans="18:30" ht="29.25" customHeight="1" x14ac:dyDescent="0.25">
      <c r="R1127" s="29"/>
      <c r="S1127" s="29"/>
      <c r="T1127" s="29"/>
      <c r="U1127" s="29"/>
      <c r="V1127" s="29"/>
      <c r="W1127" s="29"/>
      <c r="X1127" s="29"/>
      <c r="Y1127" s="29"/>
      <c r="Z1127" s="29"/>
      <c r="AA1127" s="29"/>
      <c r="AB1127" s="29"/>
      <c r="AC1127" s="29"/>
      <c r="AD1127" s="207"/>
    </row>
    <row r="1128" spans="18:30" ht="29.25" customHeight="1" x14ac:dyDescent="0.25">
      <c r="R1128" s="29"/>
      <c r="S1128" s="29"/>
      <c r="T1128" s="29"/>
      <c r="U1128" s="29"/>
      <c r="V1128" s="29"/>
      <c r="W1128" s="29"/>
      <c r="X1128" s="29"/>
      <c r="Y1128" s="29"/>
      <c r="Z1128" s="29"/>
      <c r="AA1128" s="29"/>
      <c r="AB1128" s="29"/>
      <c r="AC1128" s="29"/>
      <c r="AD1128" s="207"/>
    </row>
    <row r="1129" spans="18:30" ht="29.25" customHeight="1" x14ac:dyDescent="0.25">
      <c r="R1129" s="29"/>
      <c r="S1129" s="29"/>
      <c r="T1129" s="29"/>
      <c r="U1129" s="29"/>
      <c r="V1129" s="29"/>
      <c r="W1129" s="29"/>
      <c r="X1129" s="29"/>
      <c r="Y1129" s="29"/>
      <c r="Z1129" s="29"/>
      <c r="AA1129" s="29"/>
      <c r="AB1129" s="29"/>
      <c r="AC1129" s="29"/>
      <c r="AD1129" s="207"/>
    </row>
    <row r="1130" spans="18:30" ht="29.25" customHeight="1" x14ac:dyDescent="0.25">
      <c r="R1130" s="29"/>
      <c r="S1130" s="29"/>
      <c r="T1130" s="29"/>
      <c r="U1130" s="29"/>
      <c r="V1130" s="29"/>
      <c r="W1130" s="29"/>
      <c r="X1130" s="29"/>
      <c r="Y1130" s="29"/>
      <c r="Z1130" s="29"/>
      <c r="AA1130" s="29"/>
      <c r="AB1130" s="29"/>
      <c r="AC1130" s="29"/>
      <c r="AD1130" s="207"/>
    </row>
    <row r="1131" spans="18:30" ht="29.25" customHeight="1" x14ac:dyDescent="0.25">
      <c r="R1131" s="29"/>
      <c r="S1131" s="29"/>
      <c r="T1131" s="29"/>
      <c r="U1131" s="29"/>
      <c r="V1131" s="29"/>
      <c r="W1131" s="29"/>
      <c r="X1131" s="29"/>
      <c r="Y1131" s="29"/>
      <c r="Z1131" s="29"/>
      <c r="AA1131" s="29"/>
      <c r="AB1131" s="29"/>
      <c r="AC1131" s="29"/>
      <c r="AD1131" s="207"/>
    </row>
    <row r="1132" spans="18:30" ht="29.25" customHeight="1" x14ac:dyDescent="0.25">
      <c r="R1132" s="29"/>
      <c r="S1132" s="29"/>
      <c r="T1132" s="29"/>
      <c r="U1132" s="29"/>
      <c r="V1132" s="29"/>
      <c r="W1132" s="29"/>
      <c r="X1132" s="29"/>
      <c r="Y1132" s="29"/>
      <c r="Z1132" s="29"/>
      <c r="AA1132" s="29"/>
      <c r="AB1132" s="29"/>
      <c r="AC1132" s="29"/>
      <c r="AD1132" s="207"/>
    </row>
    <row r="1133" spans="18:30" ht="29.25" customHeight="1" x14ac:dyDescent="0.25">
      <c r="R1133" s="29"/>
      <c r="S1133" s="29"/>
      <c r="T1133" s="29"/>
      <c r="U1133" s="29"/>
      <c r="V1133" s="29"/>
      <c r="W1133" s="29"/>
      <c r="X1133" s="29"/>
      <c r="Y1133" s="29"/>
      <c r="Z1133" s="29"/>
      <c r="AA1133" s="29"/>
      <c r="AB1133" s="29"/>
      <c r="AC1133" s="29"/>
      <c r="AD1133" s="207"/>
    </row>
    <row r="1134" spans="18:30" ht="29.25" customHeight="1" x14ac:dyDescent="0.25">
      <c r="R1134" s="29"/>
      <c r="S1134" s="29"/>
      <c r="T1134" s="29"/>
      <c r="U1134" s="29"/>
      <c r="V1134" s="29"/>
      <c r="W1134" s="29"/>
      <c r="X1134" s="29"/>
      <c r="Y1134" s="29"/>
      <c r="Z1134" s="29"/>
      <c r="AA1134" s="29"/>
      <c r="AB1134" s="29"/>
      <c r="AC1134" s="29"/>
      <c r="AD1134" s="207"/>
    </row>
    <row r="1135" spans="18:30" ht="29.25" customHeight="1" x14ac:dyDescent="0.25">
      <c r="R1135" s="29"/>
      <c r="S1135" s="29"/>
      <c r="T1135" s="29"/>
      <c r="U1135" s="29"/>
      <c r="V1135" s="29"/>
      <c r="W1135" s="29"/>
      <c r="X1135" s="29"/>
      <c r="Y1135" s="29"/>
      <c r="Z1135" s="29"/>
      <c r="AA1135" s="29"/>
      <c r="AB1135" s="29"/>
      <c r="AC1135" s="29"/>
      <c r="AD1135" s="207"/>
    </row>
    <row r="1136" spans="18:30" ht="29.25" customHeight="1" x14ac:dyDescent="0.25">
      <c r="R1136" s="29"/>
      <c r="S1136" s="29"/>
      <c r="T1136" s="29"/>
      <c r="U1136" s="29"/>
      <c r="V1136" s="29"/>
      <c r="W1136" s="29"/>
      <c r="X1136" s="29"/>
      <c r="Y1136" s="29"/>
      <c r="Z1136" s="29"/>
      <c r="AA1136" s="29"/>
      <c r="AB1136" s="29"/>
      <c r="AC1136" s="29"/>
      <c r="AD1136" s="207"/>
    </row>
    <row r="1137" spans="18:30" ht="29.25" customHeight="1" x14ac:dyDescent="0.25">
      <c r="R1137" s="29"/>
      <c r="S1137" s="29"/>
      <c r="T1137" s="29"/>
      <c r="U1137" s="29"/>
      <c r="V1137" s="29"/>
      <c r="W1137" s="29"/>
      <c r="X1137" s="29"/>
      <c r="Y1137" s="29"/>
      <c r="Z1137" s="29"/>
      <c r="AA1137" s="29"/>
      <c r="AB1137" s="29"/>
      <c r="AC1137" s="29"/>
      <c r="AD1137" s="207"/>
    </row>
    <row r="1138" spans="18:30" ht="29.25" customHeight="1" x14ac:dyDescent="0.25">
      <c r="R1138" s="29"/>
      <c r="S1138" s="29"/>
      <c r="T1138" s="29"/>
      <c r="U1138" s="29"/>
      <c r="V1138" s="29"/>
      <c r="W1138" s="29"/>
      <c r="X1138" s="29"/>
      <c r="Y1138" s="29"/>
      <c r="Z1138" s="29"/>
      <c r="AA1138" s="29"/>
      <c r="AB1138" s="29"/>
      <c r="AC1138" s="29"/>
      <c r="AD1138" s="207"/>
    </row>
    <row r="1139" spans="18:30" ht="29.25" customHeight="1" x14ac:dyDescent="0.25">
      <c r="R1139" s="29"/>
      <c r="S1139" s="29"/>
      <c r="T1139" s="29"/>
      <c r="U1139" s="29"/>
      <c r="V1139" s="29"/>
      <c r="W1139" s="29"/>
      <c r="X1139" s="29"/>
      <c r="Y1139" s="29"/>
      <c r="Z1139" s="29"/>
      <c r="AA1139" s="29"/>
      <c r="AB1139" s="29"/>
      <c r="AC1139" s="29"/>
      <c r="AD1139" s="207"/>
    </row>
    <row r="1140" spans="18:30" ht="29.25" customHeight="1" x14ac:dyDescent="0.25">
      <c r="R1140" s="29"/>
      <c r="S1140" s="29"/>
      <c r="T1140" s="29"/>
      <c r="U1140" s="29"/>
      <c r="V1140" s="29"/>
      <c r="W1140" s="29"/>
      <c r="X1140" s="29"/>
      <c r="Y1140" s="29"/>
      <c r="Z1140" s="29"/>
      <c r="AA1140" s="29"/>
      <c r="AB1140" s="29"/>
      <c r="AC1140" s="29"/>
      <c r="AD1140" s="207"/>
    </row>
    <row r="1141" spans="18:30" ht="29.25" customHeight="1" x14ac:dyDescent="0.25">
      <c r="R1141" s="29"/>
      <c r="S1141" s="29"/>
      <c r="T1141" s="29"/>
      <c r="U1141" s="29"/>
      <c r="V1141" s="29"/>
      <c r="W1141" s="29"/>
      <c r="X1141" s="29"/>
      <c r="Y1141" s="29"/>
      <c r="Z1141" s="29"/>
      <c r="AA1141" s="29"/>
      <c r="AB1141" s="29"/>
      <c r="AC1141" s="29"/>
      <c r="AD1141" s="207"/>
    </row>
    <row r="1142" spans="18:30" ht="29.25" customHeight="1" x14ac:dyDescent="0.25">
      <c r="R1142" s="29"/>
      <c r="S1142" s="29"/>
      <c r="T1142" s="29"/>
      <c r="U1142" s="29"/>
      <c r="V1142" s="29"/>
      <c r="W1142" s="29"/>
      <c r="X1142" s="29"/>
      <c r="Y1142" s="29"/>
      <c r="Z1142" s="29"/>
      <c r="AA1142" s="29"/>
      <c r="AB1142" s="29"/>
      <c r="AC1142" s="29"/>
      <c r="AD1142" s="207"/>
    </row>
    <row r="1143" spans="18:30" ht="29.25" customHeight="1" x14ac:dyDescent="0.25">
      <c r="R1143" s="29"/>
      <c r="S1143" s="29"/>
      <c r="T1143" s="29"/>
      <c r="U1143" s="29"/>
      <c r="V1143" s="29"/>
      <c r="W1143" s="29"/>
      <c r="X1143" s="29"/>
      <c r="Y1143" s="29"/>
      <c r="Z1143" s="29"/>
      <c r="AA1143" s="29"/>
      <c r="AB1143" s="29"/>
      <c r="AC1143" s="29"/>
      <c r="AD1143" s="207"/>
    </row>
    <row r="1144" spans="18:30" ht="29.25" customHeight="1" x14ac:dyDescent="0.25">
      <c r="R1144" s="29"/>
      <c r="S1144" s="29"/>
      <c r="T1144" s="29"/>
      <c r="U1144" s="29"/>
      <c r="V1144" s="29"/>
      <c r="W1144" s="29"/>
      <c r="X1144" s="29"/>
      <c r="Y1144" s="29"/>
      <c r="Z1144" s="29"/>
      <c r="AA1144" s="29"/>
      <c r="AB1144" s="29"/>
      <c r="AC1144" s="29"/>
      <c r="AD1144" s="207"/>
    </row>
    <row r="1145" spans="18:30" ht="29.25" customHeight="1" x14ac:dyDescent="0.25">
      <c r="R1145" s="29"/>
      <c r="S1145" s="29"/>
      <c r="T1145" s="29"/>
      <c r="U1145" s="29"/>
      <c r="V1145" s="29"/>
      <c r="W1145" s="29"/>
      <c r="X1145" s="29"/>
      <c r="Y1145" s="29"/>
      <c r="Z1145" s="29"/>
      <c r="AA1145" s="29"/>
      <c r="AB1145" s="29"/>
      <c r="AC1145" s="29"/>
      <c r="AD1145" s="207"/>
    </row>
    <row r="1146" spans="18:30" ht="29.25" customHeight="1" x14ac:dyDescent="0.25">
      <c r="R1146" s="29"/>
      <c r="S1146" s="29"/>
      <c r="T1146" s="29"/>
      <c r="U1146" s="29"/>
      <c r="V1146" s="29"/>
      <c r="W1146" s="29"/>
      <c r="X1146" s="29"/>
      <c r="Y1146" s="29"/>
      <c r="Z1146" s="29"/>
      <c r="AA1146" s="29"/>
      <c r="AB1146" s="29"/>
      <c r="AC1146" s="29"/>
      <c r="AD1146" s="207"/>
    </row>
    <row r="1147" spans="18:30" ht="29.25" customHeight="1" x14ac:dyDescent="0.25">
      <c r="R1147" s="29"/>
      <c r="S1147" s="29"/>
      <c r="T1147" s="29"/>
      <c r="U1147" s="29"/>
      <c r="V1147" s="29"/>
      <c r="W1147" s="29"/>
      <c r="X1147" s="29"/>
      <c r="Y1147" s="29"/>
      <c r="Z1147" s="29"/>
      <c r="AA1147" s="29"/>
      <c r="AB1147" s="29"/>
      <c r="AC1147" s="29"/>
      <c r="AD1147" s="207"/>
    </row>
    <row r="1148" spans="18:30" ht="29.25" customHeight="1" x14ac:dyDescent="0.25">
      <c r="R1148" s="29"/>
      <c r="S1148" s="29"/>
      <c r="T1148" s="29"/>
      <c r="U1148" s="29"/>
      <c r="V1148" s="29"/>
      <c r="W1148" s="29"/>
      <c r="X1148" s="29"/>
      <c r="Y1148" s="29"/>
      <c r="Z1148" s="29"/>
      <c r="AA1148" s="29"/>
      <c r="AB1148" s="29"/>
      <c r="AC1148" s="29"/>
      <c r="AD1148" s="207"/>
    </row>
    <row r="1149" spans="18:30" ht="29.25" customHeight="1" x14ac:dyDescent="0.25">
      <c r="R1149" s="29"/>
      <c r="S1149" s="29"/>
      <c r="T1149" s="29"/>
      <c r="U1149" s="29"/>
      <c r="V1149" s="29"/>
      <c r="W1149" s="29"/>
      <c r="X1149" s="29"/>
      <c r="Y1149" s="29"/>
      <c r="Z1149" s="29"/>
      <c r="AA1149" s="29"/>
      <c r="AB1149" s="29"/>
      <c r="AC1149" s="29"/>
      <c r="AD1149" s="207"/>
    </row>
    <row r="1150" spans="18:30" ht="29.25" customHeight="1" x14ac:dyDescent="0.25">
      <c r="R1150" s="29"/>
      <c r="S1150" s="29"/>
      <c r="T1150" s="29"/>
      <c r="U1150" s="29"/>
      <c r="V1150" s="29"/>
      <c r="W1150" s="29"/>
      <c r="X1150" s="29"/>
      <c r="Y1150" s="29"/>
      <c r="Z1150" s="29"/>
      <c r="AA1150" s="29"/>
      <c r="AB1150" s="29"/>
      <c r="AC1150" s="29"/>
      <c r="AD1150" s="207"/>
    </row>
    <row r="1151" spans="18:30" ht="29.25" customHeight="1" x14ac:dyDescent="0.25">
      <c r="R1151" s="29"/>
      <c r="S1151" s="29"/>
      <c r="T1151" s="29"/>
      <c r="U1151" s="29"/>
      <c r="V1151" s="29"/>
      <c r="W1151" s="29"/>
      <c r="X1151" s="29"/>
      <c r="Y1151" s="29"/>
      <c r="Z1151" s="29"/>
      <c r="AA1151" s="29"/>
      <c r="AB1151" s="29"/>
      <c r="AC1151" s="29"/>
      <c r="AD1151" s="207"/>
    </row>
    <row r="1152" spans="18:30" ht="29.25" customHeight="1" x14ac:dyDescent="0.25">
      <c r="R1152" s="29"/>
      <c r="S1152" s="29"/>
      <c r="T1152" s="29"/>
      <c r="U1152" s="29"/>
      <c r="V1152" s="29"/>
      <c r="W1152" s="29"/>
      <c r="X1152" s="29"/>
      <c r="Y1152" s="29"/>
      <c r="Z1152" s="29"/>
      <c r="AA1152" s="29"/>
      <c r="AB1152" s="29"/>
      <c r="AC1152" s="29"/>
      <c r="AD1152" s="207"/>
    </row>
    <row r="1153" spans="18:30" ht="29.25" customHeight="1" x14ac:dyDescent="0.25">
      <c r="R1153" s="29"/>
      <c r="S1153" s="29"/>
      <c r="T1153" s="29"/>
      <c r="U1153" s="29"/>
      <c r="V1153" s="29"/>
      <c r="W1153" s="29"/>
      <c r="X1153" s="29"/>
      <c r="Y1153" s="29"/>
      <c r="Z1153" s="29"/>
      <c r="AA1153" s="29"/>
      <c r="AB1153" s="29"/>
      <c r="AC1153" s="29"/>
      <c r="AD1153" s="207"/>
    </row>
    <row r="1154" spans="18:30" ht="29.25" customHeight="1" x14ac:dyDescent="0.25">
      <c r="R1154" s="29"/>
      <c r="S1154" s="29"/>
      <c r="T1154" s="29"/>
      <c r="U1154" s="29"/>
      <c r="V1154" s="29"/>
      <c r="W1154" s="29"/>
      <c r="X1154" s="29"/>
      <c r="Y1154" s="29"/>
      <c r="Z1154" s="29"/>
      <c r="AA1154" s="29"/>
      <c r="AB1154" s="29"/>
      <c r="AC1154" s="29"/>
      <c r="AD1154" s="207"/>
    </row>
    <row r="1155" spans="18:30" ht="29.25" customHeight="1" x14ac:dyDescent="0.25">
      <c r="R1155" s="29"/>
      <c r="S1155" s="29"/>
      <c r="T1155" s="29"/>
      <c r="U1155" s="29"/>
      <c r="V1155" s="29"/>
      <c r="W1155" s="29"/>
      <c r="X1155" s="29"/>
      <c r="Y1155" s="29"/>
      <c r="Z1155" s="29"/>
      <c r="AA1155" s="29"/>
      <c r="AB1155" s="29"/>
      <c r="AC1155" s="29"/>
      <c r="AD1155" s="207"/>
    </row>
    <row r="1156" spans="18:30" ht="29.25" customHeight="1" x14ac:dyDescent="0.25">
      <c r="R1156" s="29"/>
      <c r="S1156" s="29"/>
      <c r="T1156" s="29"/>
      <c r="U1156" s="29"/>
      <c r="V1156" s="29"/>
      <c r="W1156" s="29"/>
      <c r="X1156" s="29"/>
      <c r="Y1156" s="29"/>
      <c r="Z1156" s="29"/>
      <c r="AA1156" s="29"/>
      <c r="AB1156" s="29"/>
      <c r="AC1156" s="29"/>
      <c r="AD1156" s="207"/>
    </row>
    <row r="1157" spans="18:30" ht="29.25" customHeight="1" x14ac:dyDescent="0.25">
      <c r="R1157" s="29"/>
      <c r="S1157" s="29"/>
      <c r="T1157" s="29"/>
      <c r="U1157" s="29"/>
      <c r="V1157" s="29"/>
      <c r="W1157" s="29"/>
      <c r="X1157" s="29"/>
      <c r="Y1157" s="29"/>
      <c r="Z1157" s="29"/>
      <c r="AA1157" s="29"/>
      <c r="AB1157" s="29"/>
      <c r="AC1157" s="29"/>
      <c r="AD1157" s="207"/>
    </row>
    <row r="1158" spans="18:30" ht="29.25" customHeight="1" x14ac:dyDescent="0.25">
      <c r="R1158" s="29"/>
      <c r="S1158" s="29"/>
      <c r="T1158" s="29"/>
      <c r="U1158" s="29"/>
      <c r="V1158" s="29"/>
      <c r="W1158" s="29"/>
      <c r="X1158" s="29"/>
      <c r="Y1158" s="29"/>
      <c r="Z1158" s="29"/>
      <c r="AA1158" s="29"/>
      <c r="AB1158" s="29"/>
      <c r="AC1158" s="29"/>
      <c r="AD1158" s="207"/>
    </row>
    <row r="1159" spans="18:30" ht="29.25" customHeight="1" x14ac:dyDescent="0.25">
      <c r="R1159" s="29"/>
      <c r="S1159" s="29"/>
      <c r="T1159" s="29"/>
      <c r="U1159" s="29"/>
      <c r="V1159" s="29"/>
      <c r="W1159" s="29"/>
      <c r="X1159" s="29"/>
      <c r="Y1159" s="29"/>
      <c r="Z1159" s="29"/>
      <c r="AA1159" s="29"/>
      <c r="AB1159" s="29"/>
      <c r="AC1159" s="29"/>
      <c r="AD1159" s="207"/>
    </row>
    <row r="1160" spans="18:30" ht="29.25" customHeight="1" x14ac:dyDescent="0.25">
      <c r="R1160" s="29"/>
      <c r="S1160" s="29"/>
      <c r="T1160" s="29"/>
      <c r="U1160" s="29"/>
      <c r="V1160" s="29"/>
      <c r="W1160" s="29"/>
      <c r="X1160" s="29"/>
      <c r="Y1160" s="29"/>
      <c r="Z1160" s="29"/>
      <c r="AA1160" s="29"/>
      <c r="AB1160" s="29"/>
      <c r="AC1160" s="29"/>
      <c r="AD1160" s="207"/>
    </row>
    <row r="1161" spans="18:30" ht="29.25" customHeight="1" x14ac:dyDescent="0.25">
      <c r="R1161" s="29"/>
      <c r="S1161" s="29"/>
      <c r="T1161" s="29"/>
      <c r="U1161" s="29"/>
      <c r="V1161" s="29"/>
      <c r="W1161" s="29"/>
      <c r="X1161" s="29"/>
      <c r="Y1161" s="29"/>
      <c r="Z1161" s="29"/>
      <c r="AA1161" s="29"/>
      <c r="AB1161" s="29"/>
      <c r="AC1161" s="29"/>
      <c r="AD1161" s="207"/>
    </row>
    <row r="1162" spans="18:30" ht="29.25" customHeight="1" x14ac:dyDescent="0.25">
      <c r="R1162" s="29"/>
      <c r="S1162" s="29"/>
      <c r="T1162" s="29"/>
      <c r="U1162" s="29"/>
      <c r="V1162" s="29"/>
      <c r="W1162" s="29"/>
      <c r="X1162" s="29"/>
      <c r="Y1162" s="29"/>
      <c r="Z1162" s="29"/>
      <c r="AA1162" s="29"/>
      <c r="AB1162" s="29"/>
      <c r="AC1162" s="29"/>
      <c r="AD1162" s="207"/>
    </row>
    <row r="1163" spans="18:30" ht="29.25" customHeight="1" x14ac:dyDescent="0.25">
      <c r="R1163" s="29"/>
      <c r="S1163" s="29"/>
      <c r="T1163" s="29"/>
      <c r="U1163" s="29"/>
      <c r="V1163" s="29"/>
      <c r="W1163" s="29"/>
      <c r="X1163" s="29"/>
      <c r="Y1163" s="29"/>
      <c r="Z1163" s="29"/>
      <c r="AA1163" s="29"/>
      <c r="AB1163" s="29"/>
      <c r="AC1163" s="29"/>
      <c r="AD1163" s="207"/>
    </row>
    <row r="1164" spans="18:30" ht="29.25" customHeight="1" x14ac:dyDescent="0.25">
      <c r="R1164" s="29"/>
      <c r="S1164" s="29"/>
      <c r="T1164" s="29"/>
      <c r="U1164" s="29"/>
      <c r="V1164" s="29"/>
      <c r="W1164" s="29"/>
      <c r="X1164" s="29"/>
      <c r="Y1164" s="29"/>
      <c r="Z1164" s="29"/>
      <c r="AA1164" s="29"/>
      <c r="AB1164" s="29"/>
      <c r="AC1164" s="29"/>
      <c r="AD1164" s="207"/>
    </row>
    <row r="1165" spans="18:30" ht="29.25" customHeight="1" x14ac:dyDescent="0.25">
      <c r="R1165" s="29"/>
      <c r="S1165" s="29"/>
      <c r="T1165" s="29"/>
      <c r="U1165" s="29"/>
      <c r="V1165" s="29"/>
      <c r="W1165" s="29"/>
      <c r="X1165" s="29"/>
      <c r="Y1165" s="29"/>
      <c r="Z1165" s="29"/>
      <c r="AA1165" s="29"/>
      <c r="AB1165" s="29"/>
      <c r="AC1165" s="29"/>
      <c r="AD1165" s="207"/>
    </row>
    <row r="1166" spans="18:30" ht="29.25" customHeight="1" x14ac:dyDescent="0.25">
      <c r="R1166" s="29"/>
      <c r="S1166" s="29"/>
      <c r="T1166" s="29"/>
      <c r="U1166" s="29"/>
      <c r="V1166" s="29"/>
      <c r="W1166" s="29"/>
      <c r="X1166" s="29"/>
      <c r="Y1166" s="29"/>
      <c r="Z1166" s="29"/>
      <c r="AA1166" s="29"/>
      <c r="AB1166" s="29"/>
      <c r="AC1166" s="29"/>
      <c r="AD1166" s="207"/>
    </row>
    <row r="1167" spans="18:30" ht="29.25" customHeight="1" x14ac:dyDescent="0.25">
      <c r="R1167" s="29"/>
      <c r="S1167" s="29"/>
      <c r="T1167" s="29"/>
      <c r="U1167" s="29"/>
      <c r="V1167" s="29"/>
      <c r="W1167" s="29"/>
      <c r="X1167" s="29"/>
      <c r="Y1167" s="29"/>
      <c r="Z1167" s="29"/>
      <c r="AA1167" s="29"/>
      <c r="AB1167" s="29"/>
      <c r="AC1167" s="29"/>
      <c r="AD1167" s="207"/>
    </row>
    <row r="1168" spans="18:30" ht="29.25" customHeight="1" x14ac:dyDescent="0.25">
      <c r="R1168" s="29"/>
      <c r="S1168" s="29"/>
      <c r="T1168" s="29"/>
      <c r="U1168" s="29"/>
      <c r="V1168" s="29"/>
      <c r="W1168" s="29"/>
      <c r="X1168" s="29"/>
      <c r="Y1168" s="29"/>
      <c r="Z1168" s="29"/>
      <c r="AA1168" s="29"/>
      <c r="AB1168" s="29"/>
      <c r="AC1168" s="29"/>
      <c r="AD1168" s="207"/>
    </row>
    <row r="1169" spans="18:30" ht="29.25" customHeight="1" x14ac:dyDescent="0.25">
      <c r="R1169" s="29"/>
      <c r="S1169" s="29"/>
      <c r="T1169" s="29"/>
      <c r="U1169" s="29"/>
      <c r="V1169" s="29"/>
      <c r="W1169" s="29"/>
      <c r="X1169" s="29"/>
      <c r="Y1169" s="29"/>
      <c r="Z1169" s="29"/>
      <c r="AA1169" s="29"/>
      <c r="AB1169" s="29"/>
      <c r="AC1169" s="29"/>
      <c r="AD1169" s="207"/>
    </row>
    <row r="1170" spans="18:30" ht="29.25" customHeight="1" x14ac:dyDescent="0.25">
      <c r="R1170" s="29"/>
      <c r="S1170" s="29"/>
      <c r="T1170" s="29"/>
      <c r="U1170" s="29"/>
      <c r="V1170" s="29"/>
      <c r="W1170" s="29"/>
      <c r="X1170" s="29"/>
      <c r="Y1170" s="29"/>
      <c r="Z1170" s="29"/>
      <c r="AA1170" s="29"/>
      <c r="AB1170" s="29"/>
      <c r="AC1170" s="29"/>
      <c r="AD1170" s="207"/>
    </row>
    <row r="1171" spans="18:30" ht="29.25" customHeight="1" x14ac:dyDescent="0.25">
      <c r="R1171" s="29"/>
      <c r="S1171" s="29"/>
      <c r="T1171" s="29"/>
      <c r="U1171" s="29"/>
      <c r="V1171" s="29"/>
      <c r="W1171" s="29"/>
      <c r="X1171" s="29"/>
      <c r="Y1171" s="29"/>
      <c r="Z1171" s="29"/>
      <c r="AA1171" s="29"/>
      <c r="AB1171" s="29"/>
      <c r="AC1171" s="29"/>
      <c r="AD1171" s="207"/>
    </row>
    <row r="1172" spans="18:30" ht="29.25" customHeight="1" x14ac:dyDescent="0.25">
      <c r="R1172" s="29"/>
      <c r="S1172" s="29"/>
      <c r="T1172" s="29"/>
      <c r="U1172" s="29"/>
      <c r="V1172" s="29"/>
      <c r="W1172" s="29"/>
      <c r="X1172" s="29"/>
      <c r="Y1172" s="29"/>
      <c r="Z1172" s="29"/>
      <c r="AA1172" s="29"/>
      <c r="AB1172" s="29"/>
      <c r="AC1172" s="29"/>
      <c r="AD1172" s="207"/>
    </row>
    <row r="1173" spans="18:30" ht="29.25" customHeight="1" x14ac:dyDescent="0.25">
      <c r="R1173" s="29"/>
      <c r="S1173" s="29"/>
      <c r="T1173" s="29"/>
      <c r="U1173" s="29"/>
      <c r="V1173" s="29"/>
      <c r="W1173" s="29"/>
      <c r="X1173" s="29"/>
      <c r="Y1173" s="29"/>
      <c r="Z1173" s="29"/>
      <c r="AA1173" s="29"/>
      <c r="AB1173" s="29"/>
      <c r="AC1173" s="29"/>
      <c r="AD1173" s="207"/>
    </row>
    <row r="1174" spans="18:30" ht="29.25" customHeight="1" x14ac:dyDescent="0.25">
      <c r="R1174" s="29"/>
      <c r="S1174" s="29"/>
      <c r="T1174" s="29"/>
      <c r="U1174" s="29"/>
      <c r="V1174" s="29"/>
      <c r="W1174" s="29"/>
      <c r="X1174" s="29"/>
      <c r="Y1174" s="29"/>
      <c r="Z1174" s="29"/>
      <c r="AA1174" s="29"/>
      <c r="AB1174" s="29"/>
      <c r="AC1174" s="29"/>
      <c r="AD1174" s="207"/>
    </row>
    <row r="1175" spans="18:30" ht="29.25" customHeight="1" x14ac:dyDescent="0.25">
      <c r="R1175" s="29"/>
      <c r="S1175" s="29"/>
      <c r="T1175" s="29"/>
      <c r="U1175" s="29"/>
      <c r="V1175" s="29"/>
      <c r="W1175" s="29"/>
      <c r="X1175" s="29"/>
      <c r="Y1175" s="29"/>
      <c r="Z1175" s="29"/>
      <c r="AA1175" s="29"/>
      <c r="AB1175" s="29"/>
      <c r="AC1175" s="29"/>
      <c r="AD1175" s="207"/>
    </row>
    <row r="1176" spans="18:30" ht="29.25" customHeight="1" x14ac:dyDescent="0.25">
      <c r="R1176" s="29"/>
      <c r="S1176" s="29"/>
      <c r="T1176" s="29"/>
      <c r="U1176" s="29"/>
      <c r="V1176" s="29"/>
      <c r="W1176" s="29"/>
      <c r="X1176" s="29"/>
      <c r="Y1176" s="29"/>
      <c r="Z1176" s="29"/>
      <c r="AA1176" s="29"/>
      <c r="AB1176" s="29"/>
      <c r="AC1176" s="29"/>
      <c r="AD1176" s="207"/>
    </row>
    <row r="1177" spans="18:30" ht="29.25" customHeight="1" x14ac:dyDescent="0.25">
      <c r="R1177" s="29"/>
      <c r="S1177" s="29"/>
      <c r="T1177" s="29"/>
      <c r="U1177" s="29"/>
      <c r="V1177" s="29"/>
      <c r="W1177" s="29"/>
      <c r="X1177" s="29"/>
      <c r="Y1177" s="29"/>
      <c r="Z1177" s="29"/>
      <c r="AA1177" s="29"/>
      <c r="AB1177" s="29"/>
      <c r="AC1177" s="29"/>
      <c r="AD1177" s="207"/>
    </row>
    <row r="1178" spans="18:30" ht="29.25" customHeight="1" x14ac:dyDescent="0.25">
      <c r="R1178" s="29"/>
      <c r="S1178" s="29"/>
      <c r="T1178" s="29"/>
      <c r="U1178" s="29"/>
      <c r="V1178" s="29"/>
      <c r="W1178" s="29"/>
      <c r="X1178" s="29"/>
      <c r="Y1178" s="29"/>
      <c r="Z1178" s="29"/>
      <c r="AA1178" s="29"/>
      <c r="AB1178" s="29"/>
      <c r="AC1178" s="29"/>
      <c r="AD1178" s="207"/>
    </row>
    <row r="1179" spans="18:30" ht="29.25" customHeight="1" x14ac:dyDescent="0.25">
      <c r="R1179" s="29"/>
      <c r="S1179" s="29"/>
      <c r="T1179" s="29"/>
      <c r="U1179" s="29"/>
      <c r="V1179" s="29"/>
      <c r="W1179" s="29"/>
      <c r="X1179" s="29"/>
      <c r="Y1179" s="29"/>
      <c r="Z1179" s="29"/>
      <c r="AA1179" s="29"/>
      <c r="AB1179" s="29"/>
      <c r="AC1179" s="29"/>
      <c r="AD1179" s="207"/>
    </row>
    <row r="1180" spans="18:30" ht="29.25" customHeight="1" x14ac:dyDescent="0.25">
      <c r="R1180" s="29"/>
      <c r="S1180" s="29"/>
      <c r="T1180" s="29"/>
      <c r="U1180" s="29"/>
      <c r="V1180" s="29"/>
      <c r="W1180" s="29"/>
      <c r="X1180" s="29"/>
      <c r="Y1180" s="29"/>
      <c r="Z1180" s="29"/>
      <c r="AA1180" s="29"/>
      <c r="AB1180" s="29"/>
      <c r="AC1180" s="29"/>
      <c r="AD1180" s="207"/>
    </row>
    <row r="1181" spans="18:30" ht="29.25" customHeight="1" x14ac:dyDescent="0.25">
      <c r="R1181" s="29"/>
      <c r="S1181" s="29"/>
      <c r="T1181" s="29"/>
      <c r="U1181" s="29"/>
      <c r="V1181" s="29"/>
      <c r="W1181" s="29"/>
      <c r="X1181" s="29"/>
      <c r="Y1181" s="29"/>
      <c r="Z1181" s="29"/>
      <c r="AA1181" s="29"/>
      <c r="AB1181" s="29"/>
      <c r="AC1181" s="29"/>
      <c r="AD1181" s="207"/>
    </row>
    <row r="1182" spans="18:30" ht="29.25" customHeight="1" x14ac:dyDescent="0.25">
      <c r="R1182" s="29"/>
      <c r="S1182" s="29"/>
      <c r="T1182" s="29"/>
      <c r="U1182" s="29"/>
      <c r="V1182" s="29"/>
      <c r="W1182" s="29"/>
      <c r="X1182" s="29"/>
      <c r="Y1182" s="29"/>
      <c r="Z1182" s="29"/>
      <c r="AA1182" s="29"/>
      <c r="AB1182" s="29"/>
      <c r="AC1182" s="29"/>
      <c r="AD1182" s="207"/>
    </row>
    <row r="1183" spans="18:30" ht="29.25" customHeight="1" x14ac:dyDescent="0.25">
      <c r="R1183" s="29"/>
      <c r="S1183" s="29"/>
      <c r="T1183" s="29"/>
      <c r="U1183" s="29"/>
      <c r="V1183" s="29"/>
      <c r="W1183" s="29"/>
      <c r="X1183" s="29"/>
      <c r="Y1183" s="29"/>
      <c r="Z1183" s="29"/>
      <c r="AA1183" s="29"/>
      <c r="AB1183" s="29"/>
      <c r="AC1183" s="29"/>
      <c r="AD1183" s="207"/>
    </row>
    <row r="1184" spans="18:30" ht="29.25" customHeight="1" x14ac:dyDescent="0.25">
      <c r="R1184" s="29"/>
      <c r="S1184" s="29"/>
      <c r="T1184" s="29"/>
      <c r="U1184" s="29"/>
      <c r="V1184" s="29"/>
      <c r="W1184" s="29"/>
      <c r="X1184" s="29"/>
      <c r="Y1184" s="29"/>
      <c r="Z1184" s="29"/>
      <c r="AA1184" s="29"/>
      <c r="AB1184" s="29"/>
      <c r="AC1184" s="29"/>
      <c r="AD1184" s="207"/>
    </row>
    <row r="1185" spans="18:30" ht="29.25" customHeight="1" x14ac:dyDescent="0.25">
      <c r="R1185" s="29"/>
      <c r="S1185" s="29"/>
      <c r="T1185" s="29"/>
      <c r="U1185" s="29"/>
      <c r="V1185" s="29"/>
      <c r="W1185" s="29"/>
      <c r="X1185" s="29"/>
      <c r="Y1185" s="29"/>
      <c r="Z1185" s="29"/>
      <c r="AA1185" s="29"/>
      <c r="AB1185" s="29"/>
      <c r="AC1185" s="29"/>
      <c r="AD1185" s="207"/>
    </row>
    <row r="1186" spans="18:30" ht="29.25" customHeight="1" x14ac:dyDescent="0.25">
      <c r="R1186" s="29"/>
      <c r="S1186" s="29"/>
      <c r="T1186" s="29"/>
      <c r="U1186" s="29"/>
      <c r="V1186" s="29"/>
      <c r="W1186" s="29"/>
      <c r="X1186" s="29"/>
      <c r="Y1186" s="29"/>
      <c r="Z1186" s="29"/>
      <c r="AA1186" s="29"/>
      <c r="AB1186" s="29"/>
      <c r="AC1186" s="29"/>
      <c r="AD1186" s="207"/>
    </row>
    <row r="1187" spans="18:30" ht="29.25" customHeight="1" x14ac:dyDescent="0.25">
      <c r="R1187" s="29"/>
      <c r="S1187" s="29"/>
      <c r="T1187" s="29"/>
      <c r="U1187" s="29"/>
      <c r="V1187" s="29"/>
      <c r="W1187" s="29"/>
      <c r="X1187" s="29"/>
      <c r="Y1187" s="29"/>
      <c r="Z1187" s="29"/>
      <c r="AA1187" s="29"/>
      <c r="AB1187" s="29"/>
      <c r="AC1187" s="29"/>
      <c r="AD1187" s="207"/>
    </row>
    <row r="1188" spans="18:30" ht="29.25" customHeight="1" x14ac:dyDescent="0.25">
      <c r="R1188" s="29"/>
      <c r="S1188" s="29"/>
      <c r="T1188" s="29"/>
      <c r="U1188" s="29"/>
      <c r="V1188" s="29"/>
      <c r="W1188" s="29"/>
      <c r="X1188" s="29"/>
      <c r="Y1188" s="29"/>
      <c r="Z1188" s="29"/>
      <c r="AA1188" s="29"/>
      <c r="AB1188" s="29"/>
      <c r="AC1188" s="29"/>
      <c r="AD1188" s="207"/>
    </row>
    <row r="1189" spans="18:30" ht="29.25" customHeight="1" x14ac:dyDescent="0.25">
      <c r="R1189" s="29"/>
      <c r="S1189" s="29"/>
      <c r="T1189" s="29"/>
      <c r="U1189" s="29"/>
      <c r="V1189" s="29"/>
      <c r="W1189" s="29"/>
      <c r="X1189" s="29"/>
      <c r="Y1189" s="29"/>
      <c r="Z1189" s="29"/>
      <c r="AA1189" s="29"/>
      <c r="AB1189" s="29"/>
      <c r="AC1189" s="29"/>
      <c r="AD1189" s="207"/>
    </row>
    <row r="1190" spans="18:30" ht="29.25" customHeight="1" x14ac:dyDescent="0.25">
      <c r="R1190" s="29"/>
      <c r="S1190" s="29"/>
      <c r="T1190" s="29"/>
      <c r="U1190" s="29"/>
      <c r="V1190" s="29"/>
      <c r="W1190" s="29"/>
      <c r="X1190" s="29"/>
      <c r="Y1190" s="29"/>
      <c r="Z1190" s="29"/>
      <c r="AA1190" s="29"/>
      <c r="AB1190" s="29"/>
      <c r="AC1190" s="29"/>
      <c r="AD1190" s="207"/>
    </row>
    <row r="1191" spans="18:30" ht="29.25" customHeight="1" x14ac:dyDescent="0.25">
      <c r="R1191" s="29"/>
      <c r="S1191" s="29"/>
      <c r="T1191" s="29"/>
      <c r="U1191" s="29"/>
      <c r="V1191" s="29"/>
      <c r="W1191" s="29"/>
      <c r="X1191" s="29"/>
      <c r="Y1191" s="29"/>
      <c r="Z1191" s="29"/>
      <c r="AA1191" s="29"/>
      <c r="AB1191" s="29"/>
      <c r="AC1191" s="29"/>
      <c r="AD1191" s="207"/>
    </row>
    <row r="1192" spans="18:30" ht="29.25" customHeight="1" x14ac:dyDescent="0.25">
      <c r="R1192" s="29"/>
      <c r="S1192" s="29"/>
      <c r="T1192" s="29"/>
      <c r="U1192" s="29"/>
      <c r="V1192" s="29"/>
      <c r="W1192" s="29"/>
      <c r="X1192" s="29"/>
      <c r="Y1192" s="29"/>
      <c r="Z1192" s="29"/>
      <c r="AA1192" s="29"/>
      <c r="AB1192" s="29"/>
      <c r="AC1192" s="29"/>
      <c r="AD1192" s="207"/>
    </row>
    <row r="1193" spans="18:30" ht="29.25" customHeight="1" x14ac:dyDescent="0.25">
      <c r="R1193" s="29"/>
      <c r="S1193" s="29"/>
      <c r="T1193" s="29"/>
      <c r="U1193" s="29"/>
      <c r="V1193" s="29"/>
      <c r="W1193" s="29"/>
      <c r="X1193" s="29"/>
      <c r="Y1193" s="29"/>
      <c r="Z1193" s="29"/>
      <c r="AA1193" s="29"/>
      <c r="AB1193" s="29"/>
      <c r="AC1193" s="29"/>
      <c r="AD1193" s="207"/>
    </row>
    <row r="1194" spans="18:30" ht="29.25" customHeight="1" x14ac:dyDescent="0.25">
      <c r="R1194" s="29"/>
      <c r="S1194" s="29"/>
      <c r="T1194" s="29"/>
      <c r="U1194" s="29"/>
      <c r="V1194" s="29"/>
      <c r="W1194" s="29"/>
      <c r="X1194" s="29"/>
      <c r="Y1194" s="29"/>
      <c r="Z1194" s="29"/>
      <c r="AA1194" s="29"/>
      <c r="AB1194" s="29"/>
      <c r="AC1194" s="29"/>
      <c r="AD1194" s="207"/>
    </row>
    <row r="1195" spans="18:30" ht="29.25" customHeight="1" x14ac:dyDescent="0.25">
      <c r="R1195" s="29"/>
      <c r="S1195" s="29"/>
      <c r="T1195" s="29"/>
      <c r="U1195" s="29"/>
      <c r="V1195" s="29"/>
      <c r="W1195" s="29"/>
      <c r="X1195" s="29"/>
      <c r="Y1195" s="29"/>
      <c r="Z1195" s="29"/>
      <c r="AA1195" s="29"/>
      <c r="AB1195" s="29"/>
      <c r="AC1195" s="29"/>
      <c r="AD1195" s="207"/>
    </row>
    <row r="1196" spans="18:30" ht="29.25" customHeight="1" x14ac:dyDescent="0.25">
      <c r="R1196" s="29"/>
      <c r="S1196" s="29"/>
      <c r="T1196" s="29"/>
      <c r="U1196" s="29"/>
      <c r="V1196" s="29"/>
      <c r="W1196" s="29"/>
      <c r="X1196" s="29"/>
      <c r="Y1196" s="29"/>
      <c r="Z1196" s="29"/>
      <c r="AA1196" s="29"/>
      <c r="AB1196" s="29"/>
      <c r="AC1196" s="29"/>
      <c r="AD1196" s="207"/>
    </row>
    <row r="1197" spans="18:30" ht="29.25" customHeight="1" x14ac:dyDescent="0.25">
      <c r="R1197" s="29"/>
      <c r="S1197" s="29"/>
      <c r="T1197" s="29"/>
      <c r="U1197" s="29"/>
      <c r="V1197" s="29"/>
      <c r="W1197" s="29"/>
      <c r="X1197" s="29"/>
      <c r="Y1197" s="29"/>
      <c r="Z1197" s="29"/>
      <c r="AA1197" s="29"/>
      <c r="AB1197" s="29"/>
      <c r="AC1197" s="29"/>
      <c r="AD1197" s="207"/>
    </row>
    <row r="1198" spans="18:30" ht="29.25" customHeight="1" x14ac:dyDescent="0.25">
      <c r="R1198" s="29"/>
      <c r="S1198" s="29"/>
      <c r="T1198" s="29"/>
      <c r="U1198" s="29"/>
      <c r="V1198" s="29"/>
      <c r="W1198" s="29"/>
      <c r="X1198" s="29"/>
      <c r="Y1198" s="29"/>
      <c r="Z1198" s="29"/>
      <c r="AA1198" s="29"/>
      <c r="AB1198" s="29"/>
      <c r="AC1198" s="29"/>
      <c r="AD1198" s="207"/>
    </row>
    <row r="1199" spans="18:30" ht="29.25" customHeight="1" x14ac:dyDescent="0.25">
      <c r="R1199" s="29"/>
      <c r="S1199" s="29"/>
      <c r="T1199" s="29"/>
      <c r="U1199" s="29"/>
      <c r="V1199" s="29"/>
      <c r="W1199" s="29"/>
      <c r="X1199" s="29"/>
      <c r="Y1199" s="29"/>
      <c r="Z1199" s="29"/>
      <c r="AA1199" s="29"/>
      <c r="AB1199" s="29"/>
      <c r="AC1199" s="29"/>
      <c r="AD1199" s="207"/>
    </row>
    <row r="1200" spans="18:30" ht="29.25" customHeight="1" x14ac:dyDescent="0.25">
      <c r="R1200" s="29"/>
      <c r="S1200" s="29"/>
      <c r="T1200" s="29"/>
      <c r="U1200" s="29"/>
      <c r="V1200" s="29"/>
      <c r="W1200" s="29"/>
      <c r="X1200" s="29"/>
      <c r="Y1200" s="29"/>
      <c r="Z1200" s="29"/>
      <c r="AA1200" s="29"/>
      <c r="AB1200" s="29"/>
      <c r="AC1200" s="29"/>
      <c r="AD1200" s="207"/>
    </row>
    <row r="1201" spans="18:30" ht="29.25" customHeight="1" x14ac:dyDescent="0.25">
      <c r="R1201" s="29"/>
      <c r="S1201" s="29"/>
      <c r="T1201" s="29"/>
      <c r="U1201" s="29"/>
      <c r="V1201" s="29"/>
      <c r="W1201" s="29"/>
      <c r="X1201" s="29"/>
      <c r="Y1201" s="29"/>
      <c r="Z1201" s="29"/>
      <c r="AA1201" s="29"/>
      <c r="AB1201" s="29"/>
      <c r="AC1201" s="29"/>
      <c r="AD1201" s="207"/>
    </row>
    <row r="1202" spans="18:30" ht="29.25" customHeight="1" x14ac:dyDescent="0.25">
      <c r="R1202" s="29"/>
      <c r="S1202" s="29"/>
      <c r="T1202" s="29"/>
      <c r="U1202" s="29"/>
      <c r="V1202" s="29"/>
      <c r="W1202" s="29"/>
      <c r="X1202" s="29"/>
      <c r="Y1202" s="29"/>
      <c r="Z1202" s="29"/>
      <c r="AA1202" s="29"/>
      <c r="AB1202" s="29"/>
      <c r="AC1202" s="29"/>
      <c r="AD1202" s="207"/>
    </row>
    <row r="1203" spans="18:30" ht="29.25" customHeight="1" x14ac:dyDescent="0.25">
      <c r="R1203" s="29"/>
      <c r="S1203" s="29"/>
      <c r="T1203" s="29"/>
      <c r="U1203" s="29"/>
      <c r="V1203" s="29"/>
      <c r="W1203" s="29"/>
      <c r="X1203" s="29"/>
      <c r="Y1203" s="29"/>
      <c r="Z1203" s="29"/>
      <c r="AA1203" s="29"/>
      <c r="AB1203" s="29"/>
      <c r="AC1203" s="29"/>
      <c r="AD1203" s="207"/>
    </row>
    <row r="1204" spans="18:30" ht="29.25" customHeight="1" x14ac:dyDescent="0.25">
      <c r="R1204" s="29"/>
      <c r="S1204" s="29"/>
      <c r="T1204" s="29"/>
      <c r="U1204" s="29"/>
      <c r="V1204" s="29"/>
      <c r="W1204" s="29"/>
      <c r="X1204" s="29"/>
      <c r="Y1204" s="29"/>
      <c r="Z1204" s="29"/>
      <c r="AA1204" s="29"/>
      <c r="AB1204" s="29"/>
      <c r="AC1204" s="29"/>
      <c r="AD1204" s="207"/>
    </row>
    <row r="1205" spans="18:30" ht="29.25" customHeight="1" x14ac:dyDescent="0.25">
      <c r="R1205" s="29"/>
      <c r="S1205" s="29"/>
      <c r="T1205" s="29"/>
      <c r="U1205" s="29"/>
      <c r="V1205" s="29"/>
      <c r="W1205" s="29"/>
      <c r="X1205" s="29"/>
      <c r="Y1205" s="29"/>
      <c r="Z1205" s="29"/>
      <c r="AA1205" s="29"/>
      <c r="AB1205" s="29"/>
      <c r="AC1205" s="29"/>
      <c r="AD1205" s="207"/>
    </row>
    <row r="1206" spans="18:30" ht="29.25" customHeight="1" x14ac:dyDescent="0.25">
      <c r="R1206" s="29"/>
      <c r="S1206" s="29"/>
      <c r="T1206" s="29"/>
      <c r="U1206" s="29"/>
      <c r="V1206" s="29"/>
      <c r="W1206" s="29"/>
      <c r="X1206" s="29"/>
      <c r="Y1206" s="29"/>
      <c r="Z1206" s="29"/>
      <c r="AA1206" s="29"/>
      <c r="AB1206" s="29"/>
      <c r="AC1206" s="29"/>
      <c r="AD1206" s="207"/>
    </row>
    <row r="1207" spans="18:30" ht="29.25" customHeight="1" x14ac:dyDescent="0.25">
      <c r="R1207" s="29"/>
      <c r="S1207" s="29"/>
      <c r="T1207" s="29"/>
      <c r="U1207" s="29"/>
      <c r="V1207" s="29"/>
      <c r="W1207" s="29"/>
      <c r="X1207" s="29"/>
      <c r="Y1207" s="29"/>
      <c r="Z1207" s="29"/>
      <c r="AA1207" s="29"/>
      <c r="AB1207" s="29"/>
      <c r="AC1207" s="29"/>
      <c r="AD1207" s="207"/>
    </row>
    <row r="1208" spans="18:30" ht="29.25" customHeight="1" x14ac:dyDescent="0.25">
      <c r="R1208" s="29"/>
      <c r="S1208" s="29"/>
      <c r="T1208" s="29"/>
      <c r="U1208" s="29"/>
      <c r="V1208" s="29"/>
      <c r="W1208" s="29"/>
      <c r="X1208" s="29"/>
      <c r="Y1208" s="29"/>
      <c r="Z1208" s="29"/>
      <c r="AA1208" s="29"/>
      <c r="AB1208" s="29"/>
      <c r="AC1208" s="29"/>
      <c r="AD1208" s="207"/>
    </row>
    <row r="1209" spans="18:30" ht="29.25" customHeight="1" x14ac:dyDescent="0.25">
      <c r="R1209" s="29"/>
      <c r="S1209" s="29"/>
      <c r="T1209" s="29"/>
      <c r="U1209" s="29"/>
      <c r="V1209" s="29"/>
      <c r="W1209" s="29"/>
      <c r="X1209" s="29"/>
      <c r="Y1209" s="29"/>
      <c r="Z1209" s="29"/>
      <c r="AA1209" s="29"/>
      <c r="AB1209" s="29"/>
      <c r="AC1209" s="29"/>
      <c r="AD1209" s="207"/>
    </row>
    <row r="1210" spans="18:30" ht="29.25" customHeight="1" x14ac:dyDescent="0.25">
      <c r="R1210" s="29"/>
      <c r="S1210" s="29"/>
      <c r="T1210" s="29"/>
      <c r="U1210" s="29"/>
      <c r="V1210" s="29"/>
      <c r="W1210" s="29"/>
      <c r="X1210" s="29"/>
      <c r="Y1210" s="29"/>
      <c r="Z1210" s="29"/>
      <c r="AA1210" s="29"/>
      <c r="AB1210" s="29"/>
      <c r="AC1210" s="29"/>
      <c r="AD1210" s="207"/>
    </row>
    <row r="1211" spans="18:30" ht="29.25" customHeight="1" x14ac:dyDescent="0.25">
      <c r="R1211" s="29"/>
      <c r="S1211" s="29"/>
      <c r="T1211" s="29"/>
      <c r="U1211" s="29"/>
      <c r="V1211" s="29"/>
      <c r="W1211" s="29"/>
      <c r="X1211" s="29"/>
      <c r="Y1211" s="29"/>
      <c r="Z1211" s="29"/>
      <c r="AA1211" s="29"/>
      <c r="AB1211" s="29"/>
      <c r="AC1211" s="29"/>
      <c r="AD1211" s="207"/>
    </row>
    <row r="1212" spans="18:30" ht="29.25" customHeight="1" x14ac:dyDescent="0.25">
      <c r="R1212" s="29"/>
      <c r="S1212" s="29"/>
      <c r="T1212" s="29"/>
      <c r="U1212" s="29"/>
      <c r="V1212" s="29"/>
      <c r="W1212" s="29"/>
      <c r="X1212" s="29"/>
      <c r="Y1212" s="29"/>
      <c r="Z1212" s="29"/>
      <c r="AA1212" s="29"/>
      <c r="AB1212" s="29"/>
      <c r="AC1212" s="29"/>
      <c r="AD1212" s="207"/>
    </row>
    <row r="1213" spans="18:30" ht="29.25" customHeight="1" x14ac:dyDescent="0.25">
      <c r="R1213" s="29"/>
      <c r="S1213" s="29"/>
      <c r="T1213" s="29"/>
      <c r="U1213" s="29"/>
      <c r="V1213" s="29"/>
      <c r="W1213" s="29"/>
      <c r="X1213" s="29"/>
      <c r="Y1213" s="29"/>
      <c r="Z1213" s="29"/>
      <c r="AA1213" s="29"/>
      <c r="AB1213" s="29"/>
      <c r="AC1213" s="29"/>
      <c r="AD1213" s="207"/>
    </row>
    <row r="1214" spans="18:30" ht="29.25" customHeight="1" x14ac:dyDescent="0.25">
      <c r="R1214" s="29"/>
      <c r="S1214" s="29"/>
      <c r="T1214" s="29"/>
      <c r="U1214" s="29"/>
      <c r="V1214" s="29"/>
      <c r="W1214" s="29"/>
      <c r="X1214" s="29"/>
      <c r="Y1214" s="29"/>
      <c r="Z1214" s="29"/>
      <c r="AA1214" s="29"/>
      <c r="AB1214" s="29"/>
      <c r="AC1214" s="29"/>
      <c r="AD1214" s="207"/>
    </row>
    <row r="1215" spans="18:30" ht="29.25" customHeight="1" x14ac:dyDescent="0.25">
      <c r="R1215" s="29"/>
      <c r="S1215" s="29"/>
      <c r="T1215" s="29"/>
      <c r="U1215" s="29"/>
      <c r="V1215" s="29"/>
      <c r="W1215" s="29"/>
      <c r="X1215" s="29"/>
      <c r="Y1215" s="29"/>
      <c r="Z1215" s="29"/>
      <c r="AA1215" s="29"/>
      <c r="AB1215" s="29"/>
      <c r="AC1215" s="29"/>
      <c r="AD1215" s="207"/>
    </row>
    <row r="1216" spans="18:30" ht="29.25" customHeight="1" x14ac:dyDescent="0.25">
      <c r="R1216" s="29"/>
      <c r="S1216" s="29"/>
      <c r="T1216" s="29"/>
      <c r="U1216" s="29"/>
      <c r="V1216" s="29"/>
      <c r="W1216" s="29"/>
      <c r="X1216" s="29"/>
      <c r="Y1216" s="29"/>
      <c r="Z1216" s="29"/>
      <c r="AA1216" s="29"/>
      <c r="AB1216" s="29"/>
      <c r="AC1216" s="29"/>
      <c r="AD1216" s="207"/>
    </row>
    <row r="1217" spans="18:30" ht="29.25" customHeight="1" x14ac:dyDescent="0.25">
      <c r="R1217" s="29"/>
      <c r="S1217" s="29"/>
      <c r="T1217" s="29"/>
      <c r="U1217" s="29"/>
      <c r="V1217" s="29"/>
      <c r="W1217" s="29"/>
      <c r="X1217" s="29"/>
      <c r="Y1217" s="29"/>
      <c r="Z1217" s="29"/>
      <c r="AA1217" s="29"/>
      <c r="AB1217" s="29"/>
      <c r="AC1217" s="29"/>
      <c r="AD1217" s="207"/>
    </row>
    <row r="1218" spans="18:30" ht="29.25" customHeight="1" x14ac:dyDescent="0.25">
      <c r="R1218" s="29"/>
      <c r="S1218" s="29"/>
      <c r="T1218" s="29"/>
      <c r="U1218" s="29"/>
      <c r="V1218" s="29"/>
      <c r="W1218" s="29"/>
      <c r="X1218" s="29"/>
      <c r="Y1218" s="29"/>
      <c r="Z1218" s="29"/>
      <c r="AA1218" s="29"/>
      <c r="AB1218" s="29"/>
      <c r="AC1218" s="29"/>
      <c r="AD1218" s="207"/>
    </row>
    <row r="1219" spans="18:30" ht="29.25" customHeight="1" x14ac:dyDescent="0.25">
      <c r="R1219" s="29"/>
      <c r="S1219" s="29"/>
      <c r="T1219" s="29"/>
      <c r="U1219" s="29"/>
      <c r="V1219" s="29"/>
      <c r="W1219" s="29"/>
      <c r="X1219" s="29"/>
      <c r="Y1219" s="29"/>
      <c r="Z1219" s="29"/>
      <c r="AA1219" s="29"/>
      <c r="AB1219" s="29"/>
      <c r="AC1219" s="29"/>
      <c r="AD1219" s="207"/>
    </row>
    <row r="1220" spans="18:30" ht="29.25" customHeight="1" x14ac:dyDescent="0.25">
      <c r="R1220" s="29"/>
      <c r="S1220" s="29"/>
      <c r="T1220" s="29"/>
      <c r="U1220" s="29"/>
      <c r="V1220" s="29"/>
      <c r="W1220" s="29"/>
      <c r="X1220" s="29"/>
      <c r="Y1220" s="29"/>
      <c r="Z1220" s="29"/>
      <c r="AA1220" s="29"/>
      <c r="AB1220" s="29"/>
      <c r="AC1220" s="29"/>
      <c r="AD1220" s="207"/>
    </row>
    <row r="1221" spans="18:30" ht="29.25" customHeight="1" x14ac:dyDescent="0.25">
      <c r="R1221" s="29"/>
      <c r="S1221" s="29"/>
      <c r="T1221" s="29"/>
      <c r="U1221" s="29"/>
      <c r="V1221" s="29"/>
      <c r="W1221" s="29"/>
      <c r="X1221" s="29"/>
      <c r="Y1221" s="29"/>
      <c r="Z1221" s="29"/>
      <c r="AA1221" s="29"/>
      <c r="AB1221" s="29"/>
      <c r="AC1221" s="29"/>
      <c r="AD1221" s="207"/>
    </row>
    <row r="1222" spans="18:30" ht="29.25" customHeight="1" x14ac:dyDescent="0.25">
      <c r="R1222" s="29"/>
      <c r="S1222" s="29"/>
      <c r="T1222" s="29"/>
      <c r="U1222" s="29"/>
      <c r="V1222" s="29"/>
      <c r="W1222" s="29"/>
      <c r="X1222" s="29"/>
      <c r="Y1222" s="29"/>
      <c r="Z1222" s="29"/>
      <c r="AA1222" s="29"/>
      <c r="AB1222" s="29"/>
      <c r="AC1222" s="29"/>
      <c r="AD1222" s="207"/>
    </row>
    <row r="1223" spans="18:30" ht="29.25" customHeight="1" x14ac:dyDescent="0.25">
      <c r="R1223" s="29"/>
      <c r="S1223" s="29"/>
      <c r="T1223" s="29"/>
      <c r="U1223" s="29"/>
      <c r="V1223" s="29"/>
      <c r="W1223" s="29"/>
      <c r="X1223" s="29"/>
      <c r="Y1223" s="29"/>
      <c r="Z1223" s="29"/>
      <c r="AA1223" s="29"/>
      <c r="AB1223" s="29"/>
      <c r="AC1223" s="29"/>
      <c r="AD1223" s="207"/>
    </row>
    <row r="1224" spans="18:30" ht="29.25" customHeight="1" x14ac:dyDescent="0.25">
      <c r="R1224" s="29"/>
      <c r="S1224" s="29"/>
      <c r="T1224" s="29"/>
      <c r="U1224" s="29"/>
      <c r="V1224" s="29"/>
      <c r="W1224" s="29"/>
      <c r="X1224" s="29"/>
      <c r="Y1224" s="29"/>
      <c r="Z1224" s="29"/>
      <c r="AA1224" s="29"/>
      <c r="AB1224" s="29"/>
      <c r="AC1224" s="29"/>
      <c r="AD1224" s="207"/>
    </row>
    <row r="1225" spans="18:30" ht="29.25" customHeight="1" x14ac:dyDescent="0.25">
      <c r="R1225" s="29"/>
      <c r="S1225" s="29"/>
      <c r="T1225" s="29"/>
      <c r="U1225" s="29"/>
      <c r="V1225" s="29"/>
      <c r="W1225" s="29"/>
      <c r="X1225" s="29"/>
      <c r="Y1225" s="29"/>
      <c r="Z1225" s="29"/>
      <c r="AA1225" s="29"/>
      <c r="AB1225" s="29"/>
      <c r="AC1225" s="29"/>
      <c r="AD1225" s="207"/>
    </row>
    <row r="1226" spans="18:30" ht="29.25" customHeight="1" x14ac:dyDescent="0.25">
      <c r="R1226" s="29"/>
      <c r="S1226" s="29"/>
      <c r="T1226" s="29"/>
      <c r="U1226" s="29"/>
      <c r="V1226" s="29"/>
      <c r="W1226" s="29"/>
      <c r="X1226" s="29"/>
      <c r="Y1226" s="29"/>
      <c r="Z1226" s="29"/>
      <c r="AA1226" s="29"/>
      <c r="AB1226" s="29"/>
      <c r="AC1226" s="29"/>
      <c r="AD1226" s="207"/>
    </row>
    <row r="1227" spans="18:30" ht="29.25" customHeight="1" x14ac:dyDescent="0.25">
      <c r="R1227" s="29"/>
      <c r="S1227" s="29"/>
      <c r="T1227" s="29"/>
      <c r="U1227" s="29"/>
      <c r="V1227" s="29"/>
      <c r="W1227" s="29"/>
      <c r="X1227" s="29"/>
      <c r="Y1227" s="29"/>
      <c r="Z1227" s="29"/>
      <c r="AA1227" s="29"/>
      <c r="AB1227" s="29"/>
      <c r="AC1227" s="29"/>
      <c r="AD1227" s="207"/>
    </row>
    <row r="1228" spans="18:30" ht="29.25" customHeight="1" x14ac:dyDescent="0.25">
      <c r="R1228" s="29"/>
      <c r="S1228" s="29"/>
      <c r="T1228" s="29"/>
      <c r="U1228" s="29"/>
      <c r="V1228" s="29"/>
      <c r="W1228" s="29"/>
      <c r="X1228" s="29"/>
      <c r="Y1228" s="29"/>
      <c r="Z1228" s="29"/>
      <c r="AA1228" s="29"/>
      <c r="AB1228" s="29"/>
      <c r="AC1228" s="29"/>
      <c r="AD1228" s="207"/>
    </row>
    <row r="1229" spans="18:30" ht="29.25" customHeight="1" x14ac:dyDescent="0.25">
      <c r="R1229" s="29"/>
      <c r="S1229" s="29"/>
      <c r="T1229" s="29"/>
      <c r="U1229" s="29"/>
      <c r="V1229" s="29"/>
      <c r="W1229" s="29"/>
      <c r="X1229" s="29"/>
      <c r="Y1229" s="29"/>
      <c r="Z1229" s="29"/>
      <c r="AA1229" s="29"/>
      <c r="AB1229" s="29"/>
      <c r="AC1229" s="29"/>
      <c r="AD1229" s="207"/>
    </row>
    <row r="1230" spans="18:30" ht="29.25" customHeight="1" x14ac:dyDescent="0.25">
      <c r="R1230" s="29"/>
      <c r="S1230" s="29"/>
      <c r="T1230" s="29"/>
      <c r="U1230" s="29"/>
      <c r="V1230" s="29"/>
      <c r="W1230" s="29"/>
      <c r="X1230" s="29"/>
      <c r="Y1230" s="29"/>
      <c r="Z1230" s="29"/>
      <c r="AA1230" s="29"/>
      <c r="AB1230" s="29"/>
      <c r="AC1230" s="29"/>
      <c r="AD1230" s="207"/>
    </row>
    <row r="1231" spans="18:30" ht="29.25" customHeight="1" x14ac:dyDescent="0.25">
      <c r="R1231" s="29"/>
      <c r="S1231" s="29"/>
      <c r="T1231" s="29"/>
      <c r="U1231" s="29"/>
      <c r="V1231" s="29"/>
      <c r="W1231" s="29"/>
      <c r="X1231" s="29"/>
      <c r="Y1231" s="29"/>
      <c r="Z1231" s="29"/>
      <c r="AA1231" s="29"/>
      <c r="AB1231" s="29"/>
      <c r="AC1231" s="29"/>
      <c r="AD1231" s="207"/>
    </row>
    <row r="1232" spans="18:30" ht="29.25" customHeight="1" x14ac:dyDescent="0.25">
      <c r="R1232" s="29"/>
      <c r="S1232" s="29"/>
      <c r="T1232" s="29"/>
      <c r="U1232" s="29"/>
      <c r="V1232" s="29"/>
      <c r="W1232" s="29"/>
      <c r="X1232" s="29"/>
      <c r="Y1232" s="29"/>
      <c r="Z1232" s="29"/>
      <c r="AA1232" s="29"/>
      <c r="AB1232" s="29"/>
      <c r="AC1232" s="29"/>
      <c r="AD1232" s="207"/>
    </row>
    <row r="1233" spans="18:30" ht="29.25" customHeight="1" x14ac:dyDescent="0.25">
      <c r="R1233" s="29"/>
      <c r="S1233" s="29"/>
      <c r="T1233" s="29"/>
      <c r="U1233" s="29"/>
      <c r="V1233" s="29"/>
      <c r="W1233" s="29"/>
      <c r="X1233" s="29"/>
      <c r="Y1233" s="29"/>
      <c r="Z1233" s="29"/>
      <c r="AA1233" s="29"/>
      <c r="AB1233" s="29"/>
      <c r="AC1233" s="29"/>
      <c r="AD1233" s="207"/>
    </row>
    <row r="1234" spans="18:30" ht="29.25" customHeight="1" x14ac:dyDescent="0.25">
      <c r="R1234" s="29"/>
      <c r="S1234" s="29"/>
      <c r="T1234" s="29"/>
      <c r="U1234" s="29"/>
      <c r="V1234" s="29"/>
      <c r="W1234" s="29"/>
      <c r="X1234" s="29"/>
      <c r="Y1234" s="29"/>
      <c r="Z1234" s="29"/>
      <c r="AA1234" s="29"/>
      <c r="AB1234" s="29"/>
      <c r="AC1234" s="29"/>
      <c r="AD1234" s="207"/>
    </row>
    <row r="1235" spans="18:30" ht="29.25" customHeight="1" x14ac:dyDescent="0.25">
      <c r="R1235" s="29"/>
      <c r="S1235" s="29"/>
      <c r="T1235" s="29"/>
      <c r="U1235" s="29"/>
      <c r="V1235" s="29"/>
      <c r="W1235" s="29"/>
      <c r="X1235" s="29"/>
      <c r="Y1235" s="29"/>
      <c r="Z1235" s="29"/>
      <c r="AA1235" s="29"/>
      <c r="AB1235" s="29"/>
      <c r="AC1235" s="29"/>
      <c r="AD1235" s="207"/>
    </row>
    <row r="1236" spans="18:30" ht="29.25" customHeight="1" x14ac:dyDescent="0.25">
      <c r="R1236" s="29"/>
      <c r="S1236" s="29"/>
      <c r="T1236" s="29"/>
      <c r="U1236" s="29"/>
      <c r="V1236" s="29"/>
      <c r="W1236" s="29"/>
      <c r="X1236" s="29"/>
      <c r="Y1236" s="29"/>
      <c r="Z1236" s="29"/>
      <c r="AA1236" s="29"/>
      <c r="AB1236" s="29"/>
      <c r="AC1236" s="29"/>
      <c r="AD1236" s="207"/>
    </row>
    <row r="1237" spans="18:30" ht="29.25" customHeight="1" x14ac:dyDescent="0.25">
      <c r="R1237" s="29"/>
      <c r="S1237" s="29"/>
      <c r="T1237" s="29"/>
      <c r="U1237" s="29"/>
      <c r="V1237" s="29"/>
      <c r="W1237" s="29"/>
      <c r="X1237" s="29"/>
      <c r="Y1237" s="29"/>
      <c r="Z1237" s="29"/>
      <c r="AA1237" s="29"/>
      <c r="AB1237" s="29"/>
      <c r="AC1237" s="29"/>
      <c r="AD1237" s="207"/>
    </row>
    <row r="1238" spans="18:30" ht="29.25" customHeight="1" x14ac:dyDescent="0.25">
      <c r="R1238" s="29"/>
      <c r="S1238" s="29"/>
      <c r="T1238" s="29"/>
      <c r="U1238" s="29"/>
      <c r="V1238" s="29"/>
      <c r="W1238" s="29"/>
      <c r="X1238" s="29"/>
      <c r="Y1238" s="29"/>
      <c r="Z1238" s="29"/>
      <c r="AA1238" s="29"/>
      <c r="AB1238" s="29"/>
      <c r="AC1238" s="29"/>
      <c r="AD1238" s="207"/>
    </row>
    <row r="1239" spans="18:30" ht="29.25" customHeight="1" x14ac:dyDescent="0.25">
      <c r="R1239" s="29"/>
      <c r="S1239" s="29"/>
      <c r="T1239" s="29"/>
      <c r="U1239" s="29"/>
      <c r="V1239" s="29"/>
      <c r="W1239" s="29"/>
      <c r="X1239" s="29"/>
      <c r="Y1239" s="29"/>
      <c r="Z1239" s="29"/>
      <c r="AA1239" s="29"/>
      <c r="AB1239" s="29"/>
      <c r="AC1239" s="29"/>
      <c r="AD1239" s="207"/>
    </row>
    <row r="1240" spans="18:30" ht="29.25" customHeight="1" x14ac:dyDescent="0.25">
      <c r="R1240" s="29"/>
      <c r="S1240" s="29"/>
      <c r="T1240" s="29"/>
      <c r="U1240" s="29"/>
      <c r="V1240" s="29"/>
      <c r="W1240" s="29"/>
      <c r="X1240" s="29"/>
      <c r="Y1240" s="29"/>
      <c r="Z1240" s="29"/>
      <c r="AA1240" s="29"/>
      <c r="AB1240" s="29"/>
      <c r="AC1240" s="29"/>
      <c r="AD1240" s="207"/>
    </row>
    <row r="1241" spans="18:30" ht="29.25" customHeight="1" x14ac:dyDescent="0.25">
      <c r="R1241" s="29"/>
      <c r="S1241" s="29"/>
      <c r="T1241" s="29"/>
      <c r="U1241" s="29"/>
      <c r="V1241" s="29"/>
      <c r="W1241" s="29"/>
      <c r="X1241" s="29"/>
      <c r="Y1241" s="29"/>
      <c r="Z1241" s="29"/>
      <c r="AA1241" s="29"/>
      <c r="AB1241" s="29"/>
      <c r="AC1241" s="29"/>
      <c r="AD1241" s="207"/>
    </row>
    <row r="1242" spans="18:30" ht="29.25" customHeight="1" x14ac:dyDescent="0.25">
      <c r="R1242" s="29"/>
      <c r="S1242" s="29"/>
      <c r="T1242" s="29"/>
      <c r="U1242" s="29"/>
      <c r="V1242" s="29"/>
      <c r="W1242" s="29"/>
      <c r="X1242" s="29"/>
      <c r="Y1242" s="29"/>
      <c r="Z1242" s="29"/>
      <c r="AA1242" s="29"/>
      <c r="AB1242" s="29"/>
      <c r="AC1242" s="29"/>
      <c r="AD1242" s="207"/>
    </row>
    <row r="1243" spans="18:30" ht="29.25" customHeight="1" x14ac:dyDescent="0.25">
      <c r="R1243" s="29"/>
      <c r="S1243" s="29"/>
      <c r="T1243" s="29"/>
      <c r="U1243" s="29"/>
      <c r="V1243" s="29"/>
      <c r="W1243" s="29"/>
      <c r="X1243" s="29"/>
      <c r="Y1243" s="29"/>
      <c r="Z1243" s="29"/>
      <c r="AA1243" s="29"/>
      <c r="AB1243" s="29"/>
      <c r="AC1243" s="29"/>
      <c r="AD1243" s="207"/>
    </row>
    <row r="1244" spans="18:30" ht="29.25" customHeight="1" x14ac:dyDescent="0.25">
      <c r="R1244" s="29"/>
      <c r="S1244" s="29"/>
      <c r="T1244" s="29"/>
      <c r="U1244" s="29"/>
      <c r="V1244" s="29"/>
      <c r="W1244" s="29"/>
      <c r="X1244" s="29"/>
      <c r="Y1244" s="29"/>
      <c r="Z1244" s="29"/>
      <c r="AA1244" s="29"/>
      <c r="AB1244" s="29"/>
      <c r="AC1244" s="29"/>
      <c r="AD1244" s="207"/>
    </row>
    <row r="1245" spans="18:30" ht="29.25" customHeight="1" x14ac:dyDescent="0.25">
      <c r="R1245" s="29"/>
      <c r="S1245" s="29"/>
      <c r="T1245" s="29"/>
      <c r="U1245" s="29"/>
      <c r="V1245" s="29"/>
      <c r="W1245" s="29"/>
      <c r="X1245" s="29"/>
      <c r="Y1245" s="29"/>
      <c r="Z1245" s="29"/>
      <c r="AA1245" s="29"/>
      <c r="AB1245" s="29"/>
      <c r="AC1245" s="29"/>
      <c r="AD1245" s="207"/>
    </row>
    <row r="1246" spans="18:30" ht="29.25" customHeight="1" x14ac:dyDescent="0.25">
      <c r="R1246" s="29"/>
      <c r="S1246" s="29"/>
      <c r="T1246" s="29"/>
      <c r="U1246" s="29"/>
      <c r="V1246" s="29"/>
      <c r="W1246" s="29"/>
      <c r="X1246" s="29"/>
      <c r="Y1246" s="29"/>
      <c r="Z1246" s="29"/>
      <c r="AA1246" s="29"/>
      <c r="AB1246" s="29"/>
      <c r="AC1246" s="29"/>
      <c r="AD1246" s="207"/>
    </row>
    <row r="1247" spans="18:30" ht="29.25" customHeight="1" x14ac:dyDescent="0.25">
      <c r="R1247" s="29"/>
      <c r="S1247" s="29"/>
      <c r="T1247" s="29"/>
      <c r="U1247" s="29"/>
      <c r="V1247" s="29"/>
      <c r="W1247" s="29"/>
      <c r="X1247" s="29"/>
      <c r="Y1247" s="29"/>
      <c r="Z1247" s="29"/>
      <c r="AA1247" s="29"/>
      <c r="AB1247" s="29"/>
      <c r="AC1247" s="29"/>
      <c r="AD1247" s="207"/>
    </row>
    <row r="1248" spans="18:30" ht="29.25" customHeight="1" x14ac:dyDescent="0.25">
      <c r="R1248" s="29"/>
      <c r="S1248" s="29"/>
      <c r="T1248" s="29"/>
      <c r="U1248" s="29"/>
      <c r="V1248" s="29"/>
      <c r="W1248" s="29"/>
      <c r="X1248" s="29"/>
      <c r="Y1248" s="29"/>
      <c r="Z1248" s="29"/>
      <c r="AA1248" s="29"/>
      <c r="AB1248" s="29"/>
      <c r="AC1248" s="29"/>
      <c r="AD1248" s="207"/>
    </row>
    <row r="1249" spans="18:30" ht="29.25" customHeight="1" x14ac:dyDescent="0.25">
      <c r="R1249" s="29"/>
      <c r="S1249" s="29"/>
      <c r="T1249" s="29"/>
      <c r="U1249" s="29"/>
      <c r="V1249" s="29"/>
      <c r="W1249" s="29"/>
      <c r="X1249" s="29"/>
      <c r="Y1249" s="29"/>
      <c r="Z1249" s="29"/>
      <c r="AA1249" s="29"/>
      <c r="AB1249" s="29"/>
      <c r="AC1249" s="29"/>
      <c r="AD1249" s="207"/>
    </row>
    <row r="1250" spans="18:30" ht="29.25" customHeight="1" x14ac:dyDescent="0.25">
      <c r="R1250" s="29"/>
      <c r="S1250" s="29"/>
      <c r="T1250" s="29"/>
      <c r="U1250" s="29"/>
      <c r="V1250" s="29"/>
      <c r="W1250" s="29"/>
      <c r="X1250" s="29"/>
      <c r="Y1250" s="29"/>
      <c r="Z1250" s="29"/>
      <c r="AA1250" s="29"/>
      <c r="AB1250" s="29"/>
      <c r="AC1250" s="29"/>
      <c r="AD1250" s="207"/>
    </row>
    <row r="1251" spans="18:30" ht="29.25" customHeight="1" x14ac:dyDescent="0.25">
      <c r="R1251" s="29"/>
      <c r="S1251" s="29"/>
      <c r="T1251" s="29"/>
      <c r="U1251" s="29"/>
      <c r="V1251" s="29"/>
      <c r="W1251" s="29"/>
      <c r="X1251" s="29"/>
      <c r="Y1251" s="29"/>
      <c r="Z1251" s="29"/>
      <c r="AA1251" s="29"/>
      <c r="AB1251" s="29"/>
      <c r="AC1251" s="29"/>
      <c r="AD1251" s="207"/>
    </row>
    <row r="1252" spans="18:30" ht="29.25" customHeight="1" x14ac:dyDescent="0.25">
      <c r="R1252" s="29"/>
      <c r="S1252" s="29"/>
      <c r="T1252" s="29"/>
      <c r="U1252" s="29"/>
      <c r="V1252" s="29"/>
      <c r="W1252" s="29"/>
      <c r="X1252" s="29"/>
      <c r="Y1252" s="29"/>
      <c r="Z1252" s="29"/>
      <c r="AA1252" s="29"/>
      <c r="AB1252" s="29"/>
      <c r="AC1252" s="29"/>
      <c r="AD1252" s="207"/>
    </row>
    <row r="1253" spans="18:30" ht="29.25" customHeight="1" x14ac:dyDescent="0.25">
      <c r="R1253" s="29"/>
      <c r="S1253" s="29"/>
      <c r="T1253" s="29"/>
      <c r="U1253" s="29"/>
      <c r="V1253" s="29"/>
      <c r="W1253" s="29"/>
      <c r="X1253" s="29"/>
      <c r="Y1253" s="29"/>
      <c r="Z1253" s="29"/>
      <c r="AA1253" s="29"/>
      <c r="AB1253" s="29"/>
      <c r="AC1253" s="29"/>
      <c r="AD1253" s="207"/>
    </row>
    <row r="1254" spans="18:30" ht="29.25" customHeight="1" x14ac:dyDescent="0.25">
      <c r="R1254" s="29"/>
      <c r="S1254" s="29"/>
      <c r="T1254" s="29"/>
      <c r="U1254" s="29"/>
      <c r="V1254" s="29"/>
      <c r="W1254" s="29"/>
      <c r="X1254" s="29"/>
      <c r="Y1254" s="29"/>
      <c r="Z1254" s="29"/>
      <c r="AA1254" s="29"/>
      <c r="AB1254" s="29"/>
      <c r="AC1254" s="29"/>
      <c r="AD1254" s="207"/>
    </row>
    <row r="1255" spans="18:30" ht="29.25" customHeight="1" x14ac:dyDescent="0.25">
      <c r="R1255" s="29"/>
      <c r="S1255" s="29"/>
      <c r="T1255" s="29"/>
      <c r="U1255" s="29"/>
      <c r="V1255" s="29"/>
      <c r="W1255" s="29"/>
      <c r="X1255" s="29"/>
      <c r="Y1255" s="29"/>
      <c r="Z1255" s="29"/>
      <c r="AA1255" s="29"/>
      <c r="AB1255" s="29"/>
      <c r="AC1255" s="29"/>
      <c r="AD1255" s="207"/>
    </row>
    <row r="1256" spans="18:30" ht="29.25" customHeight="1" x14ac:dyDescent="0.25">
      <c r="R1256" s="29"/>
      <c r="S1256" s="29"/>
      <c r="T1256" s="29"/>
      <c r="U1256" s="29"/>
      <c r="V1256" s="29"/>
      <c r="W1256" s="29"/>
      <c r="X1256" s="29"/>
      <c r="Y1256" s="29"/>
      <c r="Z1256" s="29"/>
      <c r="AA1256" s="29"/>
      <c r="AB1256" s="29"/>
      <c r="AC1256" s="29"/>
      <c r="AD1256" s="207"/>
    </row>
    <row r="1257" spans="18:30" ht="29.25" customHeight="1" x14ac:dyDescent="0.25">
      <c r="R1257" s="29"/>
      <c r="S1257" s="29"/>
      <c r="T1257" s="29"/>
      <c r="U1257" s="29"/>
      <c r="V1257" s="29"/>
      <c r="W1257" s="29"/>
      <c r="X1257" s="29"/>
      <c r="Y1257" s="29"/>
      <c r="Z1257" s="29"/>
      <c r="AA1257" s="29"/>
      <c r="AB1257" s="29"/>
      <c r="AC1257" s="29"/>
      <c r="AD1257" s="207"/>
    </row>
    <row r="1258" spans="18:30" ht="29.25" customHeight="1" x14ac:dyDescent="0.25">
      <c r="R1258" s="29"/>
      <c r="S1258" s="29"/>
      <c r="T1258" s="29"/>
      <c r="U1258" s="29"/>
      <c r="V1258" s="29"/>
      <c r="W1258" s="29"/>
      <c r="X1258" s="29"/>
      <c r="Y1258" s="29"/>
      <c r="Z1258" s="29"/>
      <c r="AA1258" s="29"/>
      <c r="AB1258" s="29"/>
      <c r="AC1258" s="29"/>
      <c r="AD1258" s="207"/>
    </row>
    <row r="1259" spans="18:30" ht="29.25" customHeight="1" x14ac:dyDescent="0.25">
      <c r="R1259" s="29"/>
      <c r="S1259" s="29"/>
      <c r="T1259" s="29"/>
      <c r="U1259" s="29"/>
      <c r="V1259" s="29"/>
      <c r="W1259" s="29"/>
      <c r="X1259" s="29"/>
      <c r="Y1259" s="29"/>
      <c r="Z1259" s="29"/>
      <c r="AA1259" s="29"/>
      <c r="AB1259" s="29"/>
      <c r="AC1259" s="29"/>
      <c r="AD1259" s="207"/>
    </row>
    <row r="1260" spans="18:30" ht="29.25" customHeight="1" x14ac:dyDescent="0.25">
      <c r="R1260" s="29"/>
      <c r="S1260" s="29"/>
      <c r="T1260" s="29"/>
      <c r="U1260" s="29"/>
      <c r="V1260" s="29"/>
      <c r="W1260" s="29"/>
      <c r="X1260" s="29"/>
      <c r="Y1260" s="29"/>
      <c r="Z1260" s="29"/>
      <c r="AA1260" s="29"/>
      <c r="AB1260" s="29"/>
      <c r="AC1260" s="29"/>
      <c r="AD1260" s="207"/>
    </row>
    <row r="1261" spans="18:30" ht="29.25" customHeight="1" x14ac:dyDescent="0.25">
      <c r="R1261" s="29"/>
      <c r="S1261" s="29"/>
      <c r="T1261" s="29"/>
      <c r="U1261" s="29"/>
      <c r="V1261" s="29"/>
      <c r="W1261" s="29"/>
      <c r="X1261" s="29"/>
      <c r="Y1261" s="29"/>
      <c r="Z1261" s="29"/>
      <c r="AA1261" s="29"/>
      <c r="AB1261" s="29"/>
      <c r="AC1261" s="29"/>
      <c r="AD1261" s="207"/>
    </row>
    <row r="1262" spans="18:30" ht="29.25" customHeight="1" x14ac:dyDescent="0.25">
      <c r="R1262" s="29"/>
      <c r="S1262" s="29"/>
      <c r="T1262" s="29"/>
      <c r="U1262" s="29"/>
      <c r="V1262" s="29"/>
      <c r="W1262" s="29"/>
      <c r="X1262" s="29"/>
      <c r="Y1262" s="29"/>
      <c r="Z1262" s="29"/>
      <c r="AA1262" s="29"/>
      <c r="AB1262" s="29"/>
      <c r="AC1262" s="29"/>
      <c r="AD1262" s="207"/>
    </row>
    <row r="1263" spans="18:30" ht="29.25" customHeight="1" x14ac:dyDescent="0.25">
      <c r="R1263" s="29"/>
      <c r="S1263" s="29"/>
      <c r="T1263" s="29"/>
      <c r="U1263" s="29"/>
      <c r="V1263" s="29"/>
      <c r="W1263" s="29"/>
      <c r="X1263" s="29"/>
      <c r="Y1263" s="29"/>
      <c r="Z1263" s="29"/>
      <c r="AA1263" s="29"/>
      <c r="AB1263" s="29"/>
      <c r="AC1263" s="29"/>
      <c r="AD1263" s="207"/>
    </row>
    <row r="1264" spans="18:30" ht="29.25" customHeight="1" x14ac:dyDescent="0.25">
      <c r="R1264" s="29"/>
      <c r="S1264" s="29"/>
      <c r="T1264" s="29"/>
      <c r="U1264" s="29"/>
      <c r="V1264" s="29"/>
      <c r="W1264" s="29"/>
      <c r="X1264" s="29"/>
      <c r="Y1264" s="29"/>
      <c r="Z1264" s="29"/>
      <c r="AA1264" s="29"/>
      <c r="AB1264" s="29"/>
      <c r="AC1264" s="29"/>
      <c r="AD1264" s="207"/>
    </row>
    <row r="1265" spans="18:30" ht="29.25" customHeight="1" x14ac:dyDescent="0.25">
      <c r="R1265" s="29"/>
      <c r="S1265" s="29"/>
      <c r="T1265" s="29"/>
      <c r="U1265" s="29"/>
      <c r="V1265" s="29"/>
      <c r="W1265" s="29"/>
      <c r="X1265" s="29"/>
      <c r="Y1265" s="29"/>
      <c r="Z1265" s="29"/>
      <c r="AA1265" s="29"/>
      <c r="AB1265" s="29"/>
      <c r="AC1265" s="29"/>
      <c r="AD1265" s="207"/>
    </row>
    <row r="1266" spans="18:30" ht="29.25" customHeight="1" x14ac:dyDescent="0.25">
      <c r="R1266" s="29"/>
      <c r="S1266" s="29"/>
      <c r="T1266" s="29"/>
      <c r="U1266" s="29"/>
      <c r="V1266" s="29"/>
      <c r="W1266" s="29"/>
      <c r="X1266" s="29"/>
      <c r="Y1266" s="29"/>
      <c r="Z1266" s="29"/>
      <c r="AA1266" s="29"/>
      <c r="AB1266" s="29"/>
      <c r="AC1266" s="29"/>
      <c r="AD1266" s="207"/>
    </row>
    <row r="1267" spans="18:30" ht="29.25" customHeight="1" x14ac:dyDescent="0.25">
      <c r="R1267" s="29"/>
      <c r="S1267" s="29"/>
      <c r="T1267" s="29"/>
      <c r="U1267" s="29"/>
      <c r="V1267" s="29"/>
      <c r="W1267" s="29"/>
      <c r="X1267" s="29"/>
      <c r="Y1267" s="29"/>
      <c r="Z1267" s="29"/>
      <c r="AA1267" s="29"/>
      <c r="AB1267" s="29"/>
      <c r="AC1267" s="29"/>
      <c r="AD1267" s="207"/>
    </row>
    <row r="1268" spans="18:30" ht="29.25" customHeight="1" x14ac:dyDescent="0.25">
      <c r="R1268" s="29"/>
      <c r="S1268" s="29"/>
      <c r="T1268" s="29"/>
      <c r="U1268" s="29"/>
      <c r="V1268" s="29"/>
      <c r="W1268" s="29"/>
      <c r="X1268" s="29"/>
      <c r="Y1268" s="29"/>
      <c r="Z1268" s="29"/>
      <c r="AA1268" s="29"/>
      <c r="AB1268" s="29"/>
      <c r="AC1268" s="29"/>
      <c r="AD1268" s="207"/>
    </row>
    <row r="1269" spans="18:30" ht="29.25" customHeight="1" x14ac:dyDescent="0.25">
      <c r="R1269" s="29"/>
      <c r="S1269" s="29"/>
      <c r="T1269" s="29"/>
      <c r="U1269" s="29"/>
      <c r="V1269" s="29"/>
      <c r="W1269" s="29"/>
      <c r="X1269" s="29"/>
      <c r="Y1269" s="29"/>
      <c r="Z1269" s="29"/>
      <c r="AA1269" s="29"/>
      <c r="AB1269" s="29"/>
      <c r="AC1269" s="29"/>
      <c r="AD1269" s="207"/>
    </row>
    <row r="1270" spans="18:30" ht="29.25" customHeight="1" x14ac:dyDescent="0.25">
      <c r="R1270" s="29"/>
      <c r="S1270" s="29"/>
      <c r="T1270" s="29"/>
      <c r="U1270" s="29"/>
      <c r="V1270" s="29"/>
      <c r="W1270" s="29"/>
      <c r="X1270" s="29"/>
      <c r="Y1270" s="29"/>
      <c r="Z1270" s="29"/>
      <c r="AA1270" s="29"/>
      <c r="AB1270" s="29"/>
      <c r="AC1270" s="29"/>
      <c r="AD1270" s="207"/>
    </row>
    <row r="1271" spans="18:30" ht="29.25" customHeight="1" x14ac:dyDescent="0.25">
      <c r="R1271" s="29"/>
      <c r="S1271" s="29"/>
      <c r="T1271" s="29"/>
      <c r="U1271" s="29"/>
      <c r="V1271" s="29"/>
      <c r="W1271" s="29"/>
      <c r="X1271" s="29"/>
      <c r="Y1271" s="29"/>
      <c r="Z1271" s="29"/>
      <c r="AA1271" s="29"/>
      <c r="AB1271" s="29"/>
      <c r="AC1271" s="29"/>
      <c r="AD1271" s="207"/>
    </row>
    <row r="1272" spans="18:30" ht="29.25" customHeight="1" x14ac:dyDescent="0.25">
      <c r="R1272" s="29"/>
      <c r="S1272" s="29"/>
      <c r="T1272" s="29"/>
      <c r="U1272" s="29"/>
      <c r="V1272" s="29"/>
      <c r="W1272" s="29"/>
      <c r="X1272" s="29"/>
      <c r="Y1272" s="29"/>
      <c r="Z1272" s="29"/>
      <c r="AA1272" s="29"/>
      <c r="AB1272" s="29"/>
      <c r="AC1272" s="29"/>
      <c r="AD1272" s="207"/>
    </row>
    <row r="1273" spans="18:30" ht="29.25" customHeight="1" x14ac:dyDescent="0.25">
      <c r="R1273" s="29"/>
      <c r="S1273" s="29"/>
      <c r="T1273" s="29"/>
      <c r="U1273" s="29"/>
      <c r="V1273" s="29"/>
      <c r="W1273" s="29"/>
      <c r="X1273" s="29"/>
      <c r="Y1273" s="29"/>
      <c r="Z1273" s="29"/>
      <c r="AA1273" s="29"/>
      <c r="AB1273" s="29"/>
      <c r="AC1273" s="29"/>
      <c r="AD1273" s="207"/>
    </row>
    <row r="1274" spans="18:30" ht="29.25" customHeight="1" x14ac:dyDescent="0.25">
      <c r="R1274" s="29"/>
      <c r="S1274" s="29"/>
      <c r="T1274" s="29"/>
      <c r="U1274" s="29"/>
      <c r="V1274" s="29"/>
      <c r="W1274" s="29"/>
      <c r="X1274" s="29"/>
      <c r="Y1274" s="29"/>
      <c r="Z1274" s="29"/>
      <c r="AA1274" s="29"/>
      <c r="AB1274" s="29"/>
      <c r="AC1274" s="29"/>
      <c r="AD1274" s="207"/>
    </row>
    <row r="1275" spans="18:30" ht="29.25" customHeight="1" x14ac:dyDescent="0.25">
      <c r="R1275" s="29"/>
      <c r="S1275" s="29"/>
      <c r="T1275" s="29"/>
      <c r="U1275" s="29"/>
      <c r="V1275" s="29"/>
      <c r="W1275" s="29"/>
      <c r="X1275" s="29"/>
      <c r="Y1275" s="29"/>
      <c r="Z1275" s="29"/>
      <c r="AA1275" s="29"/>
      <c r="AB1275" s="29"/>
      <c r="AC1275" s="29"/>
      <c r="AD1275" s="207"/>
    </row>
    <row r="1276" spans="18:30" ht="29.25" customHeight="1" x14ac:dyDescent="0.25">
      <c r="R1276" s="29"/>
      <c r="S1276" s="29"/>
      <c r="T1276" s="29"/>
      <c r="U1276" s="29"/>
      <c r="V1276" s="29"/>
      <c r="W1276" s="29"/>
      <c r="X1276" s="29"/>
      <c r="Y1276" s="29"/>
      <c r="Z1276" s="29"/>
      <c r="AA1276" s="29"/>
      <c r="AB1276" s="29"/>
      <c r="AC1276" s="29"/>
      <c r="AD1276" s="207"/>
    </row>
    <row r="1277" spans="18:30" ht="29.25" customHeight="1" x14ac:dyDescent="0.25">
      <c r="R1277" s="29"/>
      <c r="S1277" s="29"/>
      <c r="T1277" s="29"/>
      <c r="U1277" s="29"/>
      <c r="V1277" s="29"/>
      <c r="W1277" s="29"/>
      <c r="X1277" s="29"/>
      <c r="Y1277" s="29"/>
      <c r="Z1277" s="29"/>
      <c r="AA1277" s="29"/>
      <c r="AB1277" s="29"/>
      <c r="AC1277" s="29"/>
      <c r="AD1277" s="207"/>
    </row>
    <row r="1278" spans="18:30" ht="29.25" customHeight="1" x14ac:dyDescent="0.25">
      <c r="R1278" s="29"/>
      <c r="S1278" s="29"/>
      <c r="T1278" s="29"/>
      <c r="U1278" s="29"/>
      <c r="V1278" s="29"/>
      <c r="W1278" s="29"/>
      <c r="X1278" s="29"/>
      <c r="Y1278" s="29"/>
      <c r="Z1278" s="29"/>
      <c r="AA1278" s="29"/>
      <c r="AB1278" s="29"/>
      <c r="AC1278" s="29"/>
      <c r="AD1278" s="207"/>
    </row>
    <row r="1279" spans="18:30" ht="29.25" customHeight="1" x14ac:dyDescent="0.25">
      <c r="R1279" s="29"/>
      <c r="S1279" s="29"/>
      <c r="T1279" s="29"/>
      <c r="U1279" s="29"/>
      <c r="V1279" s="29"/>
      <c r="W1279" s="29"/>
      <c r="X1279" s="29"/>
      <c r="Y1279" s="29"/>
      <c r="Z1279" s="29"/>
      <c r="AA1279" s="29"/>
      <c r="AB1279" s="29"/>
      <c r="AC1279" s="29"/>
      <c r="AD1279" s="207"/>
    </row>
    <row r="1280" spans="18:30" ht="29.25" customHeight="1" x14ac:dyDescent="0.25">
      <c r="R1280" s="29"/>
      <c r="S1280" s="29"/>
      <c r="T1280" s="29"/>
      <c r="U1280" s="29"/>
      <c r="V1280" s="29"/>
      <c r="W1280" s="29"/>
      <c r="X1280" s="29"/>
      <c r="Y1280" s="29"/>
      <c r="Z1280" s="29"/>
      <c r="AA1280" s="29"/>
      <c r="AB1280" s="29"/>
      <c r="AC1280" s="29"/>
      <c r="AD1280" s="207"/>
    </row>
    <row r="1281" spans="18:30" ht="29.25" customHeight="1" x14ac:dyDescent="0.25">
      <c r="R1281" s="29"/>
      <c r="S1281" s="29"/>
      <c r="T1281" s="29"/>
      <c r="U1281" s="29"/>
      <c r="V1281" s="29"/>
      <c r="W1281" s="29"/>
      <c r="X1281" s="29"/>
      <c r="Y1281" s="29"/>
      <c r="Z1281" s="29"/>
      <c r="AA1281" s="29"/>
      <c r="AB1281" s="29"/>
      <c r="AC1281" s="29"/>
      <c r="AD1281" s="207"/>
    </row>
    <row r="1282" spans="18:30" ht="29.25" customHeight="1" x14ac:dyDescent="0.25">
      <c r="R1282" s="29"/>
      <c r="S1282" s="29"/>
      <c r="T1282" s="29"/>
      <c r="U1282" s="29"/>
      <c r="V1282" s="29"/>
      <c r="W1282" s="29"/>
      <c r="X1282" s="29"/>
      <c r="Y1282" s="29"/>
      <c r="Z1282" s="29"/>
      <c r="AA1282" s="29"/>
      <c r="AB1282" s="29"/>
      <c r="AC1282" s="29"/>
      <c r="AD1282" s="207"/>
    </row>
    <row r="1283" spans="18:30" ht="29.25" customHeight="1" x14ac:dyDescent="0.25">
      <c r="R1283" s="29"/>
      <c r="S1283" s="29"/>
      <c r="T1283" s="29"/>
      <c r="U1283" s="29"/>
      <c r="V1283" s="29"/>
      <c r="W1283" s="29"/>
      <c r="X1283" s="29"/>
      <c r="Y1283" s="29"/>
      <c r="Z1283" s="29"/>
      <c r="AA1283" s="29"/>
      <c r="AB1283" s="29"/>
      <c r="AC1283" s="29"/>
      <c r="AD1283" s="207"/>
    </row>
    <row r="1284" spans="18:30" ht="29.25" customHeight="1" x14ac:dyDescent="0.25">
      <c r="R1284" s="29"/>
      <c r="S1284" s="29"/>
      <c r="T1284" s="29"/>
      <c r="U1284" s="29"/>
      <c r="V1284" s="29"/>
      <c r="W1284" s="29"/>
      <c r="X1284" s="29"/>
      <c r="Y1284" s="29"/>
      <c r="Z1284" s="29"/>
      <c r="AA1284" s="29"/>
      <c r="AB1284" s="29"/>
      <c r="AC1284" s="29"/>
      <c r="AD1284" s="207"/>
    </row>
    <row r="1285" spans="18:30" ht="29.25" customHeight="1" x14ac:dyDescent="0.25">
      <c r="R1285" s="29"/>
      <c r="S1285" s="29"/>
      <c r="T1285" s="29"/>
      <c r="U1285" s="29"/>
      <c r="V1285" s="29"/>
      <c r="W1285" s="29"/>
      <c r="X1285" s="29"/>
      <c r="Y1285" s="29"/>
      <c r="Z1285" s="29"/>
      <c r="AA1285" s="29"/>
      <c r="AB1285" s="29"/>
      <c r="AC1285" s="29"/>
      <c r="AD1285" s="207"/>
    </row>
    <row r="1286" spans="18:30" ht="29.25" customHeight="1" x14ac:dyDescent="0.25">
      <c r="R1286" s="29"/>
      <c r="S1286" s="29"/>
      <c r="T1286" s="29"/>
      <c r="U1286" s="29"/>
      <c r="V1286" s="29"/>
      <c r="W1286" s="29"/>
      <c r="X1286" s="29"/>
      <c r="Y1286" s="29"/>
      <c r="Z1286" s="29"/>
      <c r="AA1286" s="29"/>
      <c r="AB1286" s="29"/>
      <c r="AC1286" s="29"/>
      <c r="AD1286" s="207"/>
    </row>
    <row r="1287" spans="18:30" ht="29.25" customHeight="1" x14ac:dyDescent="0.25">
      <c r="R1287" s="29"/>
      <c r="S1287" s="29"/>
      <c r="T1287" s="29"/>
      <c r="U1287" s="29"/>
      <c r="V1287" s="29"/>
      <c r="W1287" s="29"/>
      <c r="X1287" s="29"/>
      <c r="Y1287" s="29"/>
      <c r="Z1287" s="29"/>
      <c r="AA1287" s="29"/>
      <c r="AB1287" s="29"/>
      <c r="AC1287" s="29"/>
      <c r="AD1287" s="207"/>
    </row>
    <row r="1288" spans="18:30" ht="29.25" customHeight="1" x14ac:dyDescent="0.25">
      <c r="R1288" s="29"/>
      <c r="S1288" s="29"/>
      <c r="T1288" s="29"/>
      <c r="U1288" s="29"/>
      <c r="V1288" s="29"/>
      <c r="W1288" s="29"/>
      <c r="X1288" s="29"/>
      <c r="Y1288" s="29"/>
      <c r="Z1288" s="29"/>
      <c r="AA1288" s="29"/>
      <c r="AB1288" s="29"/>
      <c r="AC1288" s="29"/>
      <c r="AD1288" s="207"/>
    </row>
    <row r="1289" spans="18:30" ht="29.25" customHeight="1" x14ac:dyDescent="0.25">
      <c r="R1289" s="29"/>
      <c r="S1289" s="29"/>
      <c r="T1289" s="29"/>
      <c r="U1289" s="29"/>
      <c r="V1289" s="29"/>
      <c r="W1289" s="29"/>
      <c r="X1289" s="29"/>
      <c r="Y1289" s="29"/>
      <c r="Z1289" s="29"/>
      <c r="AA1289" s="29"/>
      <c r="AB1289" s="29"/>
      <c r="AC1289" s="29"/>
      <c r="AD1289" s="207"/>
    </row>
    <row r="1290" spans="18:30" ht="29.25" customHeight="1" x14ac:dyDescent="0.25">
      <c r="R1290" s="29"/>
      <c r="S1290" s="29"/>
      <c r="T1290" s="29"/>
      <c r="U1290" s="29"/>
      <c r="V1290" s="29"/>
      <c r="W1290" s="29"/>
      <c r="X1290" s="29"/>
      <c r="Y1290" s="29"/>
      <c r="Z1290" s="29"/>
      <c r="AA1290" s="29"/>
      <c r="AB1290" s="29"/>
      <c r="AC1290" s="29"/>
      <c r="AD1290" s="207"/>
    </row>
    <row r="1291" spans="18:30" ht="29.25" customHeight="1" x14ac:dyDescent="0.25">
      <c r="R1291" s="29"/>
      <c r="S1291" s="29"/>
      <c r="T1291" s="29"/>
      <c r="U1291" s="29"/>
      <c r="V1291" s="29"/>
      <c r="W1291" s="29"/>
      <c r="X1291" s="29"/>
      <c r="Y1291" s="29"/>
      <c r="Z1291" s="29"/>
      <c r="AA1291" s="29"/>
      <c r="AB1291" s="29"/>
      <c r="AC1291" s="29"/>
      <c r="AD1291" s="207"/>
    </row>
    <row r="1292" spans="18:30" ht="29.25" customHeight="1" x14ac:dyDescent="0.25">
      <c r="R1292" s="29"/>
      <c r="S1292" s="29"/>
      <c r="T1292" s="29"/>
      <c r="U1292" s="29"/>
      <c r="V1292" s="29"/>
      <c r="W1292" s="29"/>
      <c r="X1292" s="29"/>
      <c r="Y1292" s="29"/>
      <c r="Z1292" s="29"/>
      <c r="AA1292" s="29"/>
      <c r="AB1292" s="29"/>
      <c r="AC1292" s="29"/>
      <c r="AD1292" s="207"/>
    </row>
    <row r="1293" spans="18:30" ht="29.25" customHeight="1" x14ac:dyDescent="0.25">
      <c r="R1293" s="29"/>
      <c r="S1293" s="29"/>
      <c r="T1293" s="29"/>
      <c r="U1293" s="29"/>
      <c r="V1293" s="29"/>
      <c r="W1293" s="29"/>
      <c r="X1293" s="29"/>
      <c r="Y1293" s="29"/>
      <c r="Z1293" s="29"/>
      <c r="AA1293" s="29"/>
      <c r="AB1293" s="29"/>
      <c r="AC1293" s="29"/>
      <c r="AD1293" s="207"/>
    </row>
    <row r="1294" spans="18:30" ht="29.25" customHeight="1" x14ac:dyDescent="0.25">
      <c r="R1294" s="29"/>
      <c r="S1294" s="29"/>
      <c r="T1294" s="29"/>
      <c r="U1294" s="29"/>
      <c r="V1294" s="29"/>
      <c r="W1294" s="29"/>
      <c r="X1294" s="29"/>
      <c r="Y1294" s="29"/>
      <c r="Z1294" s="29"/>
      <c r="AA1294" s="29"/>
      <c r="AB1294" s="29"/>
      <c r="AC1294" s="29"/>
      <c r="AD1294" s="207"/>
    </row>
    <row r="1295" spans="18:30" ht="29.25" customHeight="1" x14ac:dyDescent="0.25">
      <c r="R1295" s="29"/>
      <c r="S1295" s="29"/>
      <c r="T1295" s="29"/>
      <c r="U1295" s="29"/>
      <c r="V1295" s="29"/>
      <c r="W1295" s="29"/>
      <c r="X1295" s="29"/>
      <c r="Y1295" s="29"/>
      <c r="Z1295" s="29"/>
      <c r="AA1295" s="29"/>
      <c r="AB1295" s="29"/>
      <c r="AC1295" s="29"/>
      <c r="AD1295" s="207"/>
    </row>
    <row r="1296" spans="18:30" ht="29.25" customHeight="1" x14ac:dyDescent="0.25">
      <c r="R1296" s="29"/>
      <c r="S1296" s="29"/>
      <c r="T1296" s="29"/>
      <c r="U1296" s="29"/>
      <c r="V1296" s="29"/>
      <c r="W1296" s="29"/>
      <c r="X1296" s="29"/>
      <c r="Y1296" s="29"/>
      <c r="Z1296" s="29"/>
      <c r="AA1296" s="29"/>
      <c r="AB1296" s="29"/>
      <c r="AC1296" s="29"/>
      <c r="AD1296" s="207"/>
    </row>
    <row r="1297" spans="18:30" ht="29.25" customHeight="1" x14ac:dyDescent="0.25">
      <c r="R1297" s="29"/>
      <c r="S1297" s="29"/>
      <c r="T1297" s="29"/>
      <c r="U1297" s="29"/>
      <c r="V1297" s="29"/>
      <c r="W1297" s="29"/>
      <c r="X1297" s="29"/>
      <c r="Y1297" s="29"/>
      <c r="Z1297" s="29"/>
      <c r="AA1297" s="29"/>
      <c r="AB1297" s="29"/>
      <c r="AC1297" s="29"/>
      <c r="AD1297" s="207"/>
    </row>
    <row r="1298" spans="18:30" ht="29.25" customHeight="1" x14ac:dyDescent="0.25">
      <c r="R1298" s="29"/>
      <c r="S1298" s="29"/>
      <c r="T1298" s="29"/>
      <c r="U1298" s="29"/>
      <c r="V1298" s="29"/>
      <c r="W1298" s="29"/>
      <c r="X1298" s="29"/>
      <c r="Y1298" s="29"/>
      <c r="Z1298" s="29"/>
      <c r="AA1298" s="29"/>
      <c r="AB1298" s="29"/>
      <c r="AC1298" s="29"/>
      <c r="AD1298" s="207"/>
    </row>
    <row r="1299" spans="18:30" ht="29.25" customHeight="1" x14ac:dyDescent="0.25">
      <c r="R1299" s="29"/>
      <c r="S1299" s="29"/>
      <c r="T1299" s="29"/>
      <c r="U1299" s="29"/>
      <c r="V1299" s="29"/>
      <c r="W1299" s="29"/>
      <c r="X1299" s="29"/>
      <c r="Y1299" s="29"/>
      <c r="Z1299" s="29"/>
      <c r="AA1299" s="29"/>
      <c r="AB1299" s="29"/>
      <c r="AC1299" s="29"/>
      <c r="AD1299" s="207"/>
    </row>
    <row r="1300" spans="18:30" ht="29.25" customHeight="1" x14ac:dyDescent="0.25">
      <c r="R1300" s="29"/>
      <c r="S1300" s="29"/>
      <c r="T1300" s="29"/>
      <c r="U1300" s="29"/>
      <c r="V1300" s="29"/>
      <c r="W1300" s="29"/>
      <c r="X1300" s="29"/>
      <c r="Y1300" s="29"/>
      <c r="Z1300" s="29"/>
      <c r="AA1300" s="29"/>
      <c r="AB1300" s="29"/>
      <c r="AC1300" s="29"/>
      <c r="AD1300" s="207"/>
    </row>
    <row r="1301" spans="18:30" ht="29.25" customHeight="1" x14ac:dyDescent="0.25">
      <c r="R1301" s="29"/>
      <c r="S1301" s="29"/>
      <c r="T1301" s="29"/>
      <c r="U1301" s="29"/>
      <c r="V1301" s="29"/>
      <c r="W1301" s="29"/>
      <c r="X1301" s="29"/>
      <c r="Y1301" s="29"/>
      <c r="Z1301" s="29"/>
      <c r="AA1301" s="29"/>
      <c r="AB1301" s="29"/>
      <c r="AC1301" s="29"/>
      <c r="AD1301" s="207"/>
    </row>
    <row r="1302" spans="18:30" ht="29.25" customHeight="1" x14ac:dyDescent="0.25">
      <c r="R1302" s="29"/>
      <c r="S1302" s="29"/>
      <c r="T1302" s="29"/>
      <c r="U1302" s="29"/>
      <c r="V1302" s="29"/>
      <c r="W1302" s="29"/>
      <c r="X1302" s="29"/>
      <c r="Y1302" s="29"/>
      <c r="Z1302" s="29"/>
      <c r="AA1302" s="29"/>
      <c r="AB1302" s="29"/>
      <c r="AC1302" s="29"/>
      <c r="AD1302" s="207"/>
    </row>
    <row r="1303" spans="18:30" ht="29.25" customHeight="1" x14ac:dyDescent="0.25">
      <c r="R1303" s="29"/>
      <c r="S1303" s="29"/>
      <c r="T1303" s="29"/>
      <c r="U1303" s="29"/>
      <c r="V1303" s="29"/>
      <c r="W1303" s="29"/>
      <c r="X1303" s="29"/>
      <c r="Y1303" s="29"/>
      <c r="Z1303" s="29"/>
      <c r="AA1303" s="29"/>
      <c r="AB1303" s="29"/>
      <c r="AC1303" s="29"/>
      <c r="AD1303" s="207"/>
    </row>
    <row r="1304" spans="18:30" ht="29.25" customHeight="1" x14ac:dyDescent="0.25">
      <c r="R1304" s="29"/>
      <c r="S1304" s="29"/>
      <c r="T1304" s="29"/>
      <c r="U1304" s="29"/>
      <c r="V1304" s="29"/>
      <c r="W1304" s="29"/>
      <c r="X1304" s="29"/>
      <c r="Y1304" s="29"/>
      <c r="Z1304" s="29"/>
      <c r="AA1304" s="29"/>
      <c r="AB1304" s="29"/>
      <c r="AC1304" s="29"/>
      <c r="AD1304" s="207"/>
    </row>
    <row r="1305" spans="18:30" ht="29.25" customHeight="1" x14ac:dyDescent="0.25">
      <c r="R1305" s="29"/>
      <c r="S1305" s="29"/>
      <c r="T1305" s="29"/>
      <c r="U1305" s="29"/>
      <c r="V1305" s="29"/>
      <c r="W1305" s="29"/>
      <c r="X1305" s="29"/>
      <c r="Y1305" s="29"/>
      <c r="Z1305" s="29"/>
      <c r="AA1305" s="29"/>
      <c r="AB1305" s="29"/>
      <c r="AC1305" s="29"/>
      <c r="AD1305" s="207"/>
    </row>
    <row r="1306" spans="18:30" ht="29.25" customHeight="1" x14ac:dyDescent="0.25">
      <c r="R1306" s="29"/>
      <c r="S1306" s="29"/>
      <c r="T1306" s="29"/>
      <c r="U1306" s="29"/>
      <c r="V1306" s="29"/>
      <c r="W1306" s="29"/>
      <c r="X1306" s="29"/>
      <c r="Y1306" s="29"/>
      <c r="Z1306" s="29"/>
      <c r="AA1306" s="29"/>
      <c r="AB1306" s="29"/>
      <c r="AC1306" s="29"/>
      <c r="AD1306" s="207"/>
    </row>
    <row r="1307" spans="18:30" ht="29.25" customHeight="1" x14ac:dyDescent="0.25">
      <c r="R1307" s="29"/>
      <c r="S1307" s="29"/>
      <c r="T1307" s="29"/>
      <c r="U1307" s="29"/>
      <c r="V1307" s="29"/>
      <c r="W1307" s="29"/>
      <c r="X1307" s="29"/>
      <c r="Y1307" s="29"/>
      <c r="Z1307" s="29"/>
      <c r="AA1307" s="29"/>
      <c r="AB1307" s="29"/>
      <c r="AC1307" s="29"/>
      <c r="AD1307" s="207"/>
    </row>
    <row r="1308" spans="18:30" ht="29.25" customHeight="1" x14ac:dyDescent="0.25">
      <c r="R1308" s="29"/>
      <c r="S1308" s="29"/>
      <c r="T1308" s="29"/>
      <c r="U1308" s="29"/>
      <c r="V1308" s="29"/>
      <c r="W1308" s="29"/>
      <c r="X1308" s="29"/>
      <c r="Y1308" s="29"/>
      <c r="Z1308" s="29"/>
      <c r="AA1308" s="29"/>
      <c r="AB1308" s="29"/>
      <c r="AC1308" s="29"/>
      <c r="AD1308" s="207"/>
    </row>
    <row r="1309" spans="18:30" ht="29.25" customHeight="1" x14ac:dyDescent="0.25">
      <c r="R1309" s="29"/>
      <c r="S1309" s="29"/>
      <c r="T1309" s="29"/>
      <c r="U1309" s="29"/>
      <c r="V1309" s="29"/>
      <c r="W1309" s="29"/>
      <c r="X1309" s="29"/>
      <c r="Y1309" s="29"/>
      <c r="Z1309" s="29"/>
      <c r="AA1309" s="29"/>
      <c r="AB1309" s="29"/>
      <c r="AC1309" s="29"/>
      <c r="AD1309" s="207"/>
    </row>
    <row r="1310" spans="18:30" ht="29.25" customHeight="1" x14ac:dyDescent="0.25">
      <c r="R1310" s="29"/>
      <c r="S1310" s="29"/>
      <c r="T1310" s="29"/>
      <c r="U1310" s="29"/>
      <c r="V1310" s="29"/>
      <c r="W1310" s="29"/>
      <c r="X1310" s="29"/>
      <c r="Y1310" s="29"/>
      <c r="Z1310" s="29"/>
      <c r="AA1310" s="29"/>
      <c r="AB1310" s="29"/>
      <c r="AC1310" s="29"/>
      <c r="AD1310" s="207"/>
    </row>
    <row r="1311" spans="18:30" ht="29.25" customHeight="1" x14ac:dyDescent="0.25">
      <c r="R1311" s="29"/>
      <c r="S1311" s="29"/>
      <c r="T1311" s="29"/>
      <c r="U1311" s="29"/>
      <c r="V1311" s="29"/>
      <c r="W1311" s="29"/>
      <c r="X1311" s="29"/>
      <c r="Y1311" s="29"/>
      <c r="Z1311" s="29"/>
      <c r="AA1311" s="29"/>
      <c r="AB1311" s="29"/>
      <c r="AC1311" s="29"/>
      <c r="AD1311" s="207"/>
    </row>
    <row r="1312" spans="18:30" ht="29.25" customHeight="1" x14ac:dyDescent="0.25">
      <c r="R1312" s="29"/>
      <c r="S1312" s="29"/>
      <c r="T1312" s="29"/>
      <c r="U1312" s="29"/>
      <c r="V1312" s="29"/>
      <c r="W1312" s="29"/>
      <c r="X1312" s="29"/>
      <c r="Y1312" s="29"/>
      <c r="Z1312" s="29"/>
      <c r="AA1312" s="29"/>
      <c r="AB1312" s="29"/>
      <c r="AC1312" s="29"/>
      <c r="AD1312" s="207"/>
    </row>
    <row r="1313" spans="18:30" ht="29.25" customHeight="1" x14ac:dyDescent="0.25">
      <c r="R1313" s="29"/>
      <c r="S1313" s="29"/>
      <c r="T1313" s="29"/>
      <c r="U1313" s="29"/>
      <c r="V1313" s="29"/>
      <c r="W1313" s="29"/>
      <c r="X1313" s="29"/>
      <c r="Y1313" s="29"/>
      <c r="Z1313" s="29"/>
      <c r="AA1313" s="29"/>
      <c r="AB1313" s="29"/>
      <c r="AC1313" s="29"/>
      <c r="AD1313" s="207"/>
    </row>
    <row r="1314" spans="18:30" ht="29.25" customHeight="1" x14ac:dyDescent="0.25">
      <c r="R1314" s="29"/>
      <c r="S1314" s="29"/>
      <c r="T1314" s="29"/>
      <c r="U1314" s="29"/>
      <c r="V1314" s="29"/>
      <c r="W1314" s="29"/>
      <c r="X1314" s="29"/>
      <c r="Y1314" s="29"/>
      <c r="Z1314" s="29"/>
      <c r="AA1314" s="29"/>
      <c r="AB1314" s="29"/>
      <c r="AC1314" s="29"/>
      <c r="AD1314" s="207"/>
    </row>
    <row r="1315" spans="18:30" ht="29.25" customHeight="1" x14ac:dyDescent="0.25">
      <c r="R1315" s="29"/>
      <c r="S1315" s="29"/>
      <c r="T1315" s="29"/>
      <c r="U1315" s="29"/>
      <c r="V1315" s="29"/>
      <c r="W1315" s="29"/>
      <c r="X1315" s="29"/>
      <c r="Y1315" s="29"/>
      <c r="Z1315" s="29"/>
      <c r="AA1315" s="29"/>
      <c r="AB1315" s="29"/>
      <c r="AC1315" s="29"/>
      <c r="AD1315" s="207"/>
    </row>
    <row r="1316" spans="18:30" ht="29.25" customHeight="1" x14ac:dyDescent="0.25">
      <c r="R1316" s="29"/>
      <c r="S1316" s="29"/>
      <c r="T1316" s="29"/>
      <c r="U1316" s="29"/>
      <c r="V1316" s="29"/>
      <c r="W1316" s="29"/>
      <c r="X1316" s="29"/>
      <c r="Y1316" s="29"/>
      <c r="Z1316" s="29"/>
      <c r="AA1316" s="29"/>
      <c r="AB1316" s="29"/>
      <c r="AC1316" s="29"/>
      <c r="AD1316" s="207"/>
    </row>
    <row r="1317" spans="18:30" ht="29.25" customHeight="1" x14ac:dyDescent="0.25">
      <c r="R1317" s="29"/>
      <c r="S1317" s="29"/>
      <c r="T1317" s="29"/>
      <c r="U1317" s="29"/>
      <c r="V1317" s="29"/>
      <c r="W1317" s="29"/>
      <c r="X1317" s="29"/>
      <c r="Y1317" s="29"/>
      <c r="Z1317" s="29"/>
      <c r="AA1317" s="29"/>
      <c r="AB1317" s="29"/>
      <c r="AC1317" s="29"/>
      <c r="AD1317" s="207"/>
    </row>
    <row r="1318" spans="18:30" ht="29.25" customHeight="1" x14ac:dyDescent="0.25">
      <c r="R1318" s="29"/>
      <c r="S1318" s="29"/>
      <c r="T1318" s="29"/>
      <c r="U1318" s="29"/>
      <c r="V1318" s="29"/>
      <c r="W1318" s="29"/>
      <c r="X1318" s="29"/>
      <c r="Y1318" s="29"/>
      <c r="Z1318" s="29"/>
      <c r="AA1318" s="29"/>
      <c r="AB1318" s="29"/>
      <c r="AC1318" s="29"/>
      <c r="AD1318" s="207"/>
    </row>
    <row r="1319" spans="18:30" ht="29.25" customHeight="1" x14ac:dyDescent="0.25">
      <c r="R1319" s="29"/>
      <c r="S1319" s="29"/>
      <c r="T1319" s="29"/>
      <c r="U1319" s="29"/>
      <c r="V1319" s="29"/>
      <c r="W1319" s="29"/>
      <c r="X1319" s="29"/>
      <c r="Y1319" s="29"/>
      <c r="Z1319" s="29"/>
      <c r="AA1319" s="29"/>
      <c r="AB1319" s="29"/>
      <c r="AC1319" s="29"/>
      <c r="AD1319" s="207"/>
    </row>
    <row r="1320" spans="18:30" ht="29.25" customHeight="1" x14ac:dyDescent="0.25">
      <c r="R1320" s="29"/>
      <c r="S1320" s="29"/>
      <c r="T1320" s="29"/>
      <c r="U1320" s="29"/>
      <c r="V1320" s="29"/>
      <c r="W1320" s="29"/>
      <c r="X1320" s="29"/>
      <c r="Y1320" s="29"/>
      <c r="Z1320" s="29"/>
      <c r="AA1320" s="29"/>
      <c r="AB1320" s="29"/>
      <c r="AC1320" s="29"/>
      <c r="AD1320" s="207"/>
    </row>
    <row r="1321" spans="18:30" ht="29.25" customHeight="1" x14ac:dyDescent="0.25">
      <c r="R1321" s="29"/>
      <c r="S1321" s="29"/>
      <c r="T1321" s="29"/>
      <c r="U1321" s="29"/>
      <c r="V1321" s="29"/>
      <c r="W1321" s="29"/>
      <c r="X1321" s="29"/>
      <c r="Y1321" s="29"/>
      <c r="Z1321" s="29"/>
      <c r="AA1321" s="29"/>
      <c r="AB1321" s="29"/>
      <c r="AC1321" s="29"/>
      <c r="AD1321" s="207"/>
    </row>
    <row r="1322" spans="18:30" ht="29.25" customHeight="1" x14ac:dyDescent="0.25">
      <c r="R1322" s="29"/>
      <c r="S1322" s="29"/>
      <c r="T1322" s="29"/>
      <c r="U1322" s="29"/>
      <c r="V1322" s="29"/>
      <c r="W1322" s="29"/>
      <c r="X1322" s="29"/>
      <c r="Y1322" s="29"/>
      <c r="Z1322" s="29"/>
      <c r="AA1322" s="29"/>
      <c r="AB1322" s="29"/>
      <c r="AC1322" s="29"/>
      <c r="AD1322" s="207"/>
    </row>
    <row r="1323" spans="18:30" ht="29.25" customHeight="1" x14ac:dyDescent="0.25">
      <c r="R1323" s="29"/>
      <c r="S1323" s="29"/>
      <c r="T1323" s="29"/>
      <c r="U1323" s="29"/>
      <c r="V1323" s="29"/>
      <c r="W1323" s="29"/>
      <c r="X1323" s="29"/>
      <c r="Y1323" s="29"/>
      <c r="Z1323" s="29"/>
      <c r="AA1323" s="29"/>
      <c r="AB1323" s="29"/>
      <c r="AC1323" s="29"/>
      <c r="AD1323" s="207"/>
    </row>
    <row r="1324" spans="18:30" ht="29.25" customHeight="1" x14ac:dyDescent="0.25">
      <c r="R1324" s="29"/>
      <c r="S1324" s="29"/>
      <c r="T1324" s="29"/>
      <c r="U1324" s="29"/>
      <c r="V1324" s="29"/>
      <c r="W1324" s="29"/>
      <c r="X1324" s="29"/>
      <c r="Y1324" s="29"/>
      <c r="Z1324" s="29"/>
      <c r="AA1324" s="29"/>
      <c r="AB1324" s="29"/>
      <c r="AC1324" s="29"/>
      <c r="AD1324" s="207"/>
    </row>
    <row r="1325" spans="18:30" ht="29.25" customHeight="1" x14ac:dyDescent="0.25">
      <c r="R1325" s="29"/>
      <c r="S1325" s="29"/>
      <c r="T1325" s="29"/>
      <c r="U1325" s="29"/>
      <c r="V1325" s="29"/>
      <c r="W1325" s="29"/>
      <c r="X1325" s="29"/>
      <c r="Y1325" s="29"/>
      <c r="Z1325" s="29"/>
      <c r="AA1325" s="29"/>
      <c r="AB1325" s="29"/>
      <c r="AC1325" s="29"/>
      <c r="AD1325" s="207"/>
    </row>
    <row r="1326" spans="18:30" ht="29.25" customHeight="1" x14ac:dyDescent="0.25">
      <c r="R1326" s="29"/>
      <c r="S1326" s="29"/>
      <c r="T1326" s="29"/>
      <c r="U1326" s="29"/>
      <c r="V1326" s="29"/>
      <c r="W1326" s="29"/>
      <c r="X1326" s="29"/>
      <c r="Y1326" s="29"/>
      <c r="Z1326" s="29"/>
      <c r="AA1326" s="29"/>
      <c r="AB1326" s="29"/>
      <c r="AC1326" s="29"/>
      <c r="AD1326" s="207"/>
    </row>
    <row r="1327" spans="18:30" ht="29.25" customHeight="1" x14ac:dyDescent="0.25">
      <c r="R1327" s="29"/>
      <c r="S1327" s="29"/>
      <c r="T1327" s="29"/>
      <c r="U1327" s="29"/>
      <c r="V1327" s="29"/>
      <c r="W1327" s="29"/>
      <c r="X1327" s="29"/>
      <c r="Y1327" s="29"/>
      <c r="Z1327" s="29"/>
      <c r="AA1327" s="29"/>
      <c r="AB1327" s="29"/>
      <c r="AC1327" s="29"/>
      <c r="AD1327" s="207"/>
    </row>
    <row r="1328" spans="18:30" ht="29.25" customHeight="1" x14ac:dyDescent="0.25">
      <c r="R1328" s="29"/>
      <c r="S1328" s="29"/>
      <c r="T1328" s="29"/>
      <c r="U1328" s="29"/>
      <c r="V1328" s="29"/>
      <c r="W1328" s="29"/>
      <c r="X1328" s="29"/>
      <c r="Y1328" s="29"/>
      <c r="Z1328" s="29"/>
      <c r="AA1328" s="29"/>
      <c r="AB1328" s="29"/>
      <c r="AC1328" s="29"/>
      <c r="AD1328" s="207"/>
    </row>
    <row r="1329" spans="18:30" ht="29.25" customHeight="1" x14ac:dyDescent="0.25">
      <c r="R1329" s="29"/>
      <c r="S1329" s="29"/>
      <c r="T1329" s="29"/>
      <c r="U1329" s="29"/>
      <c r="V1329" s="29"/>
      <c r="W1329" s="29"/>
      <c r="X1329" s="29"/>
      <c r="Y1329" s="29"/>
      <c r="Z1329" s="29"/>
      <c r="AA1329" s="29"/>
      <c r="AB1329" s="29"/>
      <c r="AC1329" s="29"/>
      <c r="AD1329" s="207"/>
    </row>
    <row r="1330" spans="18:30" ht="29.25" customHeight="1" x14ac:dyDescent="0.25">
      <c r="R1330" s="29"/>
      <c r="S1330" s="29"/>
      <c r="T1330" s="29"/>
      <c r="U1330" s="29"/>
      <c r="V1330" s="29"/>
      <c r="W1330" s="29"/>
      <c r="X1330" s="29"/>
      <c r="Y1330" s="29"/>
      <c r="Z1330" s="29"/>
      <c r="AA1330" s="29"/>
      <c r="AB1330" s="29"/>
      <c r="AC1330" s="29"/>
      <c r="AD1330" s="207"/>
    </row>
    <row r="1331" spans="18:30" ht="29.25" customHeight="1" x14ac:dyDescent="0.25">
      <c r="R1331" s="29"/>
      <c r="S1331" s="29"/>
      <c r="T1331" s="29"/>
      <c r="U1331" s="29"/>
      <c r="V1331" s="29"/>
      <c r="W1331" s="29"/>
      <c r="X1331" s="29"/>
      <c r="Y1331" s="29"/>
      <c r="Z1331" s="29"/>
      <c r="AA1331" s="29"/>
      <c r="AB1331" s="29"/>
      <c r="AC1331" s="29"/>
      <c r="AD1331" s="207"/>
    </row>
    <row r="1332" spans="18:30" ht="29.25" customHeight="1" x14ac:dyDescent="0.25">
      <c r="R1332" s="29"/>
      <c r="S1332" s="29"/>
      <c r="T1332" s="29"/>
      <c r="U1332" s="29"/>
      <c r="V1332" s="29"/>
      <c r="W1332" s="29"/>
      <c r="X1332" s="29"/>
      <c r="Y1332" s="29"/>
      <c r="Z1332" s="29"/>
      <c r="AA1332" s="29"/>
      <c r="AB1332" s="29"/>
      <c r="AC1332" s="29"/>
      <c r="AD1332" s="207"/>
    </row>
    <row r="1333" spans="18:30" ht="29.25" customHeight="1" x14ac:dyDescent="0.25">
      <c r="R1333" s="29"/>
      <c r="S1333" s="29"/>
      <c r="T1333" s="29"/>
      <c r="U1333" s="29"/>
      <c r="V1333" s="29"/>
      <c r="W1333" s="29"/>
      <c r="X1333" s="29"/>
      <c r="Y1333" s="29"/>
      <c r="Z1333" s="29"/>
      <c r="AA1333" s="29"/>
      <c r="AB1333" s="29"/>
      <c r="AC1333" s="29"/>
      <c r="AD1333" s="207"/>
    </row>
    <row r="1334" spans="18:30" ht="29.25" customHeight="1" x14ac:dyDescent="0.25">
      <c r="R1334" s="29"/>
      <c r="S1334" s="29"/>
      <c r="T1334" s="29"/>
      <c r="U1334" s="29"/>
      <c r="V1334" s="29"/>
      <c r="W1334" s="29"/>
      <c r="X1334" s="29"/>
      <c r="Y1334" s="29"/>
      <c r="Z1334" s="29"/>
      <c r="AA1334" s="29"/>
      <c r="AB1334" s="29"/>
      <c r="AC1334" s="29"/>
      <c r="AD1334" s="207"/>
    </row>
    <row r="1335" spans="18:30" ht="29.25" customHeight="1" x14ac:dyDescent="0.25">
      <c r="R1335" s="29"/>
      <c r="S1335" s="29"/>
      <c r="T1335" s="29"/>
      <c r="U1335" s="29"/>
      <c r="V1335" s="29"/>
      <c r="W1335" s="29"/>
      <c r="X1335" s="29"/>
      <c r="Y1335" s="29"/>
      <c r="Z1335" s="29"/>
      <c r="AA1335" s="29"/>
      <c r="AB1335" s="29"/>
      <c r="AC1335" s="29"/>
      <c r="AD1335" s="207"/>
    </row>
    <row r="1336" spans="18:30" ht="29.25" customHeight="1" x14ac:dyDescent="0.25">
      <c r="R1336" s="29"/>
      <c r="S1336" s="29"/>
      <c r="T1336" s="29"/>
      <c r="U1336" s="29"/>
      <c r="V1336" s="29"/>
      <c r="W1336" s="29"/>
      <c r="X1336" s="29"/>
      <c r="Y1336" s="29"/>
      <c r="Z1336" s="29"/>
      <c r="AA1336" s="29"/>
      <c r="AB1336" s="29"/>
      <c r="AC1336" s="29"/>
      <c r="AD1336" s="207"/>
    </row>
    <row r="1337" spans="18:30" ht="29.25" customHeight="1" x14ac:dyDescent="0.25">
      <c r="R1337" s="29"/>
      <c r="S1337" s="29"/>
      <c r="T1337" s="29"/>
      <c r="U1337" s="29"/>
      <c r="V1337" s="29"/>
      <c r="W1337" s="29"/>
      <c r="X1337" s="29"/>
      <c r="Y1337" s="29"/>
      <c r="Z1337" s="29"/>
      <c r="AA1337" s="29"/>
      <c r="AB1337" s="29"/>
      <c r="AC1337" s="29"/>
      <c r="AD1337" s="207"/>
    </row>
    <row r="1338" spans="18:30" ht="29.25" customHeight="1" x14ac:dyDescent="0.25">
      <c r="R1338" s="29"/>
      <c r="S1338" s="29"/>
      <c r="T1338" s="29"/>
      <c r="U1338" s="29"/>
      <c r="V1338" s="29"/>
      <c r="W1338" s="29"/>
      <c r="X1338" s="29"/>
      <c r="Y1338" s="29"/>
      <c r="Z1338" s="29"/>
      <c r="AA1338" s="29"/>
      <c r="AB1338" s="29"/>
      <c r="AC1338" s="29"/>
      <c r="AD1338" s="207"/>
    </row>
    <row r="1339" spans="18:30" ht="29.25" customHeight="1" x14ac:dyDescent="0.25">
      <c r="R1339" s="29"/>
      <c r="S1339" s="29"/>
      <c r="T1339" s="29"/>
      <c r="U1339" s="29"/>
      <c r="V1339" s="29"/>
      <c r="W1339" s="29"/>
      <c r="X1339" s="29"/>
      <c r="Y1339" s="29"/>
      <c r="Z1339" s="29"/>
      <c r="AA1339" s="29"/>
      <c r="AB1339" s="29"/>
      <c r="AC1339" s="29"/>
      <c r="AD1339" s="207"/>
    </row>
    <row r="1340" spans="18:30" ht="29.25" customHeight="1" x14ac:dyDescent="0.25">
      <c r="R1340" s="29"/>
      <c r="S1340" s="29"/>
      <c r="T1340" s="29"/>
      <c r="U1340" s="29"/>
      <c r="V1340" s="29"/>
      <c r="W1340" s="29"/>
      <c r="X1340" s="29"/>
      <c r="Y1340" s="29"/>
      <c r="Z1340" s="29"/>
      <c r="AA1340" s="29"/>
      <c r="AB1340" s="29"/>
      <c r="AC1340" s="29"/>
      <c r="AD1340" s="207"/>
    </row>
    <row r="1341" spans="18:30" ht="29.25" customHeight="1" x14ac:dyDescent="0.25">
      <c r="R1341" s="29"/>
      <c r="S1341" s="29"/>
      <c r="T1341" s="29"/>
      <c r="U1341" s="29"/>
      <c r="V1341" s="29"/>
      <c r="W1341" s="29"/>
      <c r="X1341" s="29"/>
      <c r="Y1341" s="29"/>
      <c r="Z1341" s="29"/>
      <c r="AA1341" s="29"/>
      <c r="AB1341" s="29"/>
      <c r="AC1341" s="29"/>
      <c r="AD1341" s="207"/>
    </row>
    <row r="1342" spans="18:30" ht="29.25" customHeight="1" x14ac:dyDescent="0.25">
      <c r="R1342" s="29"/>
      <c r="S1342" s="29"/>
      <c r="T1342" s="29"/>
      <c r="U1342" s="29"/>
      <c r="V1342" s="29"/>
      <c r="W1342" s="29"/>
      <c r="X1342" s="29"/>
      <c r="Y1342" s="29"/>
      <c r="Z1342" s="29"/>
      <c r="AA1342" s="29"/>
      <c r="AB1342" s="29"/>
      <c r="AC1342" s="29"/>
      <c r="AD1342" s="207"/>
    </row>
    <row r="1343" spans="18:30" ht="29.25" customHeight="1" x14ac:dyDescent="0.25">
      <c r="R1343" s="29"/>
      <c r="S1343" s="29"/>
      <c r="T1343" s="29"/>
      <c r="U1343" s="29"/>
      <c r="V1343" s="29"/>
      <c r="W1343" s="29"/>
      <c r="X1343" s="29"/>
      <c r="Y1343" s="29"/>
      <c r="Z1343" s="29"/>
      <c r="AA1343" s="29"/>
      <c r="AB1343" s="29"/>
      <c r="AC1343" s="29"/>
      <c r="AD1343" s="207"/>
    </row>
    <row r="1344" spans="18:30" ht="29.25" customHeight="1" x14ac:dyDescent="0.25">
      <c r="R1344" s="29"/>
      <c r="S1344" s="29"/>
      <c r="T1344" s="29"/>
      <c r="U1344" s="29"/>
      <c r="V1344" s="29"/>
      <c r="W1344" s="29"/>
      <c r="X1344" s="29"/>
      <c r="Y1344" s="29"/>
      <c r="Z1344" s="29"/>
      <c r="AA1344" s="29"/>
      <c r="AB1344" s="29"/>
      <c r="AC1344" s="29"/>
      <c r="AD1344" s="207"/>
    </row>
    <row r="1345" spans="18:30" ht="29.25" customHeight="1" x14ac:dyDescent="0.25">
      <c r="R1345" s="29"/>
      <c r="S1345" s="29"/>
      <c r="T1345" s="29"/>
      <c r="U1345" s="29"/>
      <c r="V1345" s="29"/>
      <c r="W1345" s="29"/>
      <c r="X1345" s="29"/>
      <c r="Y1345" s="29"/>
      <c r="Z1345" s="29"/>
      <c r="AA1345" s="29"/>
      <c r="AB1345" s="29"/>
      <c r="AC1345" s="29"/>
      <c r="AD1345" s="207"/>
    </row>
    <row r="1346" spans="18:30" ht="29.25" customHeight="1" x14ac:dyDescent="0.25">
      <c r="R1346" s="29"/>
      <c r="S1346" s="29"/>
      <c r="T1346" s="29"/>
      <c r="U1346" s="29"/>
      <c r="V1346" s="29"/>
      <c r="W1346" s="29"/>
      <c r="X1346" s="29"/>
      <c r="Y1346" s="29"/>
      <c r="Z1346" s="29"/>
      <c r="AA1346" s="29"/>
      <c r="AB1346" s="29"/>
      <c r="AC1346" s="29"/>
      <c r="AD1346" s="207"/>
    </row>
    <row r="1347" spans="18:30" ht="29.25" customHeight="1" x14ac:dyDescent="0.25">
      <c r="R1347" s="29"/>
      <c r="S1347" s="29"/>
      <c r="T1347" s="29"/>
      <c r="U1347" s="29"/>
      <c r="V1347" s="29"/>
      <c r="W1347" s="29"/>
      <c r="X1347" s="29"/>
      <c r="Y1347" s="29"/>
      <c r="Z1347" s="29"/>
      <c r="AA1347" s="29"/>
      <c r="AB1347" s="29"/>
      <c r="AC1347" s="29"/>
      <c r="AD1347" s="207"/>
    </row>
    <row r="1348" spans="18:30" ht="29.25" customHeight="1" x14ac:dyDescent="0.25">
      <c r="R1348" s="29"/>
      <c r="S1348" s="29"/>
      <c r="T1348" s="29"/>
      <c r="U1348" s="29"/>
      <c r="V1348" s="29"/>
      <c r="W1348" s="29"/>
      <c r="X1348" s="29"/>
      <c r="Y1348" s="29"/>
      <c r="Z1348" s="29"/>
      <c r="AA1348" s="29"/>
      <c r="AB1348" s="29"/>
      <c r="AC1348" s="29"/>
      <c r="AD1348" s="207"/>
    </row>
    <row r="1349" spans="18:30" ht="29.25" customHeight="1" x14ac:dyDescent="0.25">
      <c r="R1349" s="29"/>
      <c r="S1349" s="29"/>
      <c r="T1349" s="29"/>
      <c r="U1349" s="29"/>
      <c r="V1349" s="29"/>
      <c r="W1349" s="29"/>
      <c r="X1349" s="29"/>
      <c r="Y1349" s="29"/>
      <c r="Z1349" s="29"/>
      <c r="AA1349" s="29"/>
      <c r="AB1349" s="29"/>
      <c r="AC1349" s="29"/>
      <c r="AD1349" s="207"/>
    </row>
    <row r="1350" spans="18:30" ht="29.25" customHeight="1" x14ac:dyDescent="0.25">
      <c r="R1350" s="29"/>
      <c r="S1350" s="29"/>
      <c r="T1350" s="29"/>
      <c r="U1350" s="29"/>
      <c r="V1350" s="29"/>
      <c r="W1350" s="29"/>
      <c r="X1350" s="29"/>
      <c r="Y1350" s="29"/>
      <c r="Z1350" s="29"/>
      <c r="AA1350" s="29"/>
      <c r="AB1350" s="29"/>
      <c r="AC1350" s="29"/>
      <c r="AD1350" s="207"/>
    </row>
    <row r="1351" spans="18:30" ht="29.25" customHeight="1" x14ac:dyDescent="0.25">
      <c r="R1351" s="29"/>
      <c r="S1351" s="29"/>
      <c r="T1351" s="29"/>
      <c r="U1351" s="29"/>
      <c r="V1351" s="29"/>
      <c r="W1351" s="29"/>
      <c r="X1351" s="29"/>
      <c r="Y1351" s="29"/>
      <c r="Z1351" s="29"/>
      <c r="AA1351" s="29"/>
      <c r="AB1351" s="29"/>
      <c r="AC1351" s="29"/>
      <c r="AD1351" s="207"/>
    </row>
    <row r="1352" spans="18:30" ht="29.25" customHeight="1" x14ac:dyDescent="0.25">
      <c r="R1352" s="29"/>
      <c r="S1352" s="29"/>
      <c r="T1352" s="29"/>
      <c r="U1352" s="29"/>
      <c r="V1352" s="29"/>
      <c r="W1352" s="29"/>
      <c r="X1352" s="29"/>
      <c r="Y1352" s="29"/>
      <c r="Z1352" s="29"/>
      <c r="AA1352" s="29"/>
      <c r="AB1352" s="29"/>
      <c r="AC1352" s="29"/>
      <c r="AD1352" s="207"/>
    </row>
    <row r="1353" spans="18:30" ht="29.25" customHeight="1" x14ac:dyDescent="0.25">
      <c r="R1353" s="29"/>
      <c r="S1353" s="29"/>
      <c r="T1353" s="29"/>
      <c r="U1353" s="29"/>
      <c r="V1353" s="29"/>
      <c r="W1353" s="29"/>
      <c r="X1353" s="29"/>
      <c r="Y1353" s="29"/>
      <c r="Z1353" s="29"/>
      <c r="AA1353" s="29"/>
      <c r="AB1353" s="29"/>
      <c r="AC1353" s="29"/>
      <c r="AD1353" s="207"/>
    </row>
    <row r="1354" spans="18:30" ht="29.25" customHeight="1" x14ac:dyDescent="0.25">
      <c r="R1354" s="29"/>
      <c r="S1354" s="29"/>
      <c r="T1354" s="29"/>
      <c r="U1354" s="29"/>
      <c r="V1354" s="29"/>
      <c r="W1354" s="29"/>
      <c r="X1354" s="29"/>
      <c r="Y1354" s="29"/>
      <c r="Z1354" s="29"/>
      <c r="AA1354" s="29"/>
      <c r="AB1354" s="29"/>
      <c r="AC1354" s="29"/>
      <c r="AD1354" s="207"/>
    </row>
    <row r="1355" spans="18:30" ht="29.25" customHeight="1" x14ac:dyDescent="0.25">
      <c r="R1355" s="29"/>
      <c r="S1355" s="29"/>
      <c r="T1355" s="29"/>
      <c r="U1355" s="29"/>
      <c r="V1355" s="29"/>
      <c r="W1355" s="29"/>
      <c r="X1355" s="29"/>
      <c r="Y1355" s="29"/>
      <c r="Z1355" s="29"/>
      <c r="AA1355" s="29"/>
      <c r="AB1355" s="29"/>
      <c r="AC1355" s="29"/>
      <c r="AD1355" s="207"/>
    </row>
    <row r="1356" spans="18:30" ht="29.25" customHeight="1" x14ac:dyDescent="0.25">
      <c r="R1356" s="29"/>
      <c r="S1356" s="29"/>
      <c r="T1356" s="29"/>
      <c r="U1356" s="29"/>
      <c r="V1356" s="29"/>
      <c r="W1356" s="29"/>
      <c r="X1356" s="29"/>
      <c r="Y1356" s="29"/>
      <c r="Z1356" s="29"/>
      <c r="AA1356" s="29"/>
      <c r="AB1356" s="29"/>
      <c r="AC1356" s="29"/>
      <c r="AD1356" s="207"/>
    </row>
    <row r="1357" spans="18:30" ht="29.25" customHeight="1" x14ac:dyDescent="0.25">
      <c r="R1357" s="29"/>
      <c r="S1357" s="29"/>
      <c r="T1357" s="29"/>
      <c r="U1357" s="29"/>
      <c r="V1357" s="29"/>
      <c r="W1357" s="29"/>
      <c r="X1357" s="29"/>
      <c r="Y1357" s="29"/>
      <c r="Z1357" s="29"/>
      <c r="AA1357" s="29"/>
      <c r="AB1357" s="29"/>
      <c r="AC1357" s="29"/>
      <c r="AD1357" s="207"/>
    </row>
    <row r="1358" spans="18:30" ht="29.25" customHeight="1" x14ac:dyDescent="0.25">
      <c r="R1358" s="29"/>
      <c r="S1358" s="29"/>
      <c r="T1358" s="29"/>
      <c r="U1358" s="29"/>
      <c r="V1358" s="29"/>
      <c r="W1358" s="29"/>
      <c r="X1358" s="29"/>
      <c r="Y1358" s="29"/>
      <c r="Z1358" s="29"/>
      <c r="AA1358" s="29"/>
      <c r="AB1358" s="29"/>
      <c r="AC1358" s="29"/>
      <c r="AD1358" s="207"/>
    </row>
    <row r="1359" spans="18:30" ht="29.25" customHeight="1" x14ac:dyDescent="0.25">
      <c r="R1359" s="29"/>
      <c r="S1359" s="29"/>
      <c r="T1359" s="29"/>
      <c r="U1359" s="29"/>
      <c r="V1359" s="29"/>
      <c r="W1359" s="29"/>
      <c r="X1359" s="29"/>
      <c r="Y1359" s="29"/>
      <c r="Z1359" s="29"/>
      <c r="AA1359" s="29"/>
      <c r="AB1359" s="29"/>
      <c r="AC1359" s="29"/>
      <c r="AD1359" s="207"/>
    </row>
    <row r="1360" spans="18:30" ht="29.25" customHeight="1" x14ac:dyDescent="0.25">
      <c r="R1360" s="29"/>
      <c r="S1360" s="29"/>
      <c r="T1360" s="29"/>
      <c r="U1360" s="29"/>
      <c r="V1360" s="29"/>
      <c r="W1360" s="29"/>
      <c r="X1360" s="29"/>
      <c r="Y1360" s="29"/>
      <c r="Z1360" s="29"/>
      <c r="AA1360" s="29"/>
      <c r="AB1360" s="29"/>
      <c r="AC1360" s="29"/>
      <c r="AD1360" s="207"/>
    </row>
    <row r="1361" spans="18:30" ht="29.25" customHeight="1" x14ac:dyDescent="0.25">
      <c r="R1361" s="29"/>
      <c r="S1361" s="29"/>
      <c r="T1361" s="29"/>
      <c r="U1361" s="29"/>
      <c r="V1361" s="29"/>
      <c r="W1361" s="29"/>
      <c r="X1361" s="29"/>
      <c r="Y1361" s="29"/>
      <c r="Z1361" s="29"/>
      <c r="AA1361" s="29"/>
      <c r="AB1361" s="29"/>
      <c r="AC1361" s="29"/>
      <c r="AD1361" s="207"/>
    </row>
    <row r="1362" spans="18:30" ht="29.25" customHeight="1" x14ac:dyDescent="0.25">
      <c r="R1362" s="29"/>
      <c r="S1362" s="29"/>
      <c r="T1362" s="29"/>
      <c r="U1362" s="29"/>
      <c r="V1362" s="29"/>
      <c r="W1362" s="29"/>
      <c r="X1362" s="29"/>
      <c r="Y1362" s="29"/>
      <c r="Z1362" s="29"/>
      <c r="AA1362" s="29"/>
      <c r="AB1362" s="29"/>
      <c r="AC1362" s="29"/>
      <c r="AD1362" s="207"/>
    </row>
    <row r="1363" spans="18:30" ht="29.25" customHeight="1" x14ac:dyDescent="0.25">
      <c r="R1363" s="29"/>
      <c r="S1363" s="29"/>
      <c r="T1363" s="29"/>
      <c r="U1363" s="29"/>
      <c r="V1363" s="29"/>
      <c r="W1363" s="29"/>
      <c r="X1363" s="29"/>
      <c r="Y1363" s="29"/>
      <c r="Z1363" s="29"/>
      <c r="AA1363" s="29"/>
      <c r="AB1363" s="29"/>
      <c r="AC1363" s="29"/>
      <c r="AD1363" s="207"/>
    </row>
    <row r="1364" spans="18:30" ht="29.25" customHeight="1" x14ac:dyDescent="0.25">
      <c r="R1364" s="29"/>
      <c r="S1364" s="29"/>
      <c r="T1364" s="29"/>
      <c r="U1364" s="29"/>
      <c r="V1364" s="29"/>
      <c r="W1364" s="29"/>
      <c r="X1364" s="29"/>
      <c r="Y1364" s="29"/>
      <c r="Z1364" s="29"/>
      <c r="AA1364" s="29"/>
      <c r="AB1364" s="29"/>
      <c r="AC1364" s="29"/>
      <c r="AD1364" s="207"/>
    </row>
    <row r="1365" spans="18:30" ht="29.25" customHeight="1" x14ac:dyDescent="0.25">
      <c r="R1365" s="29"/>
      <c r="S1365" s="29"/>
      <c r="T1365" s="29"/>
      <c r="U1365" s="29"/>
      <c r="V1365" s="29"/>
      <c r="W1365" s="29"/>
      <c r="X1365" s="29"/>
      <c r="Y1365" s="29"/>
      <c r="Z1365" s="29"/>
      <c r="AA1365" s="29"/>
      <c r="AB1365" s="29"/>
      <c r="AC1365" s="29"/>
      <c r="AD1365" s="207"/>
    </row>
    <row r="1366" spans="18:30" ht="29.25" customHeight="1" x14ac:dyDescent="0.25">
      <c r="R1366" s="29"/>
      <c r="S1366" s="29"/>
      <c r="T1366" s="29"/>
      <c r="U1366" s="29"/>
      <c r="V1366" s="29"/>
      <c r="W1366" s="29"/>
      <c r="X1366" s="29"/>
      <c r="Y1366" s="29"/>
      <c r="Z1366" s="29"/>
      <c r="AA1366" s="29"/>
      <c r="AB1366" s="29"/>
      <c r="AC1366" s="29"/>
      <c r="AD1366" s="207"/>
    </row>
    <row r="1367" spans="18:30" ht="29.25" customHeight="1" x14ac:dyDescent="0.25">
      <c r="R1367" s="29"/>
      <c r="S1367" s="29"/>
      <c r="T1367" s="29"/>
      <c r="U1367" s="29"/>
      <c r="V1367" s="29"/>
      <c r="W1367" s="29"/>
      <c r="X1367" s="29"/>
      <c r="Y1367" s="29"/>
      <c r="Z1367" s="29"/>
      <c r="AA1367" s="29"/>
      <c r="AB1367" s="29"/>
      <c r="AC1367" s="29"/>
      <c r="AD1367" s="207"/>
    </row>
    <row r="1368" spans="18:30" ht="29.25" customHeight="1" x14ac:dyDescent="0.25">
      <c r="R1368" s="29"/>
      <c r="S1368" s="29"/>
      <c r="T1368" s="29"/>
      <c r="U1368" s="29"/>
      <c r="V1368" s="29"/>
      <c r="W1368" s="29"/>
      <c r="X1368" s="29"/>
      <c r="Y1368" s="29"/>
      <c r="Z1368" s="29"/>
      <c r="AA1368" s="29"/>
      <c r="AB1368" s="29"/>
      <c r="AC1368" s="29"/>
      <c r="AD1368" s="207"/>
    </row>
    <row r="1369" spans="18:30" ht="29.25" customHeight="1" x14ac:dyDescent="0.25">
      <c r="R1369" s="29"/>
      <c r="S1369" s="29"/>
      <c r="T1369" s="29"/>
      <c r="U1369" s="29"/>
      <c r="V1369" s="29"/>
      <c r="W1369" s="29"/>
      <c r="X1369" s="29"/>
      <c r="Y1369" s="29"/>
      <c r="Z1369" s="29"/>
      <c r="AA1369" s="29"/>
      <c r="AB1369" s="29"/>
      <c r="AC1369" s="29"/>
      <c r="AD1369" s="207"/>
    </row>
    <row r="1370" spans="18:30" ht="29.25" customHeight="1" x14ac:dyDescent="0.25">
      <c r="R1370" s="29"/>
      <c r="S1370" s="29"/>
      <c r="T1370" s="29"/>
      <c r="U1370" s="29"/>
      <c r="V1370" s="29"/>
      <c r="W1370" s="29"/>
      <c r="X1370" s="29"/>
      <c r="Y1370" s="29"/>
      <c r="Z1370" s="29"/>
      <c r="AA1370" s="29"/>
      <c r="AB1370" s="29"/>
      <c r="AC1370" s="29"/>
      <c r="AD1370" s="207"/>
    </row>
    <row r="1371" spans="18:30" ht="29.25" customHeight="1" x14ac:dyDescent="0.25">
      <c r="R1371" s="29"/>
      <c r="S1371" s="29"/>
      <c r="T1371" s="29"/>
      <c r="U1371" s="29"/>
      <c r="V1371" s="29"/>
      <c r="W1371" s="29"/>
      <c r="X1371" s="29"/>
      <c r="Y1371" s="29"/>
      <c r="Z1371" s="29"/>
      <c r="AA1371" s="29"/>
      <c r="AB1371" s="29"/>
      <c r="AC1371" s="29"/>
      <c r="AD1371" s="207"/>
    </row>
    <row r="1372" spans="18:30" ht="29.25" customHeight="1" x14ac:dyDescent="0.25">
      <c r="R1372" s="29"/>
      <c r="S1372" s="29"/>
      <c r="T1372" s="29"/>
      <c r="U1372" s="29"/>
      <c r="V1372" s="29"/>
      <c r="W1372" s="29"/>
      <c r="X1372" s="29"/>
      <c r="Y1372" s="29"/>
      <c r="Z1372" s="29"/>
      <c r="AA1372" s="29"/>
      <c r="AB1372" s="29"/>
      <c r="AC1372" s="29"/>
      <c r="AD1372" s="207"/>
    </row>
    <row r="1373" spans="18:30" ht="29.25" customHeight="1" x14ac:dyDescent="0.25">
      <c r="R1373" s="29"/>
      <c r="S1373" s="29"/>
      <c r="T1373" s="29"/>
      <c r="U1373" s="29"/>
      <c r="V1373" s="29"/>
      <c r="W1373" s="29"/>
      <c r="X1373" s="29"/>
      <c r="Y1373" s="29"/>
      <c r="Z1373" s="29"/>
      <c r="AA1373" s="29"/>
      <c r="AB1373" s="29"/>
      <c r="AC1373" s="29"/>
      <c r="AD1373" s="207"/>
    </row>
    <row r="1374" spans="18:30" ht="29.25" customHeight="1" x14ac:dyDescent="0.25">
      <c r="R1374" s="29"/>
      <c r="S1374" s="29"/>
      <c r="T1374" s="29"/>
      <c r="U1374" s="29"/>
      <c r="V1374" s="29"/>
      <c r="W1374" s="29"/>
      <c r="X1374" s="29"/>
      <c r="Y1374" s="29"/>
      <c r="Z1374" s="29"/>
      <c r="AA1374" s="29"/>
      <c r="AB1374" s="29"/>
      <c r="AC1374" s="29"/>
      <c r="AD1374" s="207"/>
    </row>
    <row r="1375" spans="18:30" ht="29.25" customHeight="1" x14ac:dyDescent="0.25">
      <c r="R1375" s="29"/>
      <c r="S1375" s="29"/>
      <c r="T1375" s="29"/>
      <c r="U1375" s="29"/>
      <c r="V1375" s="29"/>
      <c r="W1375" s="29"/>
      <c r="X1375" s="29"/>
      <c r="Y1375" s="29"/>
      <c r="Z1375" s="29"/>
      <c r="AA1375" s="29"/>
      <c r="AB1375" s="29"/>
      <c r="AC1375" s="29"/>
      <c r="AD1375" s="207"/>
    </row>
    <row r="1376" spans="18:30" ht="29.25" customHeight="1" x14ac:dyDescent="0.25">
      <c r="R1376" s="29"/>
      <c r="S1376" s="29"/>
      <c r="T1376" s="29"/>
      <c r="U1376" s="29"/>
      <c r="V1376" s="29"/>
      <c r="W1376" s="29"/>
      <c r="X1376" s="29"/>
      <c r="Y1376" s="29"/>
      <c r="Z1376" s="29"/>
      <c r="AA1376" s="29"/>
      <c r="AB1376" s="29"/>
      <c r="AC1376" s="29"/>
      <c r="AD1376" s="207"/>
    </row>
    <row r="1377" spans="18:30" ht="29.25" customHeight="1" x14ac:dyDescent="0.25">
      <c r="R1377" s="29"/>
      <c r="S1377" s="29"/>
      <c r="T1377" s="29"/>
      <c r="U1377" s="29"/>
      <c r="V1377" s="29"/>
      <c r="W1377" s="29"/>
      <c r="X1377" s="29"/>
      <c r="Y1377" s="29"/>
      <c r="Z1377" s="29"/>
      <c r="AA1377" s="29"/>
      <c r="AB1377" s="29"/>
      <c r="AC1377" s="29"/>
      <c r="AD1377" s="207"/>
    </row>
    <row r="1378" spans="18:30" ht="29.25" customHeight="1" x14ac:dyDescent="0.25">
      <c r="R1378" s="29"/>
      <c r="S1378" s="29"/>
      <c r="T1378" s="29"/>
      <c r="U1378" s="29"/>
      <c r="V1378" s="29"/>
      <c r="W1378" s="29"/>
      <c r="X1378" s="29"/>
      <c r="Y1378" s="29"/>
      <c r="Z1378" s="29"/>
      <c r="AA1378" s="29"/>
      <c r="AB1378" s="29"/>
      <c r="AC1378" s="29"/>
      <c r="AD1378" s="207"/>
    </row>
    <row r="1379" spans="18:30" ht="29.25" customHeight="1" x14ac:dyDescent="0.25">
      <c r="R1379" s="29"/>
      <c r="S1379" s="29"/>
      <c r="T1379" s="29"/>
      <c r="U1379" s="29"/>
      <c r="V1379" s="29"/>
      <c r="W1379" s="29"/>
      <c r="X1379" s="29"/>
      <c r="Y1379" s="29"/>
      <c r="Z1379" s="29"/>
      <c r="AA1379" s="29"/>
      <c r="AB1379" s="29"/>
      <c r="AC1379" s="29"/>
      <c r="AD1379" s="207"/>
    </row>
    <row r="1380" spans="18:30" ht="29.25" customHeight="1" x14ac:dyDescent="0.25">
      <c r="R1380" s="29"/>
      <c r="S1380" s="29"/>
      <c r="T1380" s="29"/>
      <c r="U1380" s="29"/>
      <c r="V1380" s="29"/>
      <c r="W1380" s="29"/>
      <c r="X1380" s="29"/>
      <c r="Y1380" s="29"/>
      <c r="Z1380" s="29"/>
      <c r="AA1380" s="29"/>
      <c r="AB1380" s="29"/>
      <c r="AC1380" s="29"/>
      <c r="AD1380" s="207"/>
    </row>
    <row r="1381" spans="18:30" ht="29.25" customHeight="1" x14ac:dyDescent="0.25">
      <c r="R1381" s="29"/>
      <c r="S1381" s="29"/>
      <c r="T1381" s="29"/>
      <c r="U1381" s="29"/>
      <c r="V1381" s="29"/>
      <c r="W1381" s="29"/>
      <c r="X1381" s="29"/>
      <c r="Y1381" s="29"/>
      <c r="Z1381" s="29"/>
      <c r="AA1381" s="29"/>
      <c r="AB1381" s="29"/>
      <c r="AC1381" s="29"/>
      <c r="AD1381" s="207"/>
    </row>
    <row r="1382" spans="18:30" ht="29.25" customHeight="1" x14ac:dyDescent="0.25">
      <c r="R1382" s="29"/>
      <c r="S1382" s="29"/>
      <c r="T1382" s="29"/>
      <c r="U1382" s="29"/>
      <c r="V1382" s="29"/>
      <c r="W1382" s="29"/>
      <c r="X1382" s="29"/>
      <c r="Y1382" s="29"/>
      <c r="Z1382" s="29"/>
      <c r="AA1382" s="29"/>
      <c r="AB1382" s="29"/>
      <c r="AC1382" s="29"/>
      <c r="AD1382" s="207"/>
    </row>
    <row r="1383" spans="18:30" ht="29.25" customHeight="1" x14ac:dyDescent="0.25">
      <c r="R1383" s="29"/>
      <c r="S1383" s="29"/>
      <c r="T1383" s="29"/>
      <c r="U1383" s="29"/>
      <c r="V1383" s="29"/>
      <c r="W1383" s="29"/>
      <c r="X1383" s="29"/>
      <c r="Y1383" s="29"/>
      <c r="Z1383" s="29"/>
      <c r="AA1383" s="29"/>
      <c r="AB1383" s="29"/>
      <c r="AC1383" s="29"/>
      <c r="AD1383" s="207"/>
    </row>
    <row r="1384" spans="18:30" ht="29.25" customHeight="1" x14ac:dyDescent="0.25">
      <c r="R1384" s="29"/>
      <c r="S1384" s="29"/>
      <c r="T1384" s="29"/>
      <c r="U1384" s="29"/>
      <c r="V1384" s="29"/>
      <c r="W1384" s="29"/>
      <c r="X1384" s="29"/>
      <c r="Y1384" s="29"/>
      <c r="Z1384" s="29"/>
      <c r="AA1384" s="29"/>
      <c r="AB1384" s="29"/>
      <c r="AC1384" s="29"/>
      <c r="AD1384" s="207"/>
    </row>
    <row r="1385" spans="18:30" ht="29.25" customHeight="1" x14ac:dyDescent="0.25">
      <c r="R1385" s="29"/>
      <c r="S1385" s="29"/>
      <c r="T1385" s="29"/>
      <c r="U1385" s="29"/>
      <c r="V1385" s="29"/>
      <c r="W1385" s="29"/>
      <c r="X1385" s="29"/>
      <c r="Y1385" s="29"/>
      <c r="Z1385" s="29"/>
      <c r="AA1385" s="29"/>
      <c r="AB1385" s="29"/>
      <c r="AC1385" s="29"/>
      <c r="AD1385" s="207"/>
    </row>
    <row r="1386" spans="18:30" ht="29.25" customHeight="1" x14ac:dyDescent="0.25">
      <c r="R1386" s="29"/>
      <c r="S1386" s="29"/>
      <c r="T1386" s="29"/>
      <c r="U1386" s="29"/>
      <c r="V1386" s="29"/>
      <c r="W1386" s="29"/>
      <c r="X1386" s="29"/>
      <c r="Y1386" s="29"/>
      <c r="Z1386" s="29"/>
      <c r="AA1386" s="29"/>
      <c r="AB1386" s="29"/>
      <c r="AC1386" s="29"/>
      <c r="AD1386" s="207"/>
    </row>
    <row r="1387" spans="18:30" ht="29.25" customHeight="1" x14ac:dyDescent="0.25">
      <c r="R1387" s="29"/>
      <c r="S1387" s="29"/>
      <c r="T1387" s="29"/>
      <c r="U1387" s="29"/>
      <c r="V1387" s="29"/>
      <c r="W1387" s="29"/>
      <c r="X1387" s="29"/>
      <c r="Y1387" s="29"/>
      <c r="Z1387" s="29"/>
      <c r="AA1387" s="29"/>
      <c r="AB1387" s="29"/>
      <c r="AC1387" s="29"/>
      <c r="AD1387" s="207"/>
    </row>
    <row r="1388" spans="18:30" ht="29.25" customHeight="1" x14ac:dyDescent="0.25">
      <c r="R1388" s="29"/>
      <c r="S1388" s="29"/>
      <c r="T1388" s="29"/>
      <c r="U1388" s="29"/>
      <c r="V1388" s="29"/>
      <c r="W1388" s="29"/>
      <c r="X1388" s="29"/>
      <c r="Y1388" s="29"/>
      <c r="Z1388" s="29"/>
      <c r="AA1388" s="29"/>
      <c r="AB1388" s="29"/>
      <c r="AC1388" s="29"/>
      <c r="AD1388" s="207"/>
    </row>
    <row r="1389" spans="18:30" ht="29.25" customHeight="1" x14ac:dyDescent="0.25">
      <c r="R1389" s="29"/>
      <c r="S1389" s="29"/>
      <c r="T1389" s="29"/>
      <c r="U1389" s="29"/>
      <c r="V1389" s="29"/>
      <c r="W1389" s="29"/>
      <c r="X1389" s="29"/>
      <c r="Y1389" s="29"/>
      <c r="Z1389" s="29"/>
      <c r="AA1389" s="29"/>
      <c r="AB1389" s="29"/>
      <c r="AC1389" s="29"/>
      <c r="AD1389" s="207"/>
    </row>
    <row r="1390" spans="18:30" ht="29.25" customHeight="1" x14ac:dyDescent="0.25">
      <c r="R1390" s="29"/>
      <c r="S1390" s="29"/>
      <c r="T1390" s="29"/>
      <c r="U1390" s="29"/>
      <c r="V1390" s="29"/>
      <c r="W1390" s="29"/>
      <c r="X1390" s="29"/>
      <c r="Y1390" s="29"/>
      <c r="Z1390" s="29"/>
      <c r="AA1390" s="29"/>
      <c r="AB1390" s="29"/>
      <c r="AC1390" s="29"/>
      <c r="AD1390" s="207"/>
    </row>
    <row r="1391" spans="18:30" ht="29.25" customHeight="1" x14ac:dyDescent="0.25">
      <c r="R1391" s="29"/>
      <c r="S1391" s="29"/>
      <c r="T1391" s="29"/>
      <c r="U1391" s="29"/>
      <c r="V1391" s="29"/>
      <c r="W1391" s="29"/>
      <c r="X1391" s="29"/>
      <c r="Y1391" s="29"/>
      <c r="Z1391" s="29"/>
      <c r="AA1391" s="29"/>
      <c r="AB1391" s="29"/>
      <c r="AC1391" s="29"/>
      <c r="AD1391" s="207"/>
    </row>
    <row r="1392" spans="18:30" ht="29.25" customHeight="1" x14ac:dyDescent="0.25">
      <c r="R1392" s="29"/>
      <c r="S1392" s="29"/>
      <c r="T1392" s="29"/>
      <c r="U1392" s="29"/>
      <c r="V1392" s="29"/>
      <c r="W1392" s="29"/>
      <c r="X1392" s="29"/>
      <c r="Y1392" s="29"/>
      <c r="Z1392" s="29"/>
      <c r="AA1392" s="29"/>
      <c r="AB1392" s="29"/>
      <c r="AC1392" s="29"/>
      <c r="AD1392" s="207"/>
    </row>
    <row r="1393" spans="18:30" ht="29.25" customHeight="1" x14ac:dyDescent="0.25">
      <c r="R1393" s="29"/>
      <c r="S1393" s="29"/>
      <c r="T1393" s="29"/>
      <c r="U1393" s="29"/>
      <c r="V1393" s="29"/>
      <c r="W1393" s="29"/>
      <c r="X1393" s="29"/>
      <c r="Y1393" s="29"/>
      <c r="Z1393" s="29"/>
      <c r="AA1393" s="29"/>
      <c r="AB1393" s="29"/>
      <c r="AC1393" s="29"/>
      <c r="AD1393" s="207"/>
    </row>
    <row r="1394" spans="18:30" ht="29.25" customHeight="1" x14ac:dyDescent="0.25">
      <c r="R1394" s="29"/>
      <c r="S1394" s="29"/>
      <c r="T1394" s="29"/>
      <c r="U1394" s="29"/>
      <c r="V1394" s="29"/>
      <c r="W1394" s="29"/>
      <c r="X1394" s="29"/>
      <c r="Y1394" s="29"/>
      <c r="Z1394" s="29"/>
      <c r="AA1394" s="29"/>
      <c r="AB1394" s="29"/>
      <c r="AC1394" s="29"/>
      <c r="AD1394" s="207"/>
    </row>
    <row r="1395" spans="18:30" ht="29.25" customHeight="1" x14ac:dyDescent="0.25">
      <c r="R1395" s="29"/>
      <c r="S1395" s="29"/>
      <c r="T1395" s="29"/>
      <c r="U1395" s="29"/>
      <c r="V1395" s="29"/>
      <c r="W1395" s="29"/>
      <c r="X1395" s="29"/>
      <c r="Y1395" s="29"/>
      <c r="Z1395" s="29"/>
      <c r="AA1395" s="29"/>
      <c r="AB1395" s="29"/>
      <c r="AC1395" s="29"/>
      <c r="AD1395" s="207"/>
    </row>
    <row r="1396" spans="18:30" ht="29.25" customHeight="1" x14ac:dyDescent="0.25">
      <c r="R1396" s="29"/>
      <c r="S1396" s="29"/>
      <c r="T1396" s="29"/>
      <c r="U1396" s="29"/>
      <c r="V1396" s="29"/>
      <c r="W1396" s="29"/>
      <c r="X1396" s="29"/>
      <c r="Y1396" s="29"/>
      <c r="Z1396" s="29"/>
      <c r="AA1396" s="29"/>
      <c r="AB1396" s="29"/>
      <c r="AC1396" s="29"/>
      <c r="AD1396" s="207"/>
    </row>
    <row r="1397" spans="18:30" ht="29.25" customHeight="1" x14ac:dyDescent="0.25">
      <c r="R1397" s="29"/>
      <c r="S1397" s="29"/>
      <c r="T1397" s="29"/>
      <c r="U1397" s="29"/>
      <c r="V1397" s="29"/>
      <c r="W1397" s="29"/>
      <c r="X1397" s="29"/>
      <c r="Y1397" s="29"/>
      <c r="Z1397" s="29"/>
      <c r="AA1397" s="29"/>
      <c r="AB1397" s="29"/>
      <c r="AC1397" s="29"/>
      <c r="AD1397" s="207"/>
    </row>
    <row r="1398" spans="18:30" ht="29.25" customHeight="1" x14ac:dyDescent="0.25">
      <c r="R1398" s="29"/>
      <c r="S1398" s="29"/>
      <c r="T1398" s="29"/>
      <c r="U1398" s="29"/>
      <c r="V1398" s="29"/>
      <c r="W1398" s="29"/>
      <c r="X1398" s="29"/>
      <c r="Y1398" s="29"/>
      <c r="Z1398" s="29"/>
      <c r="AA1398" s="29"/>
      <c r="AB1398" s="29"/>
      <c r="AC1398" s="29"/>
      <c r="AD1398" s="207"/>
    </row>
    <row r="1399" spans="18:30" ht="29.25" customHeight="1" x14ac:dyDescent="0.25">
      <c r="R1399" s="29"/>
      <c r="S1399" s="29"/>
      <c r="T1399" s="29"/>
      <c r="U1399" s="29"/>
      <c r="V1399" s="29"/>
      <c r="W1399" s="29"/>
      <c r="X1399" s="29"/>
      <c r="Y1399" s="29"/>
      <c r="Z1399" s="29"/>
      <c r="AA1399" s="29"/>
      <c r="AB1399" s="29"/>
      <c r="AC1399" s="29"/>
      <c r="AD1399" s="207"/>
    </row>
    <row r="1400" spans="18:30" ht="29.25" customHeight="1" x14ac:dyDescent="0.25">
      <c r="R1400" s="29"/>
      <c r="S1400" s="29"/>
      <c r="T1400" s="29"/>
      <c r="U1400" s="29"/>
      <c r="V1400" s="29"/>
      <c r="W1400" s="29"/>
      <c r="X1400" s="29"/>
      <c r="Y1400" s="29"/>
      <c r="Z1400" s="29"/>
      <c r="AA1400" s="29"/>
      <c r="AB1400" s="29"/>
      <c r="AC1400" s="29"/>
      <c r="AD1400" s="207"/>
    </row>
    <row r="1401" spans="18:30" ht="29.25" customHeight="1" x14ac:dyDescent="0.25">
      <c r="R1401" s="29"/>
      <c r="S1401" s="29"/>
      <c r="T1401" s="29"/>
      <c r="U1401" s="29"/>
      <c r="V1401" s="29"/>
      <c r="W1401" s="29"/>
      <c r="X1401" s="29"/>
      <c r="Y1401" s="29"/>
      <c r="Z1401" s="29"/>
      <c r="AA1401" s="29"/>
      <c r="AB1401" s="29"/>
      <c r="AC1401" s="29"/>
      <c r="AD1401" s="207"/>
    </row>
    <row r="1402" spans="18:30" ht="29.25" customHeight="1" x14ac:dyDescent="0.25">
      <c r="R1402" s="29"/>
      <c r="S1402" s="29"/>
      <c r="T1402" s="29"/>
      <c r="U1402" s="29"/>
      <c r="V1402" s="29"/>
      <c r="W1402" s="29"/>
      <c r="X1402" s="29"/>
      <c r="Y1402" s="29"/>
      <c r="Z1402" s="29"/>
      <c r="AA1402" s="29"/>
      <c r="AB1402" s="29"/>
      <c r="AC1402" s="29"/>
      <c r="AD1402" s="207"/>
    </row>
    <row r="1403" spans="18:30" ht="29.25" customHeight="1" x14ac:dyDescent="0.25">
      <c r="R1403" s="29"/>
      <c r="S1403" s="29"/>
      <c r="T1403" s="29"/>
      <c r="U1403" s="29"/>
      <c r="V1403" s="29"/>
      <c r="W1403" s="29"/>
      <c r="X1403" s="29"/>
      <c r="Y1403" s="29"/>
      <c r="Z1403" s="29"/>
      <c r="AA1403" s="29"/>
      <c r="AB1403" s="29"/>
      <c r="AC1403" s="29"/>
      <c r="AD1403" s="207"/>
    </row>
    <row r="1404" spans="18:30" ht="29.25" customHeight="1" x14ac:dyDescent="0.25">
      <c r="R1404" s="29"/>
      <c r="S1404" s="29"/>
      <c r="T1404" s="29"/>
      <c r="U1404" s="29"/>
      <c r="V1404" s="29"/>
      <c r="W1404" s="29"/>
      <c r="X1404" s="29"/>
      <c r="Y1404" s="29"/>
      <c r="Z1404" s="29"/>
      <c r="AA1404" s="29"/>
      <c r="AB1404" s="29"/>
      <c r="AC1404" s="29"/>
      <c r="AD1404" s="207"/>
    </row>
    <row r="1405" spans="18:30" ht="29.25" customHeight="1" x14ac:dyDescent="0.25">
      <c r="R1405" s="29"/>
      <c r="S1405" s="29"/>
      <c r="T1405" s="29"/>
      <c r="U1405" s="29"/>
      <c r="V1405" s="29"/>
      <c r="W1405" s="29"/>
      <c r="X1405" s="29"/>
      <c r="Y1405" s="29"/>
      <c r="Z1405" s="29"/>
      <c r="AA1405" s="29"/>
      <c r="AB1405" s="29"/>
      <c r="AC1405" s="29"/>
      <c r="AD1405" s="207"/>
    </row>
    <row r="1406" spans="18:30" ht="29.25" customHeight="1" x14ac:dyDescent="0.25">
      <c r="R1406" s="29"/>
      <c r="S1406" s="29"/>
      <c r="T1406" s="29"/>
      <c r="U1406" s="29"/>
      <c r="V1406" s="29"/>
      <c r="W1406" s="29"/>
      <c r="X1406" s="29"/>
      <c r="Y1406" s="29"/>
      <c r="Z1406" s="29"/>
      <c r="AA1406" s="29"/>
      <c r="AB1406" s="29"/>
      <c r="AC1406" s="29"/>
      <c r="AD1406" s="207"/>
    </row>
    <row r="1407" spans="18:30" ht="29.25" customHeight="1" x14ac:dyDescent="0.25">
      <c r="R1407" s="29"/>
      <c r="S1407" s="29"/>
      <c r="T1407" s="29"/>
      <c r="U1407" s="29"/>
      <c r="V1407" s="29"/>
      <c r="W1407" s="29"/>
      <c r="X1407" s="29"/>
      <c r="Y1407" s="29"/>
      <c r="Z1407" s="29"/>
      <c r="AA1407" s="29"/>
      <c r="AB1407" s="29"/>
      <c r="AC1407" s="29"/>
      <c r="AD1407" s="207"/>
    </row>
    <row r="1408" spans="18:30" ht="29.25" customHeight="1" x14ac:dyDescent="0.25">
      <c r="R1408" s="29"/>
      <c r="S1408" s="29"/>
      <c r="T1408" s="29"/>
      <c r="U1408" s="29"/>
      <c r="V1408" s="29"/>
      <c r="W1408" s="29"/>
      <c r="X1408" s="29"/>
      <c r="Y1408" s="29"/>
      <c r="Z1408" s="29"/>
      <c r="AA1408" s="29"/>
      <c r="AB1408" s="29"/>
      <c r="AC1408" s="29"/>
      <c r="AD1408" s="207"/>
    </row>
    <row r="1409" spans="18:30" ht="29.25" customHeight="1" x14ac:dyDescent="0.25">
      <c r="R1409" s="29"/>
      <c r="S1409" s="29"/>
      <c r="T1409" s="29"/>
      <c r="U1409" s="29"/>
      <c r="V1409" s="29"/>
      <c r="W1409" s="29"/>
      <c r="X1409" s="29"/>
      <c r="Y1409" s="29"/>
      <c r="Z1409" s="29"/>
      <c r="AA1409" s="29"/>
      <c r="AB1409" s="29"/>
      <c r="AC1409" s="29"/>
      <c r="AD1409" s="207"/>
    </row>
    <row r="1410" spans="18:30" ht="29.25" customHeight="1" x14ac:dyDescent="0.25">
      <c r="R1410" s="29"/>
      <c r="S1410" s="29"/>
      <c r="T1410" s="29"/>
      <c r="U1410" s="29"/>
      <c r="V1410" s="29"/>
      <c r="W1410" s="29"/>
      <c r="X1410" s="29"/>
      <c r="Y1410" s="29"/>
      <c r="Z1410" s="29"/>
      <c r="AA1410" s="29"/>
      <c r="AB1410" s="29"/>
      <c r="AC1410" s="29"/>
      <c r="AD1410" s="207"/>
    </row>
    <row r="1411" spans="18:30" ht="29.25" customHeight="1" x14ac:dyDescent="0.25">
      <c r="R1411" s="29"/>
      <c r="S1411" s="29"/>
      <c r="T1411" s="29"/>
      <c r="U1411" s="29"/>
      <c r="V1411" s="29"/>
      <c r="W1411" s="29"/>
      <c r="X1411" s="29"/>
      <c r="Y1411" s="29"/>
      <c r="Z1411" s="29"/>
      <c r="AA1411" s="29"/>
      <c r="AB1411" s="29"/>
      <c r="AC1411" s="29"/>
      <c r="AD1411" s="207"/>
    </row>
    <row r="1412" spans="18:30" ht="29.25" customHeight="1" x14ac:dyDescent="0.25">
      <c r="R1412" s="29"/>
      <c r="S1412" s="29"/>
      <c r="T1412" s="29"/>
      <c r="U1412" s="29"/>
      <c r="V1412" s="29"/>
      <c r="W1412" s="29"/>
      <c r="X1412" s="29"/>
      <c r="Y1412" s="29"/>
      <c r="Z1412" s="29"/>
      <c r="AA1412" s="29"/>
      <c r="AB1412" s="29"/>
      <c r="AC1412" s="29"/>
      <c r="AD1412" s="207"/>
    </row>
    <row r="1413" spans="18:30" ht="29.25" customHeight="1" x14ac:dyDescent="0.25">
      <c r="R1413" s="29"/>
      <c r="S1413" s="29"/>
      <c r="T1413" s="29"/>
      <c r="U1413" s="29"/>
      <c r="V1413" s="29"/>
      <c r="W1413" s="29"/>
      <c r="X1413" s="29"/>
      <c r="Y1413" s="29"/>
      <c r="Z1413" s="29"/>
      <c r="AA1413" s="29"/>
      <c r="AB1413" s="29"/>
      <c r="AC1413" s="29"/>
      <c r="AD1413" s="207"/>
    </row>
    <row r="1414" spans="18:30" ht="29.25" customHeight="1" x14ac:dyDescent="0.25">
      <c r="R1414" s="29"/>
      <c r="S1414" s="29"/>
      <c r="T1414" s="29"/>
      <c r="U1414" s="29"/>
      <c r="V1414" s="29"/>
      <c r="W1414" s="29"/>
      <c r="X1414" s="29"/>
      <c r="Y1414" s="29"/>
      <c r="Z1414" s="29"/>
      <c r="AA1414" s="29"/>
      <c r="AB1414" s="29"/>
      <c r="AC1414" s="29"/>
      <c r="AD1414" s="207"/>
    </row>
    <row r="1415" spans="18:30" ht="29.25" customHeight="1" x14ac:dyDescent="0.25">
      <c r="R1415" s="29"/>
      <c r="S1415" s="29"/>
      <c r="T1415" s="29"/>
      <c r="U1415" s="29"/>
      <c r="V1415" s="29"/>
      <c r="W1415" s="29"/>
      <c r="X1415" s="29"/>
      <c r="Y1415" s="29"/>
      <c r="Z1415" s="29"/>
      <c r="AA1415" s="29"/>
      <c r="AB1415" s="29"/>
      <c r="AC1415" s="29"/>
      <c r="AD1415" s="207"/>
    </row>
    <row r="1416" spans="18:30" ht="29.25" customHeight="1" x14ac:dyDescent="0.25">
      <c r="R1416" s="29"/>
      <c r="S1416" s="29"/>
      <c r="T1416" s="29"/>
      <c r="U1416" s="29"/>
      <c r="V1416" s="29"/>
      <c r="W1416" s="29"/>
      <c r="X1416" s="29"/>
      <c r="Y1416" s="29"/>
      <c r="Z1416" s="29"/>
      <c r="AA1416" s="29"/>
      <c r="AB1416" s="29"/>
      <c r="AC1416" s="29"/>
      <c r="AD1416" s="207"/>
    </row>
    <row r="1417" spans="18:30" ht="29.25" customHeight="1" x14ac:dyDescent="0.25">
      <c r="R1417" s="29"/>
      <c r="S1417" s="29"/>
      <c r="T1417" s="29"/>
      <c r="U1417" s="29"/>
      <c r="V1417" s="29"/>
      <c r="W1417" s="29"/>
      <c r="X1417" s="29"/>
      <c r="Y1417" s="29"/>
      <c r="Z1417" s="29"/>
      <c r="AA1417" s="29"/>
      <c r="AB1417" s="29"/>
      <c r="AC1417" s="29"/>
      <c r="AD1417" s="207"/>
    </row>
    <row r="1418" spans="18:30" ht="29.25" customHeight="1" x14ac:dyDescent="0.25">
      <c r="R1418" s="29"/>
      <c r="S1418" s="29"/>
      <c r="T1418" s="29"/>
      <c r="U1418" s="29"/>
      <c r="V1418" s="29"/>
      <c r="W1418" s="29"/>
      <c r="X1418" s="29"/>
      <c r="Y1418" s="29"/>
      <c r="Z1418" s="29"/>
      <c r="AA1418" s="29"/>
      <c r="AB1418" s="29"/>
      <c r="AC1418" s="29"/>
      <c r="AD1418" s="207"/>
    </row>
    <row r="1419" spans="18:30" ht="29.25" customHeight="1" x14ac:dyDescent="0.25">
      <c r="R1419" s="29"/>
      <c r="S1419" s="29"/>
      <c r="T1419" s="29"/>
      <c r="U1419" s="29"/>
      <c r="V1419" s="29"/>
      <c r="W1419" s="29"/>
      <c r="X1419" s="29"/>
      <c r="Y1419" s="29"/>
      <c r="Z1419" s="29"/>
      <c r="AA1419" s="29"/>
      <c r="AB1419" s="29"/>
      <c r="AC1419" s="29"/>
      <c r="AD1419" s="207"/>
    </row>
    <row r="1420" spans="18:30" ht="29.25" customHeight="1" x14ac:dyDescent="0.25">
      <c r="R1420" s="29"/>
      <c r="S1420" s="29"/>
      <c r="T1420" s="29"/>
      <c r="U1420" s="29"/>
      <c r="V1420" s="29"/>
      <c r="W1420" s="29"/>
      <c r="X1420" s="29"/>
      <c r="Y1420" s="29"/>
      <c r="Z1420" s="29"/>
      <c r="AA1420" s="29"/>
      <c r="AB1420" s="29"/>
      <c r="AC1420" s="29"/>
      <c r="AD1420" s="207"/>
    </row>
    <row r="1421" spans="18:30" ht="29.25" customHeight="1" x14ac:dyDescent="0.25">
      <c r="R1421" s="29"/>
      <c r="S1421" s="29"/>
      <c r="T1421" s="29"/>
      <c r="U1421" s="29"/>
      <c r="V1421" s="29"/>
      <c r="W1421" s="29"/>
      <c r="X1421" s="29"/>
      <c r="Y1421" s="29"/>
      <c r="Z1421" s="29"/>
      <c r="AA1421" s="29"/>
      <c r="AB1421" s="29"/>
      <c r="AC1421" s="29"/>
      <c r="AD1421" s="207"/>
    </row>
    <row r="1422" spans="18:30" ht="29.25" customHeight="1" x14ac:dyDescent="0.25">
      <c r="R1422" s="29"/>
      <c r="S1422" s="29"/>
      <c r="T1422" s="29"/>
      <c r="U1422" s="29"/>
      <c r="V1422" s="29"/>
      <c r="W1422" s="29"/>
      <c r="X1422" s="29"/>
      <c r="Y1422" s="29"/>
      <c r="Z1422" s="29"/>
      <c r="AA1422" s="29"/>
      <c r="AB1422" s="29"/>
      <c r="AC1422" s="29"/>
      <c r="AD1422" s="207"/>
    </row>
    <row r="1423" spans="18:30" ht="29.25" customHeight="1" x14ac:dyDescent="0.25">
      <c r="R1423" s="29"/>
      <c r="S1423" s="29"/>
      <c r="T1423" s="29"/>
      <c r="U1423" s="29"/>
      <c r="V1423" s="29"/>
      <c r="W1423" s="29"/>
      <c r="X1423" s="29"/>
      <c r="Y1423" s="29"/>
      <c r="Z1423" s="29"/>
      <c r="AA1423" s="29"/>
      <c r="AB1423" s="29"/>
      <c r="AC1423" s="29"/>
      <c r="AD1423" s="207"/>
    </row>
    <row r="1424" spans="18:30" ht="29.25" customHeight="1" x14ac:dyDescent="0.25">
      <c r="R1424" s="29"/>
      <c r="S1424" s="29"/>
      <c r="T1424" s="29"/>
      <c r="U1424" s="29"/>
      <c r="V1424" s="29"/>
      <c r="W1424" s="29"/>
      <c r="X1424" s="29"/>
      <c r="Y1424" s="29"/>
      <c r="Z1424" s="29"/>
      <c r="AA1424" s="29"/>
      <c r="AB1424" s="29"/>
      <c r="AC1424" s="29"/>
      <c r="AD1424" s="207"/>
    </row>
    <row r="1425" spans="18:30" ht="29.25" customHeight="1" x14ac:dyDescent="0.25">
      <c r="R1425" s="29"/>
      <c r="S1425" s="29"/>
      <c r="T1425" s="29"/>
      <c r="U1425" s="29"/>
      <c r="V1425" s="29"/>
      <c r="W1425" s="29"/>
      <c r="X1425" s="29"/>
      <c r="Y1425" s="29"/>
      <c r="Z1425" s="29"/>
      <c r="AA1425" s="29"/>
      <c r="AB1425" s="29"/>
      <c r="AC1425" s="29"/>
      <c r="AD1425" s="207"/>
    </row>
    <row r="1426" spans="18:30" ht="29.25" customHeight="1" x14ac:dyDescent="0.25">
      <c r="R1426" s="29"/>
      <c r="S1426" s="29"/>
      <c r="T1426" s="29"/>
      <c r="U1426" s="29"/>
      <c r="V1426" s="29"/>
      <c r="W1426" s="29"/>
      <c r="X1426" s="29"/>
      <c r="Y1426" s="29"/>
      <c r="Z1426" s="29"/>
      <c r="AA1426" s="29"/>
      <c r="AB1426" s="29"/>
      <c r="AC1426" s="29"/>
      <c r="AD1426" s="207"/>
    </row>
    <row r="1427" spans="18:30" ht="29.25" customHeight="1" x14ac:dyDescent="0.25">
      <c r="R1427" s="29"/>
      <c r="S1427" s="29"/>
      <c r="T1427" s="29"/>
      <c r="U1427" s="29"/>
      <c r="V1427" s="29"/>
      <c r="W1427" s="29"/>
      <c r="X1427" s="29"/>
      <c r="Y1427" s="29"/>
      <c r="Z1427" s="29"/>
      <c r="AA1427" s="29"/>
      <c r="AB1427" s="29"/>
      <c r="AC1427" s="29"/>
      <c r="AD1427" s="207"/>
    </row>
    <row r="1428" spans="18:30" ht="29.25" customHeight="1" x14ac:dyDescent="0.25">
      <c r="R1428" s="29"/>
      <c r="S1428" s="29"/>
      <c r="T1428" s="29"/>
      <c r="U1428" s="29"/>
      <c r="V1428" s="29"/>
      <c r="W1428" s="29"/>
      <c r="X1428" s="29"/>
      <c r="Y1428" s="29"/>
      <c r="Z1428" s="29"/>
      <c r="AA1428" s="29"/>
      <c r="AB1428" s="29"/>
      <c r="AC1428" s="29"/>
      <c r="AD1428" s="207"/>
    </row>
    <row r="1429" spans="18:30" ht="29.25" customHeight="1" x14ac:dyDescent="0.25">
      <c r="R1429" s="29"/>
      <c r="S1429" s="29"/>
      <c r="T1429" s="29"/>
      <c r="U1429" s="29"/>
      <c r="V1429" s="29"/>
      <c r="W1429" s="29"/>
      <c r="X1429" s="29"/>
      <c r="Y1429" s="29"/>
      <c r="Z1429" s="29"/>
      <c r="AA1429" s="29"/>
      <c r="AB1429" s="29"/>
      <c r="AC1429" s="29"/>
      <c r="AD1429" s="207"/>
    </row>
    <row r="1430" spans="18:30" ht="29.25" customHeight="1" x14ac:dyDescent="0.25">
      <c r="R1430" s="29"/>
      <c r="S1430" s="29"/>
      <c r="T1430" s="29"/>
      <c r="U1430" s="29"/>
      <c r="V1430" s="29"/>
      <c r="W1430" s="29"/>
      <c r="X1430" s="29"/>
      <c r="Y1430" s="29"/>
      <c r="Z1430" s="29"/>
      <c r="AA1430" s="29"/>
      <c r="AB1430" s="29"/>
      <c r="AC1430" s="29"/>
      <c r="AD1430" s="207"/>
    </row>
    <row r="1431" spans="18:30" ht="29.25" customHeight="1" x14ac:dyDescent="0.25">
      <c r="R1431" s="29"/>
      <c r="S1431" s="29"/>
      <c r="T1431" s="29"/>
      <c r="U1431" s="29"/>
      <c r="V1431" s="29"/>
      <c r="W1431" s="29"/>
      <c r="X1431" s="29"/>
      <c r="Y1431" s="29"/>
      <c r="Z1431" s="29"/>
      <c r="AA1431" s="29"/>
      <c r="AB1431" s="29"/>
      <c r="AC1431" s="29"/>
      <c r="AD1431" s="207"/>
    </row>
    <row r="1432" spans="18:30" ht="29.25" customHeight="1" x14ac:dyDescent="0.25">
      <c r="R1432" s="29"/>
      <c r="S1432" s="29"/>
      <c r="T1432" s="29"/>
      <c r="U1432" s="29"/>
      <c r="V1432" s="29"/>
      <c r="W1432" s="29"/>
      <c r="X1432" s="29"/>
      <c r="Y1432" s="29"/>
      <c r="Z1432" s="29"/>
      <c r="AA1432" s="29"/>
      <c r="AB1432" s="29"/>
      <c r="AC1432" s="29"/>
      <c r="AD1432" s="207"/>
    </row>
    <row r="1433" spans="18:30" ht="29.25" customHeight="1" x14ac:dyDescent="0.25">
      <c r="R1433" s="29"/>
      <c r="S1433" s="29"/>
      <c r="T1433" s="29"/>
      <c r="U1433" s="29"/>
      <c r="V1433" s="29"/>
      <c r="W1433" s="29"/>
      <c r="X1433" s="29"/>
      <c r="Y1433" s="29"/>
      <c r="Z1433" s="29"/>
      <c r="AA1433" s="29"/>
      <c r="AB1433" s="29"/>
      <c r="AC1433" s="29"/>
      <c r="AD1433" s="207"/>
    </row>
    <row r="1434" spans="18:30" ht="29.25" customHeight="1" x14ac:dyDescent="0.25">
      <c r="R1434" s="29"/>
      <c r="S1434" s="29"/>
      <c r="T1434" s="29"/>
      <c r="U1434" s="29"/>
      <c r="V1434" s="29"/>
      <c r="W1434" s="29"/>
      <c r="X1434" s="29"/>
      <c r="Y1434" s="29"/>
      <c r="Z1434" s="29"/>
      <c r="AA1434" s="29"/>
      <c r="AB1434" s="29"/>
      <c r="AC1434" s="29"/>
      <c r="AD1434" s="207"/>
    </row>
    <row r="1435" spans="18:30" ht="29.25" customHeight="1" x14ac:dyDescent="0.25">
      <c r="R1435" s="29"/>
      <c r="S1435" s="29"/>
      <c r="T1435" s="29"/>
      <c r="U1435" s="29"/>
      <c r="V1435" s="29"/>
      <c r="W1435" s="29"/>
      <c r="X1435" s="29"/>
      <c r="Y1435" s="29"/>
      <c r="Z1435" s="29"/>
      <c r="AA1435" s="29"/>
      <c r="AB1435" s="29"/>
      <c r="AC1435" s="29"/>
      <c r="AD1435" s="207"/>
    </row>
    <row r="1436" spans="18:30" ht="29.25" customHeight="1" x14ac:dyDescent="0.25">
      <c r="R1436" s="29"/>
      <c r="S1436" s="29"/>
      <c r="T1436" s="29"/>
      <c r="U1436" s="29"/>
      <c r="V1436" s="29"/>
      <c r="W1436" s="29"/>
      <c r="X1436" s="29"/>
      <c r="Y1436" s="29"/>
      <c r="Z1436" s="29"/>
      <c r="AA1436" s="29"/>
      <c r="AB1436" s="29"/>
      <c r="AC1436" s="29"/>
      <c r="AD1436" s="207"/>
    </row>
    <row r="1437" spans="18:30" ht="29.25" customHeight="1" x14ac:dyDescent="0.25">
      <c r="R1437" s="29"/>
      <c r="S1437" s="29"/>
      <c r="T1437" s="29"/>
      <c r="U1437" s="29"/>
      <c r="V1437" s="29"/>
      <c r="W1437" s="29"/>
      <c r="X1437" s="29"/>
      <c r="Y1437" s="29"/>
      <c r="Z1437" s="29"/>
      <c r="AA1437" s="29"/>
      <c r="AB1437" s="29"/>
      <c r="AC1437" s="29"/>
      <c r="AD1437" s="207"/>
    </row>
    <row r="1438" spans="18:30" ht="29.25" customHeight="1" x14ac:dyDescent="0.25">
      <c r="R1438" s="29"/>
      <c r="S1438" s="29"/>
      <c r="T1438" s="29"/>
      <c r="U1438" s="29"/>
      <c r="V1438" s="29"/>
      <c r="W1438" s="29"/>
      <c r="X1438" s="29"/>
      <c r="Y1438" s="29"/>
      <c r="Z1438" s="29"/>
      <c r="AA1438" s="29"/>
      <c r="AB1438" s="29"/>
      <c r="AC1438" s="29"/>
      <c r="AD1438" s="207"/>
    </row>
    <row r="1439" spans="18:30" ht="29.25" customHeight="1" x14ac:dyDescent="0.25">
      <c r="R1439" s="29"/>
      <c r="S1439" s="29"/>
      <c r="T1439" s="29"/>
      <c r="U1439" s="29"/>
      <c r="V1439" s="29"/>
      <c r="W1439" s="29"/>
      <c r="X1439" s="29"/>
      <c r="Y1439" s="29"/>
      <c r="Z1439" s="29"/>
      <c r="AA1439" s="29"/>
      <c r="AB1439" s="29"/>
      <c r="AC1439" s="29"/>
      <c r="AD1439" s="207"/>
    </row>
    <row r="1440" spans="18:30" ht="29.25" customHeight="1" x14ac:dyDescent="0.25">
      <c r="R1440" s="29"/>
      <c r="S1440" s="29"/>
      <c r="T1440" s="29"/>
      <c r="U1440" s="29"/>
      <c r="V1440" s="29"/>
      <c r="W1440" s="29"/>
      <c r="X1440" s="29"/>
      <c r="Y1440" s="29"/>
      <c r="Z1440" s="29"/>
      <c r="AA1440" s="29"/>
      <c r="AB1440" s="29"/>
      <c r="AC1440" s="29"/>
      <c r="AD1440" s="207"/>
    </row>
    <row r="1441" spans="18:30" ht="29.25" customHeight="1" x14ac:dyDescent="0.25">
      <c r="R1441" s="29"/>
      <c r="S1441" s="29"/>
      <c r="T1441" s="29"/>
      <c r="U1441" s="29"/>
      <c r="V1441" s="29"/>
      <c r="W1441" s="29"/>
      <c r="X1441" s="29"/>
      <c r="Y1441" s="29"/>
      <c r="Z1441" s="29"/>
      <c r="AA1441" s="29"/>
      <c r="AB1441" s="29"/>
      <c r="AC1441" s="29"/>
      <c r="AD1441" s="207"/>
    </row>
    <row r="1442" spans="18:30" ht="29.25" customHeight="1" x14ac:dyDescent="0.25">
      <c r="R1442" s="29"/>
      <c r="S1442" s="29"/>
      <c r="T1442" s="29"/>
      <c r="U1442" s="29"/>
      <c r="V1442" s="29"/>
      <c r="W1442" s="29"/>
      <c r="X1442" s="29"/>
      <c r="Y1442" s="29"/>
      <c r="Z1442" s="29"/>
      <c r="AA1442" s="29"/>
      <c r="AB1442" s="29"/>
      <c r="AC1442" s="29"/>
      <c r="AD1442" s="207"/>
    </row>
    <row r="1443" spans="18:30" ht="29.25" customHeight="1" x14ac:dyDescent="0.25">
      <c r="R1443" s="29"/>
      <c r="S1443" s="29"/>
      <c r="T1443" s="29"/>
      <c r="U1443" s="29"/>
      <c r="V1443" s="29"/>
      <c r="W1443" s="29"/>
      <c r="X1443" s="29"/>
      <c r="Y1443" s="29"/>
      <c r="Z1443" s="29"/>
      <c r="AA1443" s="29"/>
      <c r="AB1443" s="29"/>
      <c r="AC1443" s="29"/>
      <c r="AD1443" s="207"/>
    </row>
    <row r="1444" spans="18:30" ht="29.25" customHeight="1" x14ac:dyDescent="0.25">
      <c r="R1444" s="29"/>
      <c r="S1444" s="29"/>
      <c r="T1444" s="29"/>
      <c r="U1444" s="29"/>
      <c r="V1444" s="29"/>
      <c r="W1444" s="29"/>
      <c r="X1444" s="29"/>
      <c r="Y1444" s="29"/>
      <c r="Z1444" s="29"/>
      <c r="AA1444" s="29"/>
      <c r="AB1444" s="29"/>
      <c r="AC1444" s="29"/>
      <c r="AD1444" s="207"/>
    </row>
    <row r="1445" spans="18:30" ht="29.25" customHeight="1" x14ac:dyDescent="0.25">
      <c r="R1445" s="29"/>
      <c r="S1445" s="29"/>
      <c r="T1445" s="29"/>
      <c r="U1445" s="29"/>
      <c r="V1445" s="29"/>
      <c r="W1445" s="29"/>
      <c r="X1445" s="29"/>
      <c r="Y1445" s="29"/>
      <c r="Z1445" s="29"/>
      <c r="AA1445" s="29"/>
      <c r="AB1445" s="29"/>
      <c r="AC1445" s="29"/>
      <c r="AD1445" s="207"/>
    </row>
    <row r="1446" spans="18:30" ht="29.25" customHeight="1" x14ac:dyDescent="0.25">
      <c r="R1446" s="29"/>
      <c r="S1446" s="29"/>
      <c r="T1446" s="29"/>
      <c r="U1446" s="29"/>
      <c r="V1446" s="29"/>
      <c r="W1446" s="29"/>
      <c r="X1446" s="29"/>
      <c r="Y1446" s="29"/>
      <c r="Z1446" s="29"/>
      <c r="AA1446" s="29"/>
      <c r="AB1446" s="29"/>
      <c r="AC1446" s="29"/>
      <c r="AD1446" s="207"/>
    </row>
    <row r="1447" spans="18:30" ht="29.25" customHeight="1" x14ac:dyDescent="0.25">
      <c r="R1447" s="29"/>
      <c r="S1447" s="29"/>
      <c r="T1447" s="29"/>
      <c r="U1447" s="29"/>
      <c r="V1447" s="29"/>
      <c r="W1447" s="29"/>
      <c r="X1447" s="29"/>
      <c r="Y1447" s="29"/>
      <c r="Z1447" s="29"/>
      <c r="AA1447" s="29"/>
      <c r="AB1447" s="29"/>
      <c r="AC1447" s="29"/>
      <c r="AD1447" s="207"/>
    </row>
    <row r="1448" spans="18:30" ht="29.25" customHeight="1" x14ac:dyDescent="0.25">
      <c r="R1448" s="29"/>
      <c r="S1448" s="29"/>
      <c r="T1448" s="29"/>
      <c r="U1448" s="29"/>
      <c r="V1448" s="29"/>
      <c r="W1448" s="29"/>
      <c r="X1448" s="29"/>
      <c r="Y1448" s="29"/>
      <c r="Z1448" s="29"/>
      <c r="AA1448" s="29"/>
      <c r="AB1448" s="29"/>
      <c r="AC1448" s="29"/>
      <c r="AD1448" s="207"/>
    </row>
    <row r="1449" spans="18:30" ht="29.25" customHeight="1" x14ac:dyDescent="0.25">
      <c r="R1449" s="29"/>
      <c r="S1449" s="29"/>
      <c r="T1449" s="29"/>
      <c r="U1449" s="29"/>
      <c r="V1449" s="29"/>
      <c r="W1449" s="29"/>
      <c r="X1449" s="29"/>
      <c r="Y1449" s="29"/>
      <c r="Z1449" s="29"/>
      <c r="AA1449" s="29"/>
      <c r="AB1449" s="29"/>
      <c r="AC1449" s="29"/>
      <c r="AD1449" s="207"/>
    </row>
    <row r="1450" spans="18:30" ht="29.25" customHeight="1" x14ac:dyDescent="0.25">
      <c r="R1450" s="29"/>
      <c r="S1450" s="29"/>
      <c r="T1450" s="29"/>
      <c r="U1450" s="29"/>
      <c r="V1450" s="29"/>
      <c r="W1450" s="29"/>
      <c r="X1450" s="29"/>
      <c r="Y1450" s="29"/>
      <c r="Z1450" s="29"/>
      <c r="AA1450" s="29"/>
      <c r="AB1450" s="29"/>
      <c r="AC1450" s="29"/>
      <c r="AD1450" s="207"/>
    </row>
    <row r="1451" spans="18:30" ht="29.25" customHeight="1" x14ac:dyDescent="0.25">
      <c r="R1451" s="29"/>
      <c r="S1451" s="29"/>
      <c r="T1451" s="29"/>
      <c r="U1451" s="29"/>
      <c r="V1451" s="29"/>
      <c r="W1451" s="29"/>
      <c r="X1451" s="29"/>
      <c r="Y1451" s="29"/>
      <c r="Z1451" s="29"/>
      <c r="AA1451" s="29"/>
      <c r="AB1451" s="29"/>
      <c r="AC1451" s="29"/>
      <c r="AD1451" s="207"/>
    </row>
    <row r="1452" spans="18:30" ht="29.25" customHeight="1" x14ac:dyDescent="0.25">
      <c r="R1452" s="29"/>
      <c r="S1452" s="29"/>
      <c r="T1452" s="29"/>
      <c r="U1452" s="29"/>
      <c r="V1452" s="29"/>
      <c r="W1452" s="29"/>
      <c r="X1452" s="29"/>
      <c r="Y1452" s="29"/>
      <c r="Z1452" s="29"/>
      <c r="AA1452" s="29"/>
      <c r="AB1452" s="29"/>
      <c r="AC1452" s="29"/>
      <c r="AD1452" s="207"/>
    </row>
    <row r="1453" spans="18:30" ht="29.25" customHeight="1" x14ac:dyDescent="0.25">
      <c r="R1453" s="29"/>
      <c r="S1453" s="29"/>
      <c r="T1453" s="29"/>
      <c r="U1453" s="29"/>
      <c r="V1453" s="29"/>
      <c r="W1453" s="29"/>
      <c r="X1453" s="29"/>
      <c r="Y1453" s="29"/>
      <c r="Z1453" s="29"/>
      <c r="AA1453" s="29"/>
      <c r="AB1453" s="29"/>
      <c r="AC1453" s="29"/>
      <c r="AD1453" s="207"/>
    </row>
    <row r="1454" spans="18:30" ht="29.25" customHeight="1" x14ac:dyDescent="0.25">
      <c r="R1454" s="29"/>
      <c r="S1454" s="29"/>
      <c r="T1454" s="29"/>
      <c r="U1454" s="29"/>
      <c r="V1454" s="29"/>
      <c r="W1454" s="29"/>
      <c r="X1454" s="29"/>
      <c r="Y1454" s="29"/>
      <c r="Z1454" s="29"/>
      <c r="AA1454" s="29"/>
      <c r="AB1454" s="29"/>
      <c r="AC1454" s="29"/>
      <c r="AD1454" s="207"/>
    </row>
    <row r="1455" spans="18:30" ht="29.25" customHeight="1" x14ac:dyDescent="0.25">
      <c r="R1455" s="29"/>
      <c r="S1455" s="29"/>
      <c r="T1455" s="29"/>
      <c r="U1455" s="29"/>
      <c r="V1455" s="29"/>
      <c r="W1455" s="29"/>
      <c r="X1455" s="29"/>
      <c r="Y1455" s="29"/>
      <c r="Z1455" s="29"/>
      <c r="AA1455" s="29"/>
      <c r="AB1455" s="29"/>
      <c r="AC1455" s="29"/>
      <c r="AD1455" s="207"/>
    </row>
    <row r="1456" spans="18:30" ht="29.25" customHeight="1" x14ac:dyDescent="0.25">
      <c r="R1456" s="29"/>
      <c r="S1456" s="29"/>
      <c r="T1456" s="29"/>
      <c r="U1456" s="29"/>
      <c r="V1456" s="29"/>
      <c r="W1456" s="29"/>
      <c r="X1456" s="29"/>
      <c r="Y1456" s="29"/>
      <c r="Z1456" s="29"/>
      <c r="AA1456" s="29"/>
      <c r="AB1456" s="29"/>
      <c r="AC1456" s="29"/>
      <c r="AD1456" s="207"/>
    </row>
    <row r="1457" spans="18:30" ht="29.25" customHeight="1" x14ac:dyDescent="0.25">
      <c r="R1457" s="29"/>
      <c r="S1457" s="29"/>
      <c r="T1457" s="29"/>
      <c r="U1457" s="29"/>
      <c r="V1457" s="29"/>
      <c r="W1457" s="29"/>
      <c r="X1457" s="29"/>
      <c r="Y1457" s="29"/>
      <c r="Z1457" s="29"/>
      <c r="AA1457" s="29"/>
      <c r="AB1457" s="29"/>
      <c r="AC1457" s="29"/>
      <c r="AD1457" s="207"/>
    </row>
    <row r="1458" spans="18:30" ht="29.25" customHeight="1" x14ac:dyDescent="0.25">
      <c r="R1458" s="29"/>
      <c r="S1458" s="29"/>
      <c r="T1458" s="29"/>
      <c r="U1458" s="29"/>
      <c r="V1458" s="29"/>
      <c r="W1458" s="29"/>
      <c r="X1458" s="29"/>
      <c r="Y1458" s="29"/>
      <c r="Z1458" s="29"/>
      <c r="AA1458" s="29"/>
      <c r="AB1458" s="29"/>
      <c r="AC1458" s="29"/>
      <c r="AD1458" s="207"/>
    </row>
    <row r="1459" spans="18:30" ht="29.25" customHeight="1" x14ac:dyDescent="0.25">
      <c r="R1459" s="29"/>
      <c r="S1459" s="29"/>
      <c r="T1459" s="29"/>
      <c r="U1459" s="29"/>
      <c r="V1459" s="29"/>
      <c r="W1459" s="29"/>
      <c r="X1459" s="29"/>
      <c r="Y1459" s="29"/>
      <c r="Z1459" s="29"/>
      <c r="AA1459" s="29"/>
      <c r="AB1459" s="29"/>
      <c r="AC1459" s="29"/>
      <c r="AD1459" s="207"/>
    </row>
    <row r="1460" spans="18:30" ht="29.25" customHeight="1" x14ac:dyDescent="0.25">
      <c r="R1460" s="29"/>
      <c r="S1460" s="29"/>
      <c r="T1460" s="29"/>
      <c r="U1460" s="29"/>
      <c r="V1460" s="29"/>
      <c r="W1460" s="29"/>
      <c r="X1460" s="29"/>
      <c r="Y1460" s="29"/>
      <c r="Z1460" s="29"/>
      <c r="AA1460" s="29"/>
      <c r="AB1460" s="29"/>
      <c r="AC1460" s="29"/>
      <c r="AD1460" s="207"/>
    </row>
    <row r="1461" spans="18:30" ht="29.25" customHeight="1" x14ac:dyDescent="0.25">
      <c r="R1461" s="29"/>
      <c r="S1461" s="29"/>
      <c r="T1461" s="29"/>
      <c r="U1461" s="29"/>
      <c r="V1461" s="29"/>
      <c r="W1461" s="29"/>
      <c r="X1461" s="29"/>
      <c r="Y1461" s="29"/>
      <c r="Z1461" s="29"/>
      <c r="AA1461" s="29"/>
      <c r="AB1461" s="29"/>
      <c r="AC1461" s="29"/>
      <c r="AD1461" s="207"/>
    </row>
    <row r="1462" spans="18:30" ht="29.25" customHeight="1" x14ac:dyDescent="0.25">
      <c r="R1462" s="29"/>
      <c r="S1462" s="29"/>
      <c r="T1462" s="29"/>
      <c r="U1462" s="29"/>
      <c r="V1462" s="29"/>
      <c r="W1462" s="29"/>
      <c r="X1462" s="29"/>
      <c r="Y1462" s="29"/>
      <c r="Z1462" s="29"/>
      <c r="AA1462" s="29"/>
      <c r="AB1462" s="29"/>
      <c r="AC1462" s="29"/>
      <c r="AD1462" s="207"/>
    </row>
    <row r="1463" spans="18:30" ht="29.25" customHeight="1" x14ac:dyDescent="0.25">
      <c r="R1463" s="29"/>
      <c r="S1463" s="29"/>
      <c r="T1463" s="29"/>
      <c r="U1463" s="29"/>
      <c r="V1463" s="29"/>
      <c r="W1463" s="29"/>
      <c r="X1463" s="29"/>
      <c r="Y1463" s="29"/>
      <c r="Z1463" s="29"/>
      <c r="AA1463" s="29"/>
      <c r="AB1463" s="29"/>
      <c r="AC1463" s="29"/>
      <c r="AD1463" s="207"/>
    </row>
    <row r="1464" spans="18:30" ht="29.25" customHeight="1" x14ac:dyDescent="0.25">
      <c r="R1464" s="29"/>
      <c r="S1464" s="29"/>
      <c r="T1464" s="29"/>
      <c r="U1464" s="29"/>
      <c r="V1464" s="29"/>
      <c r="W1464" s="29"/>
      <c r="X1464" s="29"/>
      <c r="Y1464" s="29"/>
      <c r="Z1464" s="29"/>
      <c r="AA1464" s="29"/>
      <c r="AB1464" s="29"/>
      <c r="AC1464" s="29"/>
      <c r="AD1464" s="207"/>
    </row>
    <row r="1465" spans="18:30" ht="29.25" customHeight="1" x14ac:dyDescent="0.25">
      <c r="R1465" s="29"/>
      <c r="S1465" s="29"/>
      <c r="T1465" s="29"/>
      <c r="U1465" s="29"/>
      <c r="V1465" s="29"/>
      <c r="W1465" s="29"/>
      <c r="X1465" s="29"/>
      <c r="Y1465" s="29"/>
      <c r="Z1465" s="29"/>
      <c r="AA1465" s="29"/>
      <c r="AB1465" s="29"/>
      <c r="AC1465" s="29"/>
      <c r="AD1465" s="207"/>
    </row>
    <row r="1466" spans="18:30" ht="29.25" customHeight="1" x14ac:dyDescent="0.25">
      <c r="R1466" s="29"/>
      <c r="S1466" s="29"/>
      <c r="T1466" s="29"/>
      <c r="U1466" s="29"/>
      <c r="V1466" s="29"/>
      <c r="W1466" s="29"/>
      <c r="X1466" s="29"/>
      <c r="Y1466" s="29"/>
      <c r="Z1466" s="29"/>
      <c r="AA1466" s="29"/>
      <c r="AB1466" s="29"/>
      <c r="AC1466" s="29"/>
      <c r="AD1466" s="207"/>
    </row>
    <row r="1467" spans="18:30" ht="29.25" customHeight="1" x14ac:dyDescent="0.25">
      <c r="R1467" s="29"/>
      <c r="S1467" s="29"/>
      <c r="T1467" s="29"/>
      <c r="U1467" s="29"/>
      <c r="V1467" s="29"/>
      <c r="W1467" s="29"/>
      <c r="X1467" s="29"/>
      <c r="Y1467" s="29"/>
      <c r="Z1467" s="29"/>
      <c r="AA1467" s="29"/>
      <c r="AB1467" s="29"/>
      <c r="AC1467" s="29"/>
      <c r="AD1467" s="207"/>
    </row>
    <row r="1468" spans="18:30" ht="29.25" customHeight="1" x14ac:dyDescent="0.25">
      <c r="R1468" s="29"/>
      <c r="S1468" s="29"/>
      <c r="T1468" s="29"/>
      <c r="U1468" s="29"/>
      <c r="V1468" s="29"/>
      <c r="W1468" s="29"/>
      <c r="X1468" s="29"/>
      <c r="Y1468" s="29"/>
      <c r="Z1468" s="29"/>
      <c r="AA1468" s="29"/>
      <c r="AB1468" s="29"/>
      <c r="AC1468" s="29"/>
      <c r="AD1468" s="207"/>
    </row>
    <row r="1469" spans="18:30" ht="29.25" customHeight="1" x14ac:dyDescent="0.25">
      <c r="R1469" s="29"/>
      <c r="S1469" s="29"/>
      <c r="T1469" s="29"/>
      <c r="U1469" s="29"/>
      <c r="V1469" s="29"/>
      <c r="W1469" s="29"/>
      <c r="X1469" s="29"/>
      <c r="Y1469" s="29"/>
      <c r="Z1469" s="29"/>
      <c r="AA1469" s="29"/>
      <c r="AB1469" s="29"/>
      <c r="AC1469" s="29"/>
      <c r="AD1469" s="207"/>
    </row>
    <row r="1470" spans="18:30" ht="29.25" customHeight="1" x14ac:dyDescent="0.25">
      <c r="R1470" s="29"/>
      <c r="S1470" s="29"/>
      <c r="T1470" s="29"/>
      <c r="U1470" s="29"/>
      <c r="V1470" s="29"/>
      <c r="W1470" s="29"/>
      <c r="X1470" s="29"/>
      <c r="Y1470" s="29"/>
      <c r="Z1470" s="29"/>
      <c r="AA1470" s="29"/>
      <c r="AB1470" s="29"/>
      <c r="AC1470" s="29"/>
      <c r="AD1470" s="207"/>
    </row>
    <row r="1471" spans="18:30" ht="29.25" customHeight="1" x14ac:dyDescent="0.25">
      <c r="R1471" s="29"/>
      <c r="S1471" s="29"/>
      <c r="T1471" s="29"/>
      <c r="U1471" s="29"/>
      <c r="V1471" s="29"/>
      <c r="W1471" s="29"/>
      <c r="X1471" s="29"/>
      <c r="Y1471" s="29"/>
      <c r="Z1471" s="29"/>
      <c r="AA1471" s="29"/>
      <c r="AB1471" s="29"/>
      <c r="AC1471" s="29"/>
      <c r="AD1471" s="207"/>
    </row>
    <row r="1472" spans="18:30" ht="29.25" customHeight="1" x14ac:dyDescent="0.25">
      <c r="R1472" s="29"/>
      <c r="S1472" s="29"/>
      <c r="T1472" s="29"/>
      <c r="U1472" s="29"/>
      <c r="V1472" s="29"/>
      <c r="W1472" s="29"/>
      <c r="X1472" s="29"/>
      <c r="Y1472" s="29"/>
      <c r="Z1472" s="29"/>
      <c r="AA1472" s="29"/>
      <c r="AB1472" s="29"/>
      <c r="AC1472" s="29"/>
      <c r="AD1472" s="207"/>
    </row>
    <row r="1473" spans="18:30" ht="29.25" customHeight="1" x14ac:dyDescent="0.25">
      <c r="R1473" s="29"/>
      <c r="S1473" s="29"/>
      <c r="T1473" s="29"/>
      <c r="U1473" s="29"/>
      <c r="V1473" s="29"/>
      <c r="W1473" s="29"/>
      <c r="X1473" s="29"/>
      <c r="Y1473" s="29"/>
      <c r="Z1473" s="29"/>
      <c r="AA1473" s="29"/>
      <c r="AB1473" s="29"/>
      <c r="AC1473" s="29"/>
      <c r="AD1473" s="207"/>
    </row>
    <row r="1474" spans="18:30" ht="29.25" customHeight="1" x14ac:dyDescent="0.25">
      <c r="R1474" s="29"/>
      <c r="S1474" s="29"/>
      <c r="T1474" s="29"/>
      <c r="U1474" s="29"/>
      <c r="V1474" s="29"/>
      <c r="W1474" s="29"/>
      <c r="X1474" s="29"/>
      <c r="Y1474" s="29"/>
      <c r="Z1474" s="29"/>
      <c r="AA1474" s="29"/>
      <c r="AB1474" s="29"/>
      <c r="AC1474" s="29"/>
      <c r="AD1474" s="207"/>
    </row>
    <row r="1475" spans="18:30" ht="29.25" customHeight="1" x14ac:dyDescent="0.25">
      <c r="R1475" s="29"/>
      <c r="S1475" s="29"/>
      <c r="T1475" s="29"/>
      <c r="U1475" s="29"/>
      <c r="V1475" s="29"/>
      <c r="W1475" s="29"/>
      <c r="X1475" s="29"/>
      <c r="Y1475" s="29"/>
      <c r="Z1475" s="29"/>
      <c r="AA1475" s="29"/>
      <c r="AB1475" s="29"/>
      <c r="AC1475" s="29"/>
      <c r="AD1475" s="207"/>
    </row>
    <row r="1476" spans="18:30" ht="29.25" customHeight="1" x14ac:dyDescent="0.25">
      <c r="R1476" s="29"/>
      <c r="S1476" s="29"/>
      <c r="T1476" s="29"/>
      <c r="U1476" s="29"/>
      <c r="V1476" s="29"/>
      <c r="W1476" s="29"/>
      <c r="X1476" s="29"/>
      <c r="Y1476" s="29"/>
      <c r="Z1476" s="29"/>
      <c r="AA1476" s="29"/>
      <c r="AB1476" s="29"/>
      <c r="AC1476" s="29"/>
      <c r="AD1476" s="207"/>
    </row>
    <row r="1477" spans="18:30" ht="29.25" customHeight="1" x14ac:dyDescent="0.25">
      <c r="R1477" s="29"/>
      <c r="S1477" s="29"/>
      <c r="T1477" s="29"/>
      <c r="U1477" s="29"/>
      <c r="V1477" s="29"/>
      <c r="W1477" s="29"/>
      <c r="X1477" s="29"/>
      <c r="Y1477" s="29"/>
      <c r="Z1477" s="29"/>
      <c r="AA1477" s="29"/>
      <c r="AB1477" s="29"/>
      <c r="AC1477" s="29"/>
      <c r="AD1477" s="207"/>
    </row>
    <row r="1478" spans="18:30" ht="29.25" customHeight="1" x14ac:dyDescent="0.25">
      <c r="R1478" s="29"/>
      <c r="S1478" s="29"/>
      <c r="T1478" s="29"/>
      <c r="U1478" s="29"/>
      <c r="V1478" s="29"/>
      <c r="W1478" s="29"/>
      <c r="X1478" s="29"/>
      <c r="Y1478" s="29"/>
      <c r="Z1478" s="29"/>
      <c r="AA1478" s="29"/>
      <c r="AB1478" s="29"/>
      <c r="AC1478" s="29"/>
      <c r="AD1478" s="207"/>
    </row>
    <row r="1479" spans="18:30" ht="29.25" customHeight="1" x14ac:dyDescent="0.25">
      <c r="R1479" s="29"/>
      <c r="S1479" s="29"/>
      <c r="T1479" s="29"/>
      <c r="U1479" s="29"/>
      <c r="V1479" s="29"/>
      <c r="W1479" s="29"/>
      <c r="X1479" s="29"/>
      <c r="Y1479" s="29"/>
      <c r="Z1479" s="29"/>
      <c r="AA1479" s="29"/>
      <c r="AB1479" s="29"/>
      <c r="AC1479" s="29"/>
      <c r="AD1479" s="207"/>
    </row>
    <row r="1480" spans="18:30" ht="29.25" customHeight="1" x14ac:dyDescent="0.25">
      <c r="R1480" s="29"/>
      <c r="S1480" s="29"/>
      <c r="T1480" s="29"/>
      <c r="U1480" s="29"/>
      <c r="V1480" s="29"/>
      <c r="W1480" s="29"/>
      <c r="X1480" s="29"/>
      <c r="Y1480" s="29"/>
      <c r="Z1480" s="29"/>
      <c r="AA1480" s="29"/>
      <c r="AB1480" s="29"/>
      <c r="AC1480" s="29"/>
      <c r="AD1480" s="207"/>
    </row>
    <row r="1481" spans="18:30" ht="29.25" customHeight="1" x14ac:dyDescent="0.25">
      <c r="R1481" s="29"/>
      <c r="S1481" s="29"/>
      <c r="T1481" s="29"/>
      <c r="U1481" s="29"/>
      <c r="V1481" s="29"/>
      <c r="W1481" s="29"/>
      <c r="X1481" s="29"/>
      <c r="Y1481" s="29"/>
      <c r="Z1481" s="29"/>
      <c r="AA1481" s="29"/>
      <c r="AB1481" s="29"/>
      <c r="AC1481" s="29"/>
      <c r="AD1481" s="207"/>
    </row>
    <row r="1482" spans="18:30" ht="29.25" customHeight="1" x14ac:dyDescent="0.25">
      <c r="R1482" s="29"/>
      <c r="S1482" s="29"/>
      <c r="T1482" s="29"/>
      <c r="U1482" s="29"/>
      <c r="V1482" s="29"/>
      <c r="W1482" s="29"/>
      <c r="X1482" s="29"/>
      <c r="Y1482" s="29"/>
      <c r="Z1482" s="29"/>
      <c r="AA1482" s="29"/>
      <c r="AB1482" s="29"/>
      <c r="AC1482" s="29"/>
      <c r="AD1482" s="207"/>
    </row>
    <row r="1483" spans="18:30" ht="29.25" customHeight="1" x14ac:dyDescent="0.25">
      <c r="R1483" s="29"/>
      <c r="S1483" s="29"/>
      <c r="T1483" s="29"/>
      <c r="U1483" s="29"/>
      <c r="V1483" s="29"/>
      <c r="W1483" s="29"/>
      <c r="X1483" s="29"/>
      <c r="Y1483" s="29"/>
      <c r="Z1483" s="29"/>
      <c r="AA1483" s="29"/>
      <c r="AB1483" s="29"/>
      <c r="AC1483" s="29"/>
      <c r="AD1483" s="207"/>
    </row>
    <row r="1484" spans="18:30" ht="29.25" customHeight="1" x14ac:dyDescent="0.25">
      <c r="R1484" s="29"/>
      <c r="S1484" s="29"/>
      <c r="T1484" s="29"/>
      <c r="U1484" s="29"/>
      <c r="V1484" s="29"/>
      <c r="W1484" s="29"/>
      <c r="X1484" s="29"/>
      <c r="Y1484" s="29"/>
      <c r="Z1484" s="29"/>
      <c r="AA1484" s="29"/>
      <c r="AB1484" s="29"/>
      <c r="AC1484" s="29"/>
      <c r="AD1484" s="207"/>
    </row>
    <row r="1485" spans="18:30" ht="29.25" customHeight="1" x14ac:dyDescent="0.25">
      <c r="R1485" s="29"/>
      <c r="S1485" s="29"/>
      <c r="T1485" s="29"/>
      <c r="U1485" s="29"/>
      <c r="V1485" s="29"/>
      <c r="W1485" s="29"/>
      <c r="X1485" s="29"/>
      <c r="Y1485" s="29"/>
      <c r="Z1485" s="29"/>
      <c r="AA1485" s="29"/>
      <c r="AB1485" s="29"/>
      <c r="AC1485" s="29"/>
      <c r="AD1485" s="207"/>
    </row>
    <row r="1486" spans="18:30" ht="29.25" customHeight="1" x14ac:dyDescent="0.25">
      <c r="R1486" s="29"/>
      <c r="S1486" s="29"/>
      <c r="T1486" s="29"/>
      <c r="U1486" s="29"/>
      <c r="V1486" s="29"/>
      <c r="W1486" s="29"/>
      <c r="X1486" s="29"/>
      <c r="Y1486" s="29"/>
      <c r="Z1486" s="29"/>
      <c r="AA1486" s="29"/>
      <c r="AB1486" s="29"/>
      <c r="AC1486" s="29"/>
      <c r="AD1486" s="207"/>
    </row>
    <row r="1487" spans="18:30" ht="29.25" customHeight="1" x14ac:dyDescent="0.25">
      <c r="R1487" s="29"/>
      <c r="S1487" s="29"/>
      <c r="T1487" s="29"/>
      <c r="U1487" s="29"/>
      <c r="V1487" s="29"/>
      <c r="W1487" s="29"/>
      <c r="X1487" s="29"/>
      <c r="Y1487" s="29"/>
      <c r="Z1487" s="29"/>
      <c r="AA1487" s="29"/>
      <c r="AB1487" s="29"/>
      <c r="AC1487" s="29"/>
      <c r="AD1487" s="207"/>
    </row>
    <row r="1488" spans="18:30" ht="29.25" customHeight="1" x14ac:dyDescent="0.25">
      <c r="R1488" s="29"/>
      <c r="S1488" s="29"/>
      <c r="T1488" s="29"/>
      <c r="U1488" s="29"/>
      <c r="V1488" s="29"/>
      <c r="W1488" s="29"/>
      <c r="X1488" s="29"/>
      <c r="Y1488" s="29"/>
      <c r="Z1488" s="29"/>
      <c r="AA1488" s="29"/>
      <c r="AB1488" s="29"/>
      <c r="AC1488" s="29"/>
      <c r="AD1488" s="207"/>
    </row>
    <row r="1489" spans="18:30" ht="29.25" customHeight="1" x14ac:dyDescent="0.25">
      <c r="R1489" s="29"/>
      <c r="S1489" s="29"/>
      <c r="T1489" s="29"/>
      <c r="U1489" s="29"/>
      <c r="V1489" s="29"/>
      <c r="W1489" s="29"/>
      <c r="X1489" s="29"/>
      <c r="Y1489" s="29"/>
      <c r="Z1489" s="29"/>
      <c r="AA1489" s="29"/>
      <c r="AB1489" s="29"/>
      <c r="AC1489" s="29"/>
      <c r="AD1489" s="207"/>
    </row>
    <row r="1490" spans="18:30" ht="29.25" customHeight="1" x14ac:dyDescent="0.25">
      <c r="R1490" s="29"/>
      <c r="S1490" s="29"/>
      <c r="T1490" s="29"/>
      <c r="U1490" s="29"/>
      <c r="V1490" s="29"/>
      <c r="W1490" s="29"/>
      <c r="X1490" s="29"/>
      <c r="Y1490" s="29"/>
      <c r="Z1490" s="29"/>
      <c r="AA1490" s="29"/>
      <c r="AB1490" s="29"/>
      <c r="AC1490" s="29"/>
      <c r="AD1490" s="207"/>
    </row>
    <row r="1491" spans="18:30" ht="29.25" customHeight="1" x14ac:dyDescent="0.25">
      <c r="R1491" s="29"/>
      <c r="S1491" s="29"/>
      <c r="T1491" s="29"/>
      <c r="U1491" s="29"/>
      <c r="V1491" s="29"/>
      <c r="W1491" s="29"/>
      <c r="X1491" s="29"/>
      <c r="Y1491" s="29"/>
      <c r="Z1491" s="29"/>
      <c r="AA1491" s="29"/>
      <c r="AB1491" s="29"/>
      <c r="AC1491" s="29"/>
      <c r="AD1491" s="207"/>
    </row>
    <row r="1492" spans="18:30" ht="29.25" customHeight="1" x14ac:dyDescent="0.25">
      <c r="R1492" s="29"/>
      <c r="S1492" s="29"/>
      <c r="T1492" s="29"/>
      <c r="U1492" s="29"/>
      <c r="V1492" s="29"/>
      <c r="W1492" s="29"/>
      <c r="X1492" s="29"/>
      <c r="Y1492" s="29"/>
      <c r="Z1492" s="29"/>
      <c r="AA1492" s="29"/>
      <c r="AB1492" s="29"/>
      <c r="AC1492" s="29"/>
      <c r="AD1492" s="207"/>
    </row>
    <row r="1493" spans="18:30" ht="29.25" customHeight="1" x14ac:dyDescent="0.25">
      <c r="R1493" s="29"/>
      <c r="S1493" s="29"/>
      <c r="T1493" s="29"/>
      <c r="U1493" s="29"/>
      <c r="V1493" s="29"/>
      <c r="W1493" s="29"/>
      <c r="X1493" s="29"/>
      <c r="Y1493" s="29"/>
      <c r="Z1493" s="29"/>
      <c r="AA1493" s="29"/>
      <c r="AB1493" s="29"/>
      <c r="AC1493" s="29"/>
      <c r="AD1493" s="207"/>
    </row>
    <row r="1494" spans="18:30" ht="29.25" customHeight="1" x14ac:dyDescent="0.25">
      <c r="R1494" s="29"/>
      <c r="S1494" s="29"/>
      <c r="T1494" s="29"/>
      <c r="U1494" s="29"/>
      <c r="V1494" s="29"/>
      <c r="W1494" s="29"/>
      <c r="X1494" s="29"/>
      <c r="Y1494" s="29"/>
      <c r="Z1494" s="29"/>
      <c r="AA1494" s="29"/>
      <c r="AB1494" s="29"/>
      <c r="AC1494" s="29"/>
      <c r="AD1494" s="207"/>
    </row>
    <row r="1495" spans="18:30" ht="29.25" customHeight="1" x14ac:dyDescent="0.25">
      <c r="R1495" s="29"/>
      <c r="S1495" s="29"/>
      <c r="T1495" s="29"/>
      <c r="U1495" s="29"/>
      <c r="V1495" s="29"/>
      <c r="W1495" s="29"/>
      <c r="X1495" s="29"/>
      <c r="Y1495" s="29"/>
      <c r="Z1495" s="29"/>
      <c r="AA1495" s="29"/>
      <c r="AB1495" s="29"/>
      <c r="AC1495" s="29"/>
      <c r="AD1495" s="207"/>
    </row>
    <row r="1496" spans="18:30" ht="29.25" customHeight="1" x14ac:dyDescent="0.25">
      <c r="R1496" s="29"/>
      <c r="S1496" s="29"/>
      <c r="T1496" s="29"/>
      <c r="U1496" s="29"/>
      <c r="V1496" s="29"/>
      <c r="W1496" s="29"/>
      <c r="X1496" s="29"/>
      <c r="Y1496" s="29"/>
      <c r="Z1496" s="29"/>
      <c r="AA1496" s="29"/>
      <c r="AB1496" s="29"/>
      <c r="AC1496" s="29"/>
      <c r="AD1496" s="207"/>
    </row>
    <row r="1497" spans="18:30" ht="29.25" customHeight="1" x14ac:dyDescent="0.25">
      <c r="R1497" s="29"/>
      <c r="S1497" s="29"/>
      <c r="T1497" s="29"/>
      <c r="U1497" s="29"/>
      <c r="V1497" s="29"/>
      <c r="W1497" s="29"/>
      <c r="X1497" s="29"/>
      <c r="Y1497" s="29"/>
      <c r="Z1497" s="29"/>
      <c r="AA1497" s="29"/>
      <c r="AB1497" s="29"/>
      <c r="AC1497" s="29"/>
      <c r="AD1497" s="207"/>
    </row>
    <row r="1498" spans="18:30" ht="29.25" customHeight="1" x14ac:dyDescent="0.25">
      <c r="R1498" s="29"/>
      <c r="S1498" s="29"/>
      <c r="T1498" s="29"/>
      <c r="U1498" s="29"/>
      <c r="V1498" s="29"/>
      <c r="W1498" s="29"/>
      <c r="X1498" s="29"/>
      <c r="Y1498" s="29"/>
      <c r="Z1498" s="29"/>
      <c r="AA1498" s="29"/>
      <c r="AB1498" s="29"/>
      <c r="AC1498" s="29"/>
      <c r="AD1498" s="207"/>
    </row>
    <row r="1499" spans="18:30" ht="29.25" customHeight="1" x14ac:dyDescent="0.25">
      <c r="R1499" s="29"/>
      <c r="S1499" s="29"/>
      <c r="T1499" s="29"/>
      <c r="U1499" s="29"/>
      <c r="V1499" s="29"/>
      <c r="W1499" s="29"/>
      <c r="X1499" s="29"/>
      <c r="Y1499" s="29"/>
      <c r="Z1499" s="29"/>
      <c r="AA1499" s="29"/>
      <c r="AB1499" s="29"/>
      <c r="AC1499" s="29"/>
      <c r="AD1499" s="207"/>
    </row>
    <row r="1500" spans="18:30" ht="29.25" customHeight="1" x14ac:dyDescent="0.25">
      <c r="R1500" s="29"/>
      <c r="S1500" s="29"/>
      <c r="T1500" s="29"/>
      <c r="U1500" s="29"/>
      <c r="V1500" s="29"/>
      <c r="W1500" s="29"/>
      <c r="X1500" s="29"/>
      <c r="Y1500" s="29"/>
      <c r="Z1500" s="29"/>
      <c r="AA1500" s="29"/>
      <c r="AB1500" s="29"/>
      <c r="AC1500" s="29"/>
      <c r="AD1500" s="207"/>
    </row>
    <row r="1501" spans="18:30" ht="29.25" customHeight="1" x14ac:dyDescent="0.25">
      <c r="R1501" s="29"/>
      <c r="S1501" s="29"/>
      <c r="T1501" s="29"/>
      <c r="U1501" s="29"/>
      <c r="V1501" s="29"/>
      <c r="W1501" s="29"/>
      <c r="X1501" s="29"/>
      <c r="Y1501" s="29"/>
      <c r="Z1501" s="29"/>
      <c r="AA1501" s="29"/>
      <c r="AB1501" s="29"/>
      <c r="AC1501" s="29"/>
      <c r="AD1501" s="207"/>
    </row>
    <row r="1502" spans="18:30" ht="29.25" customHeight="1" x14ac:dyDescent="0.25">
      <c r="R1502" s="29"/>
      <c r="S1502" s="29"/>
      <c r="T1502" s="29"/>
      <c r="U1502" s="29"/>
      <c r="V1502" s="29"/>
      <c r="W1502" s="29"/>
      <c r="X1502" s="29"/>
      <c r="Y1502" s="29"/>
      <c r="Z1502" s="29"/>
      <c r="AA1502" s="29"/>
      <c r="AB1502" s="29"/>
      <c r="AC1502" s="29"/>
      <c r="AD1502" s="207"/>
    </row>
    <row r="1503" spans="18:30" ht="29.25" customHeight="1" x14ac:dyDescent="0.25">
      <c r="R1503" s="29"/>
      <c r="S1503" s="29"/>
      <c r="T1503" s="29"/>
      <c r="U1503" s="29"/>
      <c r="V1503" s="29"/>
      <c r="W1503" s="29"/>
      <c r="X1503" s="29"/>
      <c r="Y1503" s="29"/>
      <c r="Z1503" s="29"/>
      <c r="AA1503" s="29"/>
      <c r="AB1503" s="29"/>
      <c r="AC1503" s="29"/>
      <c r="AD1503" s="207"/>
    </row>
    <row r="1504" spans="18:30" ht="29.25" customHeight="1" x14ac:dyDescent="0.25">
      <c r="R1504" s="29"/>
      <c r="S1504" s="29"/>
      <c r="T1504" s="29"/>
      <c r="U1504" s="29"/>
      <c r="V1504" s="29"/>
      <c r="W1504" s="29"/>
      <c r="X1504" s="29"/>
      <c r="Y1504" s="29"/>
      <c r="Z1504" s="29"/>
      <c r="AA1504" s="29"/>
      <c r="AB1504" s="29"/>
      <c r="AC1504" s="29"/>
      <c r="AD1504" s="207"/>
    </row>
    <row r="1505" spans="18:30" ht="29.25" customHeight="1" x14ac:dyDescent="0.25">
      <c r="R1505" s="29"/>
      <c r="S1505" s="29"/>
      <c r="T1505" s="29"/>
      <c r="U1505" s="29"/>
      <c r="V1505" s="29"/>
      <c r="W1505" s="29"/>
      <c r="X1505" s="29"/>
      <c r="Y1505" s="29"/>
      <c r="Z1505" s="29"/>
      <c r="AA1505" s="29"/>
      <c r="AB1505" s="29"/>
      <c r="AC1505" s="29"/>
      <c r="AD1505" s="207"/>
    </row>
    <row r="1506" spans="18:30" ht="29.25" customHeight="1" x14ac:dyDescent="0.25">
      <c r="R1506" s="29"/>
      <c r="S1506" s="29"/>
      <c r="T1506" s="29"/>
      <c r="U1506" s="29"/>
      <c r="V1506" s="29"/>
      <c r="W1506" s="29"/>
      <c r="X1506" s="29"/>
      <c r="Y1506" s="29"/>
      <c r="Z1506" s="29"/>
      <c r="AA1506" s="29"/>
      <c r="AB1506" s="29"/>
      <c r="AC1506" s="29"/>
      <c r="AD1506" s="207"/>
    </row>
    <row r="1507" spans="18:30" ht="29.25" customHeight="1" x14ac:dyDescent="0.25">
      <c r="R1507" s="29"/>
      <c r="S1507" s="29"/>
      <c r="T1507" s="29"/>
      <c r="U1507" s="29"/>
      <c r="V1507" s="29"/>
      <c r="W1507" s="29"/>
      <c r="X1507" s="29"/>
      <c r="Y1507" s="29"/>
      <c r="Z1507" s="29"/>
      <c r="AA1507" s="29"/>
      <c r="AB1507" s="29"/>
      <c r="AC1507" s="29"/>
      <c r="AD1507" s="207"/>
    </row>
    <row r="1508" spans="18:30" ht="29.25" customHeight="1" x14ac:dyDescent="0.25">
      <c r="R1508" s="29"/>
      <c r="S1508" s="29"/>
      <c r="T1508" s="29"/>
      <c r="U1508" s="29"/>
      <c r="V1508" s="29"/>
      <c r="W1508" s="29"/>
      <c r="X1508" s="29"/>
      <c r="Y1508" s="29"/>
      <c r="Z1508" s="29"/>
      <c r="AA1508" s="29"/>
      <c r="AB1508" s="29"/>
      <c r="AC1508" s="29"/>
      <c r="AD1508" s="207"/>
    </row>
    <row r="1509" spans="18:30" ht="29.25" customHeight="1" x14ac:dyDescent="0.25">
      <c r="R1509" s="29"/>
      <c r="S1509" s="29"/>
      <c r="T1509" s="29"/>
      <c r="U1509" s="29"/>
      <c r="V1509" s="29"/>
      <c r="W1509" s="29"/>
      <c r="X1509" s="29"/>
      <c r="Y1509" s="29"/>
      <c r="Z1509" s="29"/>
      <c r="AA1509" s="29"/>
      <c r="AB1509" s="29"/>
      <c r="AC1509" s="29"/>
      <c r="AD1509" s="207"/>
    </row>
    <row r="1510" spans="18:30" ht="29.25" customHeight="1" x14ac:dyDescent="0.25">
      <c r="R1510" s="29"/>
      <c r="S1510" s="29"/>
      <c r="T1510" s="29"/>
      <c r="U1510" s="29"/>
      <c r="V1510" s="29"/>
      <c r="W1510" s="29"/>
      <c r="X1510" s="29"/>
      <c r="Y1510" s="29"/>
      <c r="Z1510" s="29"/>
      <c r="AA1510" s="29"/>
      <c r="AB1510" s="29"/>
      <c r="AC1510" s="29"/>
      <c r="AD1510" s="207"/>
    </row>
    <row r="1511" spans="18:30" ht="29.25" customHeight="1" x14ac:dyDescent="0.25">
      <c r="R1511" s="29"/>
      <c r="S1511" s="29"/>
      <c r="T1511" s="29"/>
      <c r="U1511" s="29"/>
      <c r="V1511" s="29"/>
      <c r="W1511" s="29"/>
      <c r="X1511" s="29"/>
      <c r="Y1511" s="29"/>
      <c r="Z1511" s="29"/>
      <c r="AA1511" s="29"/>
      <c r="AB1511" s="29"/>
      <c r="AC1511" s="29"/>
      <c r="AD1511" s="207"/>
    </row>
    <row r="1512" spans="18:30" ht="29.25" customHeight="1" x14ac:dyDescent="0.25">
      <c r="R1512" s="29"/>
      <c r="S1512" s="29"/>
      <c r="T1512" s="29"/>
      <c r="U1512" s="29"/>
      <c r="V1512" s="29"/>
      <c r="W1512" s="29"/>
      <c r="X1512" s="29"/>
      <c r="Y1512" s="29"/>
      <c r="Z1512" s="29"/>
      <c r="AA1512" s="29"/>
      <c r="AB1512" s="29"/>
      <c r="AC1512" s="29"/>
      <c r="AD1512" s="207"/>
    </row>
    <row r="1513" spans="18:30" ht="29.25" customHeight="1" x14ac:dyDescent="0.25">
      <c r="R1513" s="29"/>
      <c r="S1513" s="29"/>
      <c r="T1513" s="29"/>
      <c r="U1513" s="29"/>
      <c r="V1513" s="29"/>
      <c r="W1513" s="29"/>
      <c r="X1513" s="29"/>
      <c r="Y1513" s="29"/>
      <c r="Z1513" s="29"/>
      <c r="AA1513" s="29"/>
      <c r="AB1513" s="29"/>
      <c r="AC1513" s="29"/>
      <c r="AD1513" s="207"/>
    </row>
    <row r="1514" spans="18:30" ht="29.25" customHeight="1" x14ac:dyDescent="0.25">
      <c r="R1514" s="29"/>
      <c r="S1514" s="29"/>
      <c r="T1514" s="29"/>
      <c r="U1514" s="29"/>
      <c r="V1514" s="29"/>
      <c r="W1514" s="29"/>
      <c r="X1514" s="29"/>
      <c r="Y1514" s="29"/>
      <c r="Z1514" s="29"/>
      <c r="AA1514" s="29"/>
      <c r="AB1514" s="29"/>
      <c r="AC1514" s="29"/>
      <c r="AD1514" s="207"/>
    </row>
    <row r="1515" spans="18:30" ht="29.25" customHeight="1" x14ac:dyDescent="0.25">
      <c r="R1515" s="29"/>
      <c r="S1515" s="29"/>
      <c r="T1515" s="29"/>
      <c r="U1515" s="29"/>
      <c r="V1515" s="29"/>
      <c r="W1515" s="29"/>
      <c r="X1515" s="29"/>
      <c r="Y1515" s="29"/>
      <c r="Z1515" s="29"/>
      <c r="AA1515" s="29"/>
      <c r="AB1515" s="29"/>
      <c r="AC1515" s="29"/>
      <c r="AD1515" s="207"/>
    </row>
    <row r="1516" spans="18:30" ht="29.25" customHeight="1" x14ac:dyDescent="0.25">
      <c r="R1516" s="29"/>
      <c r="S1516" s="29"/>
      <c r="T1516" s="29"/>
      <c r="U1516" s="29"/>
      <c r="V1516" s="29"/>
      <c r="W1516" s="29"/>
      <c r="X1516" s="29"/>
      <c r="Y1516" s="29"/>
      <c r="Z1516" s="29"/>
      <c r="AA1516" s="29"/>
      <c r="AB1516" s="29"/>
      <c r="AC1516" s="29"/>
      <c r="AD1516" s="207"/>
    </row>
    <row r="1517" spans="18:30" ht="29.25" customHeight="1" x14ac:dyDescent="0.25">
      <c r="R1517" s="29"/>
      <c r="S1517" s="29"/>
      <c r="T1517" s="29"/>
      <c r="U1517" s="29"/>
      <c r="V1517" s="29"/>
      <c r="W1517" s="29"/>
      <c r="X1517" s="29"/>
      <c r="Y1517" s="29"/>
      <c r="Z1517" s="29"/>
      <c r="AA1517" s="29"/>
      <c r="AB1517" s="29"/>
      <c r="AC1517" s="29"/>
      <c r="AD1517" s="207"/>
    </row>
    <row r="1518" spans="18:30" ht="29.25" customHeight="1" x14ac:dyDescent="0.25">
      <c r="R1518" s="29"/>
      <c r="S1518" s="29"/>
      <c r="T1518" s="29"/>
      <c r="U1518" s="29"/>
      <c r="V1518" s="29"/>
      <c r="W1518" s="29"/>
      <c r="X1518" s="29"/>
      <c r="Y1518" s="29"/>
      <c r="Z1518" s="29"/>
      <c r="AA1518" s="29"/>
      <c r="AB1518" s="29"/>
      <c r="AC1518" s="29"/>
      <c r="AD1518" s="207"/>
    </row>
    <row r="1519" spans="18:30" ht="29.25" customHeight="1" x14ac:dyDescent="0.25">
      <c r="R1519" s="29"/>
      <c r="S1519" s="29"/>
      <c r="T1519" s="29"/>
      <c r="U1519" s="29"/>
      <c r="V1519" s="29"/>
      <c r="W1519" s="29"/>
      <c r="X1519" s="29"/>
      <c r="Y1519" s="29"/>
      <c r="Z1519" s="29"/>
      <c r="AA1519" s="29"/>
      <c r="AB1519" s="29"/>
      <c r="AC1519" s="29"/>
      <c r="AD1519" s="207"/>
    </row>
    <row r="1520" spans="18:30" ht="29.25" customHeight="1" x14ac:dyDescent="0.25">
      <c r="R1520" s="29"/>
      <c r="S1520" s="29"/>
      <c r="T1520" s="29"/>
      <c r="U1520" s="29"/>
      <c r="V1520" s="29"/>
      <c r="W1520" s="29"/>
      <c r="X1520" s="29"/>
      <c r="Y1520" s="29"/>
      <c r="Z1520" s="29"/>
      <c r="AA1520" s="29"/>
      <c r="AB1520" s="29"/>
      <c r="AC1520" s="29"/>
      <c r="AD1520" s="207"/>
    </row>
    <row r="1521" spans="18:30" ht="29.25" customHeight="1" x14ac:dyDescent="0.25">
      <c r="R1521" s="29"/>
      <c r="S1521" s="29"/>
      <c r="T1521" s="29"/>
      <c r="U1521" s="29"/>
      <c r="V1521" s="29"/>
      <c r="W1521" s="29"/>
      <c r="X1521" s="29"/>
      <c r="Y1521" s="29"/>
      <c r="Z1521" s="29"/>
      <c r="AA1521" s="29"/>
      <c r="AB1521" s="29"/>
      <c r="AC1521" s="29"/>
      <c r="AD1521" s="207"/>
    </row>
    <row r="1522" spans="18:30" ht="29.25" customHeight="1" x14ac:dyDescent="0.25">
      <c r="R1522" s="29"/>
      <c r="S1522" s="29"/>
      <c r="T1522" s="29"/>
      <c r="U1522" s="29"/>
      <c r="V1522" s="29"/>
      <c r="W1522" s="29"/>
      <c r="X1522" s="29"/>
      <c r="Y1522" s="29"/>
      <c r="Z1522" s="29"/>
      <c r="AA1522" s="29"/>
      <c r="AB1522" s="29"/>
      <c r="AC1522" s="29"/>
      <c r="AD1522" s="207"/>
    </row>
    <row r="1523" spans="18:30" ht="29.25" customHeight="1" x14ac:dyDescent="0.25">
      <c r="R1523" s="29"/>
      <c r="S1523" s="29"/>
      <c r="T1523" s="29"/>
      <c r="U1523" s="29"/>
      <c r="V1523" s="29"/>
      <c r="W1523" s="29"/>
      <c r="X1523" s="29"/>
      <c r="Y1523" s="29"/>
      <c r="Z1523" s="29"/>
      <c r="AA1523" s="29"/>
      <c r="AB1523" s="29"/>
      <c r="AC1523" s="29"/>
      <c r="AD1523" s="207"/>
    </row>
    <row r="1524" spans="18:30" ht="29.25" customHeight="1" x14ac:dyDescent="0.25">
      <c r="R1524" s="29"/>
      <c r="S1524" s="29"/>
      <c r="T1524" s="29"/>
      <c r="U1524" s="29"/>
      <c r="V1524" s="29"/>
      <c r="W1524" s="29"/>
      <c r="X1524" s="29"/>
      <c r="Y1524" s="29"/>
      <c r="Z1524" s="29"/>
      <c r="AA1524" s="29"/>
      <c r="AB1524" s="29"/>
      <c r="AC1524" s="29"/>
      <c r="AD1524" s="207"/>
    </row>
    <row r="1525" spans="18:30" ht="29.25" customHeight="1" x14ac:dyDescent="0.25">
      <c r="R1525" s="29"/>
      <c r="S1525" s="29"/>
      <c r="T1525" s="29"/>
      <c r="U1525" s="29"/>
      <c r="V1525" s="29"/>
      <c r="W1525" s="29"/>
      <c r="X1525" s="29"/>
      <c r="Y1525" s="29"/>
      <c r="Z1525" s="29"/>
      <c r="AA1525" s="29"/>
      <c r="AB1525" s="29"/>
      <c r="AC1525" s="29"/>
      <c r="AD1525" s="207"/>
    </row>
    <row r="1526" spans="18:30" ht="29.25" customHeight="1" x14ac:dyDescent="0.25">
      <c r="R1526" s="29"/>
      <c r="S1526" s="29"/>
      <c r="T1526" s="29"/>
      <c r="U1526" s="29"/>
      <c r="V1526" s="29"/>
      <c r="W1526" s="29"/>
      <c r="X1526" s="29"/>
      <c r="Y1526" s="29"/>
      <c r="Z1526" s="29"/>
      <c r="AA1526" s="29"/>
      <c r="AB1526" s="29"/>
      <c r="AC1526" s="29"/>
      <c r="AD1526" s="207"/>
    </row>
    <row r="1527" spans="18:30" ht="29.25" customHeight="1" x14ac:dyDescent="0.25">
      <c r="R1527" s="29"/>
      <c r="S1527" s="29"/>
      <c r="T1527" s="29"/>
      <c r="U1527" s="29"/>
      <c r="V1527" s="29"/>
      <c r="W1527" s="29"/>
      <c r="X1527" s="29"/>
      <c r="Y1527" s="29"/>
      <c r="Z1527" s="29"/>
      <c r="AA1527" s="29"/>
      <c r="AB1527" s="29"/>
      <c r="AC1527" s="29"/>
      <c r="AD1527" s="207"/>
    </row>
    <row r="1528" spans="18:30" ht="29.25" customHeight="1" x14ac:dyDescent="0.25">
      <c r="R1528" s="29"/>
      <c r="S1528" s="29"/>
      <c r="T1528" s="29"/>
      <c r="U1528" s="29"/>
      <c r="V1528" s="29"/>
      <c r="W1528" s="29"/>
      <c r="X1528" s="29"/>
      <c r="Y1528" s="29"/>
      <c r="Z1528" s="29"/>
      <c r="AA1528" s="29"/>
      <c r="AB1528" s="29"/>
      <c r="AC1528" s="29"/>
      <c r="AD1528" s="207"/>
    </row>
    <row r="1529" spans="18:30" ht="29.25" customHeight="1" x14ac:dyDescent="0.25">
      <c r="R1529" s="29"/>
      <c r="S1529" s="29"/>
      <c r="T1529" s="29"/>
      <c r="U1529" s="29"/>
      <c r="V1529" s="29"/>
      <c r="W1529" s="29"/>
      <c r="X1529" s="29"/>
      <c r="Y1529" s="29"/>
      <c r="Z1529" s="29"/>
      <c r="AA1529" s="29"/>
      <c r="AB1529" s="29"/>
      <c r="AC1529" s="29"/>
      <c r="AD1529" s="207"/>
    </row>
    <row r="1530" spans="18:30" ht="29.25" customHeight="1" x14ac:dyDescent="0.25">
      <c r="R1530" s="29"/>
      <c r="S1530" s="29"/>
      <c r="T1530" s="29"/>
      <c r="U1530" s="29"/>
      <c r="V1530" s="29"/>
      <c r="W1530" s="29"/>
      <c r="X1530" s="29"/>
      <c r="Y1530" s="29"/>
      <c r="Z1530" s="29"/>
      <c r="AA1530" s="29"/>
      <c r="AB1530" s="29"/>
      <c r="AC1530" s="29"/>
      <c r="AD1530" s="207"/>
    </row>
    <row r="1531" spans="18:30" ht="29.25" customHeight="1" x14ac:dyDescent="0.25">
      <c r="R1531" s="29"/>
      <c r="S1531" s="29"/>
      <c r="T1531" s="29"/>
      <c r="U1531" s="29"/>
      <c r="V1531" s="29"/>
      <c r="W1531" s="29"/>
      <c r="X1531" s="29"/>
      <c r="Y1531" s="29"/>
      <c r="Z1531" s="29"/>
      <c r="AA1531" s="29"/>
      <c r="AB1531" s="29"/>
      <c r="AC1531" s="29"/>
      <c r="AD1531" s="207"/>
    </row>
    <row r="1532" spans="18:30" ht="29.25" customHeight="1" x14ac:dyDescent="0.25">
      <c r="R1532" s="29"/>
      <c r="S1532" s="29"/>
      <c r="T1532" s="29"/>
      <c r="U1532" s="29"/>
      <c r="V1532" s="29"/>
      <c r="W1532" s="29"/>
      <c r="X1532" s="29"/>
      <c r="Y1532" s="29"/>
      <c r="Z1532" s="29"/>
      <c r="AA1532" s="29"/>
      <c r="AB1532" s="29"/>
      <c r="AC1532" s="29"/>
      <c r="AD1532" s="207"/>
    </row>
    <row r="1533" spans="18:30" ht="29.25" customHeight="1" x14ac:dyDescent="0.25">
      <c r="R1533" s="29"/>
      <c r="S1533" s="29"/>
      <c r="T1533" s="29"/>
      <c r="U1533" s="29"/>
      <c r="V1533" s="29"/>
      <c r="W1533" s="29"/>
      <c r="X1533" s="29"/>
      <c r="Y1533" s="29"/>
      <c r="Z1533" s="29"/>
      <c r="AA1533" s="29"/>
      <c r="AB1533" s="29"/>
      <c r="AC1533" s="29"/>
      <c r="AD1533" s="207"/>
    </row>
    <row r="1534" spans="18:30" ht="29.25" customHeight="1" x14ac:dyDescent="0.25">
      <c r="R1534" s="29"/>
      <c r="S1534" s="29"/>
      <c r="T1534" s="29"/>
      <c r="U1534" s="29"/>
      <c r="V1534" s="29"/>
      <c r="W1534" s="29"/>
      <c r="X1534" s="29"/>
      <c r="Y1534" s="29"/>
      <c r="Z1534" s="29"/>
      <c r="AA1534" s="29"/>
      <c r="AB1534" s="29"/>
      <c r="AC1534" s="29"/>
      <c r="AD1534" s="207"/>
    </row>
    <row r="1535" spans="18:30" ht="29.25" customHeight="1" x14ac:dyDescent="0.25">
      <c r="R1535" s="29"/>
      <c r="S1535" s="29"/>
      <c r="T1535" s="29"/>
      <c r="U1535" s="29"/>
      <c r="V1535" s="29"/>
      <c r="W1535" s="29"/>
      <c r="X1535" s="29"/>
      <c r="Y1535" s="29"/>
      <c r="Z1535" s="29"/>
      <c r="AA1535" s="29"/>
      <c r="AB1535" s="29"/>
      <c r="AC1535" s="29"/>
      <c r="AD1535" s="207"/>
    </row>
    <row r="1536" spans="18:30" ht="29.25" customHeight="1" x14ac:dyDescent="0.25">
      <c r="R1536" s="29"/>
      <c r="S1536" s="29"/>
      <c r="T1536" s="29"/>
      <c r="U1536" s="29"/>
      <c r="V1536" s="29"/>
      <c r="W1536" s="29"/>
      <c r="X1536" s="29"/>
      <c r="Y1536" s="29"/>
      <c r="Z1536" s="29"/>
      <c r="AA1536" s="29"/>
      <c r="AB1536" s="29"/>
      <c r="AC1536" s="29"/>
      <c r="AD1536" s="207"/>
    </row>
    <row r="1537" spans="18:30" ht="29.25" customHeight="1" x14ac:dyDescent="0.25">
      <c r="R1537" s="29"/>
      <c r="S1537" s="29"/>
      <c r="T1537" s="29"/>
      <c r="U1537" s="29"/>
      <c r="V1537" s="29"/>
      <c r="W1537" s="29"/>
      <c r="X1537" s="29"/>
      <c r="Y1537" s="29"/>
      <c r="Z1537" s="29"/>
      <c r="AA1537" s="29"/>
      <c r="AB1537" s="29"/>
      <c r="AC1537" s="29"/>
      <c r="AD1537" s="207"/>
    </row>
    <row r="1538" spans="18:30" ht="29.25" customHeight="1" x14ac:dyDescent="0.25">
      <c r="R1538" s="29"/>
      <c r="S1538" s="29"/>
      <c r="T1538" s="29"/>
      <c r="U1538" s="29"/>
      <c r="V1538" s="29"/>
      <c r="W1538" s="29"/>
      <c r="X1538" s="29"/>
      <c r="Y1538" s="29"/>
      <c r="Z1538" s="29"/>
      <c r="AA1538" s="29"/>
      <c r="AB1538" s="29"/>
      <c r="AC1538" s="29"/>
      <c r="AD1538" s="207"/>
    </row>
    <row r="1539" spans="18:30" ht="29.25" customHeight="1" x14ac:dyDescent="0.25">
      <c r="R1539" s="29"/>
      <c r="S1539" s="29"/>
      <c r="T1539" s="29"/>
      <c r="U1539" s="29"/>
      <c r="V1539" s="29"/>
      <c r="W1539" s="29"/>
      <c r="X1539" s="29"/>
      <c r="Y1539" s="29"/>
      <c r="Z1539" s="29"/>
      <c r="AA1539" s="29"/>
      <c r="AB1539" s="29"/>
      <c r="AC1539" s="29"/>
      <c r="AD1539" s="207"/>
    </row>
    <row r="1540" spans="18:30" ht="29.25" customHeight="1" x14ac:dyDescent="0.25">
      <c r="R1540" s="29"/>
      <c r="S1540" s="29"/>
      <c r="T1540" s="29"/>
      <c r="U1540" s="29"/>
      <c r="V1540" s="29"/>
      <c r="W1540" s="29"/>
      <c r="X1540" s="29"/>
      <c r="Y1540" s="29"/>
      <c r="Z1540" s="29"/>
      <c r="AA1540" s="29"/>
      <c r="AB1540" s="29"/>
      <c r="AC1540" s="29"/>
      <c r="AD1540" s="207"/>
    </row>
    <row r="1541" spans="18:30" ht="29.25" customHeight="1" x14ac:dyDescent="0.25">
      <c r="R1541" s="29"/>
      <c r="S1541" s="29"/>
      <c r="T1541" s="29"/>
      <c r="U1541" s="29"/>
      <c r="V1541" s="29"/>
      <c r="W1541" s="29"/>
      <c r="X1541" s="29"/>
      <c r="Y1541" s="29"/>
      <c r="Z1541" s="29"/>
      <c r="AA1541" s="29"/>
      <c r="AB1541" s="29"/>
      <c r="AC1541" s="29"/>
      <c r="AD1541" s="207"/>
    </row>
    <row r="1542" spans="18:30" ht="29.25" customHeight="1" x14ac:dyDescent="0.25">
      <c r="R1542" s="29"/>
      <c r="S1542" s="29"/>
      <c r="T1542" s="29"/>
      <c r="U1542" s="29"/>
      <c r="V1542" s="29"/>
      <c r="W1542" s="29"/>
      <c r="X1542" s="29"/>
      <c r="Y1542" s="29"/>
      <c r="Z1542" s="29"/>
      <c r="AA1542" s="29"/>
      <c r="AB1542" s="29"/>
      <c r="AC1542" s="29"/>
      <c r="AD1542" s="207"/>
    </row>
    <row r="1543" spans="18:30" ht="29.25" customHeight="1" x14ac:dyDescent="0.25">
      <c r="R1543" s="29"/>
      <c r="S1543" s="29"/>
      <c r="T1543" s="29"/>
      <c r="U1543" s="29"/>
      <c r="V1543" s="29"/>
      <c r="W1543" s="29"/>
      <c r="X1543" s="29"/>
      <c r="Y1543" s="29"/>
      <c r="Z1543" s="29"/>
      <c r="AA1543" s="29"/>
      <c r="AB1543" s="29"/>
      <c r="AC1543" s="29"/>
      <c r="AD1543" s="207"/>
    </row>
    <row r="1544" spans="18:30" ht="29.25" customHeight="1" x14ac:dyDescent="0.25">
      <c r="R1544" s="29"/>
      <c r="S1544" s="29"/>
      <c r="T1544" s="29"/>
      <c r="U1544" s="29"/>
      <c r="V1544" s="29"/>
      <c r="W1544" s="29"/>
      <c r="X1544" s="29"/>
      <c r="Y1544" s="29"/>
      <c r="Z1544" s="29"/>
      <c r="AA1544" s="29"/>
      <c r="AB1544" s="29"/>
      <c r="AC1544" s="29"/>
      <c r="AD1544" s="207"/>
    </row>
    <row r="1545" spans="18:30" ht="29.25" customHeight="1" x14ac:dyDescent="0.25">
      <c r="R1545" s="29"/>
      <c r="S1545" s="29"/>
      <c r="T1545" s="29"/>
      <c r="U1545" s="29"/>
      <c r="V1545" s="29"/>
      <c r="W1545" s="29"/>
      <c r="X1545" s="29"/>
      <c r="Y1545" s="29"/>
      <c r="Z1545" s="29"/>
      <c r="AA1545" s="29"/>
      <c r="AB1545" s="29"/>
      <c r="AC1545" s="29"/>
      <c r="AD1545" s="207"/>
    </row>
    <row r="1546" spans="18:30" ht="29.25" customHeight="1" x14ac:dyDescent="0.25">
      <c r="R1546" s="29"/>
      <c r="S1546" s="29"/>
      <c r="T1546" s="29"/>
      <c r="U1546" s="29"/>
      <c r="V1546" s="29"/>
      <c r="W1546" s="29"/>
      <c r="X1546" s="29"/>
      <c r="Y1546" s="29"/>
      <c r="Z1546" s="29"/>
      <c r="AA1546" s="29"/>
      <c r="AB1546" s="29"/>
      <c r="AC1546" s="29"/>
      <c r="AD1546" s="207"/>
    </row>
    <row r="1547" spans="18:30" ht="29.25" customHeight="1" x14ac:dyDescent="0.25">
      <c r="R1547" s="29"/>
      <c r="S1547" s="29"/>
      <c r="T1547" s="29"/>
      <c r="U1547" s="29"/>
      <c r="V1547" s="29"/>
      <c r="W1547" s="29"/>
      <c r="X1547" s="29"/>
      <c r="Y1547" s="29"/>
      <c r="Z1547" s="29"/>
      <c r="AA1547" s="29"/>
      <c r="AB1547" s="29"/>
      <c r="AC1547" s="29"/>
      <c r="AD1547" s="207"/>
    </row>
    <row r="1548" spans="18:30" ht="29.25" customHeight="1" x14ac:dyDescent="0.25">
      <c r="R1548" s="29"/>
      <c r="S1548" s="29"/>
      <c r="T1548" s="29"/>
      <c r="U1548" s="29"/>
      <c r="V1548" s="29"/>
      <c r="W1548" s="29"/>
      <c r="X1548" s="29"/>
      <c r="Y1548" s="29"/>
      <c r="Z1548" s="29"/>
      <c r="AA1548" s="29"/>
      <c r="AB1548" s="29"/>
      <c r="AC1548" s="29"/>
      <c r="AD1548" s="207"/>
    </row>
    <row r="1549" spans="18:30" ht="29.25" customHeight="1" x14ac:dyDescent="0.25">
      <c r="R1549" s="29"/>
      <c r="S1549" s="29"/>
      <c r="T1549" s="29"/>
      <c r="U1549" s="29"/>
      <c r="V1549" s="29"/>
      <c r="W1549" s="29"/>
      <c r="X1549" s="29"/>
      <c r="Y1549" s="29"/>
      <c r="Z1549" s="29"/>
      <c r="AA1549" s="29"/>
      <c r="AB1549" s="29"/>
      <c r="AC1549" s="29"/>
      <c r="AD1549" s="207"/>
    </row>
    <row r="1550" spans="18:30" ht="29.25" customHeight="1" x14ac:dyDescent="0.25">
      <c r="R1550" s="29"/>
      <c r="S1550" s="29"/>
      <c r="T1550" s="29"/>
      <c r="U1550" s="29"/>
      <c r="V1550" s="29"/>
      <c r="W1550" s="29"/>
      <c r="X1550" s="29"/>
      <c r="Y1550" s="29"/>
      <c r="Z1550" s="29"/>
      <c r="AA1550" s="29"/>
      <c r="AB1550" s="29"/>
      <c r="AC1550" s="29"/>
      <c r="AD1550" s="207"/>
    </row>
    <row r="1551" spans="18:30" ht="29.25" customHeight="1" x14ac:dyDescent="0.25">
      <c r="R1551" s="29"/>
      <c r="S1551" s="29"/>
      <c r="T1551" s="29"/>
      <c r="U1551" s="29"/>
      <c r="V1551" s="29"/>
      <c r="W1551" s="29"/>
      <c r="X1551" s="29"/>
      <c r="Y1551" s="29"/>
      <c r="Z1551" s="29"/>
      <c r="AA1551" s="29"/>
      <c r="AB1551" s="29"/>
      <c r="AC1551" s="29"/>
      <c r="AD1551" s="207"/>
    </row>
    <row r="1552" spans="18:30" ht="29.25" customHeight="1" x14ac:dyDescent="0.25">
      <c r="R1552" s="29"/>
      <c r="S1552" s="29"/>
      <c r="T1552" s="29"/>
      <c r="U1552" s="29"/>
      <c r="V1552" s="29"/>
      <c r="W1552" s="29"/>
      <c r="X1552" s="29"/>
      <c r="Y1552" s="29"/>
      <c r="Z1552" s="29"/>
      <c r="AA1552" s="29"/>
      <c r="AB1552" s="29"/>
      <c r="AC1552" s="29"/>
      <c r="AD1552" s="207"/>
    </row>
    <row r="1553" spans="18:30" ht="29.25" customHeight="1" x14ac:dyDescent="0.25">
      <c r="R1553" s="29"/>
      <c r="S1553" s="29"/>
      <c r="T1553" s="29"/>
      <c r="U1553" s="29"/>
      <c r="V1553" s="29"/>
      <c r="W1553" s="29"/>
      <c r="X1553" s="29"/>
      <c r="Y1553" s="29"/>
      <c r="Z1553" s="29"/>
      <c r="AA1553" s="29"/>
      <c r="AB1553" s="29"/>
      <c r="AC1553" s="29"/>
      <c r="AD1553" s="207"/>
    </row>
    <row r="1554" spans="18:30" ht="29.25" customHeight="1" x14ac:dyDescent="0.25">
      <c r="R1554" s="29"/>
      <c r="S1554" s="29"/>
      <c r="T1554" s="29"/>
      <c r="U1554" s="29"/>
      <c r="V1554" s="29"/>
      <c r="W1554" s="29"/>
      <c r="X1554" s="29"/>
      <c r="Y1554" s="29"/>
      <c r="Z1554" s="29"/>
      <c r="AA1554" s="29"/>
      <c r="AB1554" s="29"/>
      <c r="AC1554" s="29"/>
      <c r="AD1554" s="207"/>
    </row>
    <row r="1555" spans="18:30" ht="29.25" customHeight="1" x14ac:dyDescent="0.25">
      <c r="R1555" s="29"/>
      <c r="S1555" s="29"/>
      <c r="T1555" s="29"/>
      <c r="U1555" s="29"/>
      <c r="V1555" s="29"/>
      <c r="W1555" s="29"/>
      <c r="X1555" s="29"/>
      <c r="Y1555" s="29"/>
      <c r="Z1555" s="29"/>
      <c r="AA1555" s="29"/>
      <c r="AB1555" s="29"/>
      <c r="AC1555" s="29"/>
      <c r="AD1555" s="207"/>
    </row>
    <row r="1556" spans="18:30" ht="29.25" customHeight="1" x14ac:dyDescent="0.25">
      <c r="R1556" s="29"/>
      <c r="S1556" s="29"/>
      <c r="T1556" s="29"/>
      <c r="U1556" s="29"/>
      <c r="V1556" s="29"/>
      <c r="W1556" s="29"/>
      <c r="X1556" s="29"/>
      <c r="Y1556" s="29"/>
      <c r="Z1556" s="29"/>
      <c r="AA1556" s="29"/>
      <c r="AB1556" s="29"/>
      <c r="AC1556" s="29"/>
      <c r="AD1556" s="207"/>
    </row>
    <row r="1557" spans="18:30" ht="29.25" customHeight="1" x14ac:dyDescent="0.25">
      <c r="R1557" s="29"/>
      <c r="S1557" s="29"/>
      <c r="T1557" s="29"/>
      <c r="U1557" s="29"/>
      <c r="V1557" s="29"/>
      <c r="W1557" s="29"/>
      <c r="X1557" s="29"/>
      <c r="Y1557" s="29"/>
      <c r="Z1557" s="29"/>
      <c r="AA1557" s="29"/>
      <c r="AB1557" s="29"/>
      <c r="AC1557" s="29"/>
      <c r="AD1557" s="207"/>
    </row>
    <row r="1558" spans="18:30" ht="29.25" customHeight="1" x14ac:dyDescent="0.25">
      <c r="R1558" s="29"/>
      <c r="S1558" s="29"/>
      <c r="T1558" s="29"/>
      <c r="U1558" s="29"/>
      <c r="V1558" s="29"/>
      <c r="W1558" s="29"/>
      <c r="X1558" s="29"/>
      <c r="Y1558" s="29"/>
      <c r="Z1558" s="29"/>
      <c r="AA1558" s="29"/>
      <c r="AB1558" s="29"/>
      <c r="AC1558" s="29"/>
      <c r="AD1558" s="207"/>
    </row>
    <row r="1559" spans="18:30" ht="29.25" customHeight="1" x14ac:dyDescent="0.25">
      <c r="R1559" s="29"/>
      <c r="S1559" s="29"/>
      <c r="T1559" s="29"/>
      <c r="U1559" s="29"/>
      <c r="V1559" s="29"/>
      <c r="W1559" s="29"/>
      <c r="X1559" s="29"/>
      <c r="Y1559" s="29"/>
      <c r="Z1559" s="29"/>
      <c r="AA1559" s="29"/>
      <c r="AB1559" s="29"/>
      <c r="AC1559" s="29"/>
      <c r="AD1559" s="207"/>
    </row>
    <row r="1560" spans="18:30" ht="29.25" customHeight="1" x14ac:dyDescent="0.25">
      <c r="R1560" s="29"/>
      <c r="S1560" s="29"/>
      <c r="T1560" s="29"/>
      <c r="U1560" s="29"/>
      <c r="V1560" s="29"/>
      <c r="W1560" s="29"/>
      <c r="X1560" s="29"/>
      <c r="Y1560" s="29"/>
      <c r="Z1560" s="29"/>
      <c r="AA1560" s="29"/>
      <c r="AB1560" s="29"/>
      <c r="AC1560" s="29"/>
      <c r="AD1560" s="207"/>
    </row>
    <row r="1561" spans="18:30" ht="29.25" customHeight="1" x14ac:dyDescent="0.25">
      <c r="R1561" s="29"/>
      <c r="S1561" s="29"/>
      <c r="T1561" s="29"/>
      <c r="U1561" s="29"/>
      <c r="V1561" s="29"/>
      <c r="W1561" s="29"/>
      <c r="X1561" s="29"/>
      <c r="Y1561" s="29"/>
      <c r="Z1561" s="29"/>
      <c r="AA1561" s="29"/>
      <c r="AB1561" s="29"/>
      <c r="AC1561" s="29"/>
      <c r="AD1561" s="207"/>
    </row>
    <row r="1562" spans="18:30" ht="29.25" customHeight="1" x14ac:dyDescent="0.25">
      <c r="R1562" s="29"/>
      <c r="S1562" s="29"/>
      <c r="T1562" s="29"/>
      <c r="U1562" s="29"/>
      <c r="V1562" s="29"/>
      <c r="W1562" s="29"/>
      <c r="X1562" s="29"/>
      <c r="Y1562" s="29"/>
      <c r="Z1562" s="29"/>
      <c r="AA1562" s="29"/>
      <c r="AB1562" s="29"/>
      <c r="AC1562" s="29"/>
      <c r="AD1562" s="207"/>
    </row>
    <row r="1563" spans="18:30" ht="29.25" customHeight="1" x14ac:dyDescent="0.25">
      <c r="R1563" s="29"/>
      <c r="S1563" s="29"/>
      <c r="T1563" s="29"/>
      <c r="U1563" s="29"/>
      <c r="V1563" s="29"/>
      <c r="W1563" s="29"/>
      <c r="X1563" s="29"/>
      <c r="Y1563" s="29"/>
      <c r="Z1563" s="29"/>
      <c r="AA1563" s="29"/>
      <c r="AB1563" s="29"/>
      <c r="AC1563" s="29"/>
      <c r="AD1563" s="207"/>
    </row>
    <row r="1564" spans="18:30" ht="29.25" customHeight="1" x14ac:dyDescent="0.25">
      <c r="R1564" s="29"/>
      <c r="S1564" s="29"/>
      <c r="T1564" s="29"/>
      <c r="U1564" s="29"/>
      <c r="V1564" s="29"/>
      <c r="W1564" s="29"/>
      <c r="X1564" s="29"/>
      <c r="Y1564" s="29"/>
      <c r="Z1564" s="29"/>
      <c r="AA1564" s="29"/>
      <c r="AB1564" s="29"/>
      <c r="AC1564" s="29"/>
      <c r="AD1564" s="207"/>
    </row>
    <row r="1565" spans="18:30" ht="29.25" customHeight="1" x14ac:dyDescent="0.25">
      <c r="R1565" s="29"/>
      <c r="S1565" s="29"/>
      <c r="T1565" s="29"/>
      <c r="U1565" s="29"/>
      <c r="V1565" s="29"/>
      <c r="W1565" s="29"/>
      <c r="X1565" s="29"/>
      <c r="Y1565" s="29"/>
      <c r="Z1565" s="29"/>
      <c r="AA1565" s="29"/>
      <c r="AB1565" s="29"/>
      <c r="AC1565" s="29"/>
      <c r="AD1565" s="207"/>
    </row>
    <row r="1566" spans="18:30" ht="29.25" customHeight="1" x14ac:dyDescent="0.25">
      <c r="R1566" s="29"/>
      <c r="S1566" s="29"/>
      <c r="T1566" s="29"/>
      <c r="U1566" s="29"/>
      <c r="V1566" s="29"/>
      <c r="W1566" s="29"/>
      <c r="X1566" s="29"/>
      <c r="Y1566" s="29"/>
      <c r="Z1566" s="29"/>
      <c r="AA1566" s="29"/>
      <c r="AB1566" s="29"/>
      <c r="AC1566" s="29"/>
      <c r="AD1566" s="207"/>
    </row>
    <row r="1567" spans="18:30" ht="29.25" customHeight="1" x14ac:dyDescent="0.25">
      <c r="R1567" s="29"/>
      <c r="S1567" s="29"/>
      <c r="T1567" s="29"/>
      <c r="U1567" s="29"/>
      <c r="V1567" s="29"/>
      <c r="W1567" s="29"/>
      <c r="X1567" s="29"/>
      <c r="Y1567" s="29"/>
      <c r="Z1567" s="29"/>
      <c r="AA1567" s="29"/>
      <c r="AB1567" s="29"/>
      <c r="AC1567" s="29"/>
      <c r="AD1567" s="207"/>
    </row>
    <row r="1568" spans="18:30" ht="29.25" customHeight="1" x14ac:dyDescent="0.25">
      <c r="R1568" s="29"/>
      <c r="S1568" s="29"/>
      <c r="T1568" s="29"/>
      <c r="U1568" s="29"/>
      <c r="V1568" s="29"/>
      <c r="W1568" s="29"/>
      <c r="X1568" s="29"/>
      <c r="Y1568" s="29"/>
      <c r="Z1568" s="29"/>
      <c r="AA1568" s="29"/>
      <c r="AB1568" s="29"/>
      <c r="AC1568" s="29"/>
      <c r="AD1568" s="207"/>
    </row>
    <row r="1569" spans="18:30" ht="29.25" customHeight="1" x14ac:dyDescent="0.25">
      <c r="R1569" s="29"/>
      <c r="S1569" s="29"/>
      <c r="T1569" s="29"/>
      <c r="U1569" s="29"/>
      <c r="V1569" s="29"/>
      <c r="W1569" s="29"/>
      <c r="X1569" s="29"/>
      <c r="Y1569" s="29"/>
      <c r="Z1569" s="29"/>
      <c r="AA1569" s="29"/>
      <c r="AB1569" s="29"/>
      <c r="AC1569" s="29"/>
      <c r="AD1569" s="207"/>
    </row>
    <row r="1570" spans="18:30" ht="29.25" customHeight="1" x14ac:dyDescent="0.25">
      <c r="R1570" s="29"/>
      <c r="S1570" s="29"/>
      <c r="T1570" s="29"/>
      <c r="U1570" s="29"/>
      <c r="V1570" s="29"/>
      <c r="W1570" s="29"/>
      <c r="X1570" s="29"/>
      <c r="Y1570" s="29"/>
      <c r="Z1570" s="29"/>
      <c r="AA1570" s="29"/>
      <c r="AB1570" s="29"/>
      <c r="AC1570" s="29"/>
      <c r="AD1570" s="207"/>
    </row>
    <row r="1571" spans="18:30" ht="29.25" customHeight="1" x14ac:dyDescent="0.25">
      <c r="R1571" s="29"/>
      <c r="S1571" s="29"/>
      <c r="T1571" s="29"/>
      <c r="U1571" s="29"/>
      <c r="V1571" s="29"/>
      <c r="W1571" s="29"/>
      <c r="X1571" s="29"/>
      <c r="Y1571" s="29"/>
      <c r="Z1571" s="29"/>
      <c r="AA1571" s="29"/>
      <c r="AB1571" s="29"/>
      <c r="AC1571" s="29"/>
      <c r="AD1571" s="207"/>
    </row>
    <row r="1572" spans="18:30" ht="29.25" customHeight="1" x14ac:dyDescent="0.25">
      <c r="R1572" s="29"/>
      <c r="S1572" s="29"/>
      <c r="T1572" s="29"/>
      <c r="U1572" s="29"/>
      <c r="V1572" s="29"/>
      <c r="W1572" s="29"/>
      <c r="X1572" s="29"/>
      <c r="Y1572" s="29"/>
      <c r="Z1572" s="29"/>
      <c r="AA1572" s="29"/>
      <c r="AB1572" s="29"/>
      <c r="AC1572" s="29"/>
      <c r="AD1572" s="207"/>
    </row>
    <row r="1573" spans="18:30" ht="29.25" customHeight="1" x14ac:dyDescent="0.25">
      <c r="R1573" s="29"/>
      <c r="S1573" s="29"/>
      <c r="T1573" s="29"/>
      <c r="U1573" s="29"/>
      <c r="V1573" s="29"/>
      <c r="W1573" s="29"/>
      <c r="X1573" s="29"/>
      <c r="Y1573" s="29"/>
      <c r="Z1573" s="29"/>
      <c r="AA1573" s="29"/>
      <c r="AB1573" s="29"/>
      <c r="AC1573" s="29"/>
      <c r="AD1573" s="207"/>
    </row>
    <row r="1574" spans="18:30" ht="29.25" customHeight="1" x14ac:dyDescent="0.25">
      <c r="R1574" s="29"/>
      <c r="S1574" s="29"/>
      <c r="T1574" s="29"/>
      <c r="U1574" s="29"/>
      <c r="V1574" s="29"/>
      <c r="W1574" s="29"/>
      <c r="X1574" s="29"/>
      <c r="Y1574" s="29"/>
      <c r="Z1574" s="29"/>
      <c r="AA1574" s="29"/>
      <c r="AB1574" s="29"/>
      <c r="AC1574" s="29"/>
      <c r="AD1574" s="207"/>
    </row>
    <row r="1575" spans="18:30" ht="29.25" customHeight="1" x14ac:dyDescent="0.25">
      <c r="R1575" s="29"/>
      <c r="S1575" s="29"/>
      <c r="T1575" s="29"/>
      <c r="U1575" s="29"/>
      <c r="V1575" s="29"/>
      <c r="W1575" s="29"/>
      <c r="X1575" s="29"/>
      <c r="Y1575" s="29"/>
      <c r="Z1575" s="29"/>
      <c r="AA1575" s="29"/>
      <c r="AB1575" s="29"/>
      <c r="AC1575" s="29"/>
      <c r="AD1575" s="207"/>
    </row>
    <row r="1576" spans="18:30" ht="29.25" customHeight="1" x14ac:dyDescent="0.25">
      <c r="R1576" s="29"/>
      <c r="S1576" s="29"/>
      <c r="T1576" s="29"/>
      <c r="U1576" s="29"/>
      <c r="V1576" s="29"/>
      <c r="W1576" s="29"/>
      <c r="X1576" s="29"/>
      <c r="Y1576" s="29"/>
      <c r="Z1576" s="29"/>
      <c r="AA1576" s="29"/>
      <c r="AB1576" s="29"/>
      <c r="AC1576" s="29"/>
      <c r="AD1576" s="207"/>
    </row>
    <row r="1577" spans="18:30" ht="29.25" customHeight="1" x14ac:dyDescent="0.25">
      <c r="R1577" s="29"/>
      <c r="S1577" s="29"/>
      <c r="T1577" s="29"/>
      <c r="U1577" s="29"/>
      <c r="V1577" s="29"/>
      <c r="W1577" s="29"/>
      <c r="X1577" s="29"/>
      <c r="Y1577" s="29"/>
      <c r="Z1577" s="29"/>
      <c r="AA1577" s="29"/>
      <c r="AB1577" s="29"/>
      <c r="AC1577" s="29"/>
      <c r="AD1577" s="207"/>
    </row>
    <row r="1578" spans="18:30" ht="29.25" customHeight="1" x14ac:dyDescent="0.25">
      <c r="R1578" s="29"/>
      <c r="S1578" s="29"/>
      <c r="T1578" s="29"/>
      <c r="U1578" s="29"/>
      <c r="V1578" s="29"/>
      <c r="W1578" s="29"/>
      <c r="X1578" s="29"/>
      <c r="Y1578" s="29"/>
      <c r="Z1578" s="29"/>
      <c r="AA1578" s="29"/>
      <c r="AB1578" s="29"/>
      <c r="AC1578" s="29"/>
      <c r="AD1578" s="207"/>
    </row>
    <row r="1579" spans="18:30" ht="29.25" customHeight="1" x14ac:dyDescent="0.25">
      <c r="R1579" s="29"/>
      <c r="S1579" s="29"/>
      <c r="T1579" s="29"/>
      <c r="U1579" s="29"/>
      <c r="V1579" s="29"/>
      <c r="W1579" s="29"/>
      <c r="X1579" s="29"/>
      <c r="Y1579" s="29"/>
      <c r="Z1579" s="29"/>
      <c r="AA1579" s="29"/>
      <c r="AB1579" s="29"/>
      <c r="AC1579" s="29"/>
      <c r="AD1579" s="207"/>
    </row>
    <row r="1580" spans="18:30" ht="29.25" customHeight="1" x14ac:dyDescent="0.25">
      <c r="R1580" s="29"/>
      <c r="S1580" s="29"/>
      <c r="T1580" s="29"/>
      <c r="U1580" s="29"/>
      <c r="V1580" s="29"/>
      <c r="W1580" s="29"/>
      <c r="X1580" s="29"/>
      <c r="Y1580" s="29"/>
      <c r="Z1580" s="29"/>
      <c r="AA1580" s="29"/>
      <c r="AB1580" s="29"/>
      <c r="AC1580" s="29"/>
      <c r="AD1580" s="207"/>
    </row>
    <row r="1581" spans="18:30" ht="29.25" customHeight="1" x14ac:dyDescent="0.25">
      <c r="R1581" s="29"/>
      <c r="S1581" s="29"/>
      <c r="T1581" s="29"/>
      <c r="U1581" s="29"/>
      <c r="V1581" s="29"/>
      <c r="W1581" s="29"/>
      <c r="X1581" s="29"/>
      <c r="Y1581" s="29"/>
      <c r="Z1581" s="29"/>
      <c r="AA1581" s="29"/>
      <c r="AB1581" s="29"/>
      <c r="AC1581" s="29"/>
      <c r="AD1581" s="207"/>
    </row>
    <row r="1582" spans="18:30" ht="29.25" customHeight="1" x14ac:dyDescent="0.25">
      <c r="R1582" s="29"/>
      <c r="S1582" s="29"/>
      <c r="T1582" s="29"/>
      <c r="U1582" s="29"/>
      <c r="V1582" s="29"/>
      <c r="W1582" s="29"/>
      <c r="X1582" s="29"/>
      <c r="Y1582" s="29"/>
      <c r="Z1582" s="29"/>
      <c r="AA1582" s="29"/>
      <c r="AB1582" s="29"/>
      <c r="AC1582" s="29"/>
      <c r="AD1582" s="207"/>
    </row>
    <row r="1583" spans="18:30" ht="29.25" customHeight="1" x14ac:dyDescent="0.25">
      <c r="R1583" s="29"/>
      <c r="S1583" s="29"/>
      <c r="T1583" s="29"/>
      <c r="U1583" s="29"/>
      <c r="V1583" s="29"/>
      <c r="W1583" s="29"/>
      <c r="X1583" s="29"/>
      <c r="Y1583" s="29"/>
      <c r="Z1583" s="29"/>
      <c r="AA1583" s="29"/>
      <c r="AB1583" s="29"/>
      <c r="AC1583" s="29"/>
      <c r="AD1583" s="207"/>
    </row>
    <row r="1584" spans="18:30" ht="29.25" customHeight="1" x14ac:dyDescent="0.25">
      <c r="R1584" s="29"/>
      <c r="S1584" s="29"/>
      <c r="T1584" s="29"/>
      <c r="U1584" s="29"/>
      <c r="V1584" s="29"/>
      <c r="W1584" s="29"/>
      <c r="X1584" s="29"/>
      <c r="Y1584" s="29"/>
      <c r="Z1584" s="29"/>
      <c r="AA1584" s="29"/>
      <c r="AB1584" s="29"/>
      <c r="AC1584" s="29"/>
      <c r="AD1584" s="207"/>
    </row>
    <row r="1585" spans="18:30" ht="29.25" customHeight="1" x14ac:dyDescent="0.25">
      <c r="R1585" s="29"/>
      <c r="S1585" s="29"/>
      <c r="T1585" s="29"/>
      <c r="U1585" s="29"/>
      <c r="V1585" s="29"/>
      <c r="W1585" s="29"/>
      <c r="X1585" s="29"/>
      <c r="Y1585" s="29"/>
      <c r="Z1585" s="29"/>
      <c r="AA1585" s="29"/>
      <c r="AB1585" s="29"/>
      <c r="AC1585" s="29"/>
      <c r="AD1585" s="207"/>
    </row>
    <row r="1586" spans="18:30" ht="29.25" customHeight="1" x14ac:dyDescent="0.25">
      <c r="R1586" s="29"/>
      <c r="S1586" s="29"/>
      <c r="T1586" s="29"/>
      <c r="U1586" s="29"/>
      <c r="V1586" s="29"/>
      <c r="W1586" s="29"/>
      <c r="X1586" s="29"/>
      <c r="Y1586" s="29"/>
      <c r="Z1586" s="29"/>
      <c r="AA1586" s="29"/>
      <c r="AB1586" s="29"/>
      <c r="AC1586" s="29"/>
      <c r="AD1586" s="207"/>
    </row>
    <row r="1587" spans="18:30" ht="29.25" customHeight="1" x14ac:dyDescent="0.25">
      <c r="R1587" s="29"/>
      <c r="S1587" s="29"/>
      <c r="T1587" s="29"/>
      <c r="U1587" s="29"/>
      <c r="V1587" s="29"/>
      <c r="W1587" s="29"/>
      <c r="X1587" s="29"/>
      <c r="Y1587" s="29"/>
      <c r="Z1587" s="29"/>
      <c r="AA1587" s="29"/>
      <c r="AB1587" s="29"/>
      <c r="AC1587" s="29"/>
      <c r="AD1587" s="207"/>
    </row>
    <row r="1588" spans="18:30" ht="29.25" customHeight="1" x14ac:dyDescent="0.25">
      <c r="R1588" s="29"/>
      <c r="S1588" s="29"/>
      <c r="T1588" s="29"/>
      <c r="U1588" s="29"/>
      <c r="V1588" s="29"/>
      <c r="W1588" s="29"/>
      <c r="X1588" s="29"/>
      <c r="Y1588" s="29"/>
      <c r="Z1588" s="29"/>
      <c r="AA1588" s="29"/>
      <c r="AB1588" s="29"/>
      <c r="AC1588" s="29"/>
      <c r="AD1588" s="207"/>
    </row>
    <row r="1589" spans="18:30" ht="29.25" customHeight="1" x14ac:dyDescent="0.25">
      <c r="R1589" s="29"/>
      <c r="S1589" s="29"/>
      <c r="T1589" s="29"/>
      <c r="U1589" s="29"/>
      <c r="V1589" s="29"/>
      <c r="W1589" s="29"/>
      <c r="X1589" s="29"/>
      <c r="Y1589" s="29"/>
      <c r="Z1589" s="29"/>
      <c r="AA1589" s="29"/>
      <c r="AB1589" s="29"/>
      <c r="AC1589" s="29"/>
      <c r="AD1589" s="207"/>
    </row>
    <row r="1590" spans="18:30" ht="29.25" customHeight="1" x14ac:dyDescent="0.25">
      <c r="R1590" s="29"/>
      <c r="S1590" s="29"/>
      <c r="T1590" s="29"/>
      <c r="U1590" s="29"/>
      <c r="V1590" s="29"/>
      <c r="W1590" s="29"/>
      <c r="X1590" s="29"/>
      <c r="Y1590" s="29"/>
      <c r="Z1590" s="29"/>
      <c r="AA1590" s="29"/>
      <c r="AB1590" s="29"/>
      <c r="AC1590" s="29"/>
      <c r="AD1590" s="207"/>
    </row>
    <row r="1591" spans="18:30" ht="29.25" customHeight="1" x14ac:dyDescent="0.25">
      <c r="R1591" s="29"/>
      <c r="S1591" s="29"/>
      <c r="T1591" s="29"/>
      <c r="U1591" s="29"/>
      <c r="V1591" s="29"/>
      <c r="W1591" s="29"/>
      <c r="X1591" s="29"/>
      <c r="Y1591" s="29"/>
      <c r="Z1591" s="29"/>
      <c r="AA1591" s="29"/>
      <c r="AB1591" s="29"/>
      <c r="AC1591" s="29"/>
      <c r="AD1591" s="207"/>
    </row>
    <row r="1592" spans="18:30" ht="29.25" customHeight="1" x14ac:dyDescent="0.25">
      <c r="R1592" s="29"/>
      <c r="S1592" s="29"/>
      <c r="T1592" s="29"/>
      <c r="U1592" s="29"/>
      <c r="V1592" s="29"/>
      <c r="W1592" s="29"/>
      <c r="X1592" s="29"/>
      <c r="Y1592" s="29"/>
      <c r="Z1592" s="29"/>
      <c r="AA1592" s="29"/>
      <c r="AB1592" s="29"/>
      <c r="AC1592" s="29"/>
      <c r="AD1592" s="207"/>
    </row>
    <row r="1593" spans="18:30" ht="29.25" customHeight="1" x14ac:dyDescent="0.25">
      <c r="R1593" s="29"/>
      <c r="S1593" s="29"/>
      <c r="T1593" s="29"/>
      <c r="U1593" s="29"/>
      <c r="V1593" s="29"/>
      <c r="W1593" s="29"/>
      <c r="X1593" s="29"/>
      <c r="Y1593" s="29"/>
      <c r="Z1593" s="29"/>
      <c r="AA1593" s="29"/>
      <c r="AB1593" s="29"/>
      <c r="AC1593" s="29"/>
      <c r="AD1593" s="207"/>
    </row>
    <row r="1594" spans="18:30" ht="29.25" customHeight="1" x14ac:dyDescent="0.25">
      <c r="R1594" s="29"/>
      <c r="S1594" s="29"/>
      <c r="T1594" s="29"/>
      <c r="U1594" s="29"/>
      <c r="V1594" s="29"/>
      <c r="W1594" s="29"/>
      <c r="X1594" s="29"/>
      <c r="Y1594" s="29"/>
      <c r="Z1594" s="29"/>
      <c r="AA1594" s="29"/>
      <c r="AB1594" s="29"/>
      <c r="AC1594" s="29"/>
      <c r="AD1594" s="207"/>
    </row>
    <row r="1595" spans="18:30" ht="29.25" customHeight="1" x14ac:dyDescent="0.25">
      <c r="R1595" s="29"/>
      <c r="S1595" s="29"/>
      <c r="T1595" s="29"/>
      <c r="U1595" s="29"/>
      <c r="V1595" s="29"/>
      <c r="W1595" s="29"/>
      <c r="X1595" s="29"/>
      <c r="Y1595" s="29"/>
      <c r="Z1595" s="29"/>
      <c r="AA1595" s="29"/>
      <c r="AB1595" s="29"/>
      <c r="AC1595" s="29"/>
      <c r="AD1595" s="207"/>
    </row>
    <row r="1596" spans="18:30" ht="29.25" customHeight="1" x14ac:dyDescent="0.25">
      <c r="R1596" s="29"/>
      <c r="S1596" s="29"/>
      <c r="T1596" s="29"/>
      <c r="U1596" s="29"/>
      <c r="V1596" s="29"/>
      <c r="W1596" s="29"/>
      <c r="X1596" s="29"/>
      <c r="Y1596" s="29"/>
      <c r="Z1596" s="29"/>
      <c r="AA1596" s="29"/>
      <c r="AB1596" s="29"/>
      <c r="AC1596" s="29"/>
      <c r="AD1596" s="207"/>
    </row>
    <row r="1597" spans="18:30" ht="29.25" customHeight="1" x14ac:dyDescent="0.25">
      <c r="R1597" s="29"/>
      <c r="S1597" s="29"/>
      <c r="T1597" s="29"/>
      <c r="U1597" s="29"/>
      <c r="V1597" s="29"/>
      <c r="W1597" s="29"/>
      <c r="X1597" s="29"/>
      <c r="Y1597" s="29"/>
      <c r="Z1597" s="29"/>
      <c r="AA1597" s="29"/>
      <c r="AB1597" s="29"/>
      <c r="AC1597" s="29"/>
      <c r="AD1597" s="207"/>
    </row>
    <row r="1598" spans="18:30" ht="29.25" customHeight="1" x14ac:dyDescent="0.25">
      <c r="R1598" s="29"/>
      <c r="S1598" s="29"/>
      <c r="T1598" s="29"/>
      <c r="U1598" s="29"/>
      <c r="V1598" s="29"/>
      <c r="W1598" s="29"/>
      <c r="X1598" s="29"/>
      <c r="Y1598" s="29"/>
      <c r="Z1598" s="29"/>
      <c r="AA1598" s="29"/>
      <c r="AB1598" s="29"/>
      <c r="AC1598" s="29"/>
      <c r="AD1598" s="207"/>
    </row>
    <row r="1599" spans="18:30" ht="29.25" customHeight="1" x14ac:dyDescent="0.25">
      <c r="R1599" s="29"/>
      <c r="S1599" s="29"/>
      <c r="T1599" s="29"/>
      <c r="U1599" s="29"/>
      <c r="V1599" s="29"/>
      <c r="W1599" s="29"/>
      <c r="X1599" s="29"/>
      <c r="Y1599" s="29"/>
      <c r="Z1599" s="29"/>
      <c r="AA1599" s="29"/>
      <c r="AB1599" s="29"/>
      <c r="AC1599" s="29"/>
      <c r="AD1599" s="207"/>
    </row>
    <row r="1600" spans="18:30" ht="29.25" customHeight="1" x14ac:dyDescent="0.25">
      <c r="R1600" s="29"/>
      <c r="S1600" s="29"/>
      <c r="T1600" s="29"/>
      <c r="U1600" s="29"/>
      <c r="V1600" s="29"/>
      <c r="W1600" s="29"/>
      <c r="X1600" s="29"/>
      <c r="Y1600" s="29"/>
      <c r="Z1600" s="29"/>
      <c r="AA1600" s="29"/>
      <c r="AB1600" s="29"/>
      <c r="AC1600" s="29"/>
      <c r="AD1600" s="207"/>
    </row>
    <row r="1601" spans="18:30" ht="29.25" customHeight="1" x14ac:dyDescent="0.25">
      <c r="R1601" s="29"/>
      <c r="S1601" s="29"/>
      <c r="T1601" s="29"/>
      <c r="U1601" s="29"/>
      <c r="V1601" s="29"/>
      <c r="W1601" s="29"/>
      <c r="X1601" s="29"/>
      <c r="Y1601" s="29"/>
      <c r="Z1601" s="29"/>
      <c r="AA1601" s="29"/>
      <c r="AB1601" s="29"/>
      <c r="AC1601" s="29"/>
      <c r="AD1601" s="207"/>
    </row>
    <row r="1602" spans="18:30" ht="29.25" customHeight="1" x14ac:dyDescent="0.25">
      <c r="R1602" s="29"/>
      <c r="S1602" s="29"/>
      <c r="T1602" s="29"/>
      <c r="U1602" s="29"/>
      <c r="V1602" s="29"/>
      <c r="W1602" s="29"/>
      <c r="X1602" s="29"/>
      <c r="Y1602" s="29"/>
      <c r="Z1602" s="29"/>
      <c r="AA1602" s="29"/>
      <c r="AB1602" s="29"/>
      <c r="AC1602" s="29"/>
      <c r="AD1602" s="207"/>
    </row>
    <row r="1603" spans="18:30" ht="29.25" customHeight="1" x14ac:dyDescent="0.25">
      <c r="R1603" s="29"/>
      <c r="S1603" s="29"/>
      <c r="T1603" s="29"/>
      <c r="U1603" s="29"/>
      <c r="V1603" s="29"/>
      <c r="W1603" s="29"/>
      <c r="X1603" s="29"/>
      <c r="Y1603" s="29"/>
      <c r="Z1603" s="29"/>
      <c r="AA1603" s="29"/>
      <c r="AB1603" s="29"/>
      <c r="AC1603" s="29"/>
      <c r="AD1603" s="207"/>
    </row>
    <row r="1604" spans="18:30" ht="29.25" customHeight="1" x14ac:dyDescent="0.25">
      <c r="R1604" s="29"/>
      <c r="S1604" s="29"/>
      <c r="T1604" s="29"/>
      <c r="U1604" s="29"/>
      <c r="V1604" s="29"/>
      <c r="W1604" s="29"/>
      <c r="X1604" s="29"/>
      <c r="Y1604" s="29"/>
      <c r="Z1604" s="29"/>
      <c r="AA1604" s="29"/>
      <c r="AB1604" s="29"/>
      <c r="AC1604" s="29"/>
      <c r="AD1604" s="207"/>
    </row>
    <row r="1605" spans="18:30" ht="29.25" customHeight="1" x14ac:dyDescent="0.25">
      <c r="R1605" s="29"/>
      <c r="S1605" s="29"/>
      <c r="T1605" s="29"/>
      <c r="U1605" s="29"/>
      <c r="V1605" s="29"/>
      <c r="W1605" s="29"/>
      <c r="X1605" s="29"/>
      <c r="Y1605" s="29"/>
      <c r="Z1605" s="29"/>
      <c r="AA1605" s="29"/>
      <c r="AB1605" s="29"/>
      <c r="AC1605" s="29"/>
      <c r="AD1605" s="207"/>
    </row>
    <row r="1606" spans="18:30" ht="29.25" customHeight="1" x14ac:dyDescent="0.25">
      <c r="R1606" s="29"/>
      <c r="S1606" s="29"/>
      <c r="T1606" s="29"/>
      <c r="U1606" s="29"/>
      <c r="V1606" s="29"/>
      <c r="W1606" s="29"/>
      <c r="X1606" s="29"/>
      <c r="Y1606" s="29"/>
      <c r="Z1606" s="29"/>
      <c r="AA1606" s="29"/>
      <c r="AB1606" s="29"/>
      <c r="AC1606" s="29"/>
      <c r="AD1606" s="207"/>
    </row>
    <row r="1607" spans="18:30" ht="29.25" customHeight="1" x14ac:dyDescent="0.25">
      <c r="R1607" s="29"/>
      <c r="S1607" s="29"/>
      <c r="T1607" s="29"/>
      <c r="U1607" s="29"/>
      <c r="V1607" s="29"/>
      <c r="W1607" s="29"/>
      <c r="X1607" s="29"/>
      <c r="Y1607" s="29"/>
      <c r="Z1607" s="29"/>
      <c r="AA1607" s="29"/>
      <c r="AB1607" s="29"/>
      <c r="AC1607" s="29"/>
      <c r="AD1607" s="207"/>
    </row>
    <row r="1608" spans="18:30" ht="29.25" customHeight="1" x14ac:dyDescent="0.25">
      <c r="R1608" s="29"/>
      <c r="S1608" s="29"/>
      <c r="T1608" s="29"/>
      <c r="U1608" s="29"/>
      <c r="V1608" s="29"/>
      <c r="W1608" s="29"/>
      <c r="X1608" s="29"/>
      <c r="Y1608" s="29"/>
      <c r="Z1608" s="29"/>
      <c r="AA1608" s="29"/>
      <c r="AB1608" s="29"/>
      <c r="AC1608" s="29"/>
      <c r="AD1608" s="207"/>
    </row>
    <row r="1609" spans="18:30" ht="29.25" customHeight="1" x14ac:dyDescent="0.25">
      <c r="R1609" s="29"/>
      <c r="S1609" s="29"/>
      <c r="T1609" s="29"/>
      <c r="U1609" s="29"/>
      <c r="V1609" s="29"/>
      <c r="W1609" s="29"/>
      <c r="X1609" s="29"/>
      <c r="Y1609" s="29"/>
      <c r="Z1609" s="29"/>
      <c r="AA1609" s="29"/>
      <c r="AB1609" s="29"/>
      <c r="AC1609" s="29"/>
      <c r="AD1609" s="207"/>
    </row>
    <row r="1610" spans="18:30" ht="29.25" customHeight="1" x14ac:dyDescent="0.25">
      <c r="R1610" s="29"/>
      <c r="S1610" s="29"/>
      <c r="T1610" s="29"/>
      <c r="U1610" s="29"/>
      <c r="V1610" s="29"/>
      <c r="W1610" s="29"/>
      <c r="X1610" s="29"/>
      <c r="Y1610" s="29"/>
      <c r="Z1610" s="29"/>
      <c r="AA1610" s="29"/>
      <c r="AB1610" s="29"/>
      <c r="AC1610" s="29"/>
      <c r="AD1610" s="207"/>
    </row>
    <row r="1611" spans="18:30" ht="29.25" customHeight="1" x14ac:dyDescent="0.25">
      <c r="R1611" s="29"/>
      <c r="S1611" s="29"/>
      <c r="T1611" s="29"/>
      <c r="U1611" s="29"/>
      <c r="V1611" s="29"/>
      <c r="W1611" s="29"/>
      <c r="X1611" s="29"/>
      <c r="Y1611" s="29"/>
      <c r="Z1611" s="29"/>
      <c r="AA1611" s="29"/>
      <c r="AB1611" s="29"/>
      <c r="AC1611" s="29"/>
      <c r="AD1611" s="207"/>
    </row>
    <row r="1612" spans="18:30" ht="29.25" customHeight="1" x14ac:dyDescent="0.25">
      <c r="R1612" s="29"/>
      <c r="S1612" s="29"/>
      <c r="T1612" s="29"/>
      <c r="U1612" s="29"/>
      <c r="V1612" s="29"/>
      <c r="W1612" s="29"/>
      <c r="X1612" s="29"/>
      <c r="Y1612" s="29"/>
      <c r="Z1612" s="29"/>
      <c r="AA1612" s="29"/>
      <c r="AB1612" s="29"/>
      <c r="AC1612" s="29"/>
      <c r="AD1612" s="207"/>
    </row>
    <row r="1613" spans="18:30" ht="29.25" customHeight="1" x14ac:dyDescent="0.25">
      <c r="R1613" s="29"/>
      <c r="S1613" s="29"/>
      <c r="T1613" s="29"/>
      <c r="U1613" s="29"/>
      <c r="V1613" s="29"/>
      <c r="W1613" s="29"/>
      <c r="X1613" s="29"/>
      <c r="Y1613" s="29"/>
      <c r="Z1613" s="29"/>
      <c r="AA1613" s="29"/>
      <c r="AB1613" s="29"/>
      <c r="AC1613" s="29"/>
      <c r="AD1613" s="207"/>
    </row>
    <row r="1614" spans="18:30" ht="29.25" customHeight="1" x14ac:dyDescent="0.25">
      <c r="R1614" s="29"/>
      <c r="S1614" s="29"/>
      <c r="T1614" s="29"/>
      <c r="U1614" s="29"/>
      <c r="V1614" s="29"/>
      <c r="W1614" s="29"/>
      <c r="X1614" s="29"/>
      <c r="Y1614" s="29"/>
      <c r="Z1614" s="29"/>
      <c r="AA1614" s="29"/>
      <c r="AB1614" s="29"/>
      <c r="AC1614" s="29"/>
      <c r="AD1614" s="207"/>
    </row>
    <row r="1615" spans="18:30" ht="29.25" customHeight="1" x14ac:dyDescent="0.25">
      <c r="R1615" s="29"/>
      <c r="S1615" s="29"/>
      <c r="T1615" s="29"/>
      <c r="U1615" s="29"/>
      <c r="V1615" s="29"/>
      <c r="W1615" s="29"/>
      <c r="X1615" s="29"/>
      <c r="Y1615" s="29"/>
      <c r="Z1615" s="29"/>
      <c r="AA1615" s="29"/>
      <c r="AB1615" s="29"/>
      <c r="AC1615" s="29"/>
      <c r="AD1615" s="207"/>
    </row>
    <row r="1616" spans="18:30" ht="29.25" customHeight="1" x14ac:dyDescent="0.25">
      <c r="R1616" s="29"/>
      <c r="S1616" s="29"/>
      <c r="T1616" s="29"/>
      <c r="U1616" s="29"/>
      <c r="V1616" s="29"/>
      <c r="W1616" s="29"/>
      <c r="X1616" s="29"/>
      <c r="Y1616" s="29"/>
      <c r="Z1616" s="29"/>
      <c r="AA1616" s="29"/>
      <c r="AB1616" s="29"/>
      <c r="AC1616" s="29"/>
      <c r="AD1616" s="207"/>
    </row>
    <row r="1617" spans="18:30" ht="29.25" customHeight="1" x14ac:dyDescent="0.25">
      <c r="R1617" s="29"/>
      <c r="S1617" s="29"/>
      <c r="T1617" s="29"/>
      <c r="U1617" s="29"/>
      <c r="V1617" s="29"/>
      <c r="W1617" s="29"/>
      <c r="X1617" s="29"/>
      <c r="Y1617" s="29"/>
      <c r="Z1617" s="29"/>
      <c r="AA1617" s="29"/>
      <c r="AB1617" s="29"/>
      <c r="AC1617" s="29"/>
      <c r="AD1617" s="207"/>
    </row>
    <row r="1618" spans="18:30" ht="29.25" customHeight="1" x14ac:dyDescent="0.25">
      <c r="R1618" s="29"/>
      <c r="S1618" s="29"/>
      <c r="T1618" s="29"/>
      <c r="U1618" s="29"/>
      <c r="V1618" s="29"/>
      <c r="W1618" s="29"/>
      <c r="X1618" s="29"/>
      <c r="Y1618" s="29"/>
      <c r="Z1618" s="29"/>
      <c r="AA1618" s="29"/>
      <c r="AB1618" s="29"/>
      <c r="AC1618" s="29"/>
      <c r="AD1618" s="207"/>
    </row>
    <row r="1619" spans="18:30" ht="29.25" customHeight="1" x14ac:dyDescent="0.25">
      <c r="R1619" s="29"/>
      <c r="S1619" s="29"/>
      <c r="T1619" s="29"/>
      <c r="U1619" s="29"/>
      <c r="V1619" s="29"/>
      <c r="W1619" s="29"/>
      <c r="X1619" s="29"/>
      <c r="Y1619" s="29"/>
      <c r="Z1619" s="29"/>
      <c r="AA1619" s="29"/>
      <c r="AB1619" s="29"/>
      <c r="AC1619" s="29"/>
      <c r="AD1619" s="207"/>
    </row>
    <row r="1620" spans="18:30" ht="29.25" customHeight="1" x14ac:dyDescent="0.25">
      <c r="R1620" s="29"/>
      <c r="S1620" s="29"/>
      <c r="T1620" s="29"/>
      <c r="U1620" s="29"/>
      <c r="V1620" s="29"/>
      <c r="W1620" s="29"/>
      <c r="X1620" s="29"/>
      <c r="Y1620" s="29"/>
      <c r="Z1620" s="29"/>
      <c r="AA1620" s="29"/>
      <c r="AB1620" s="29"/>
      <c r="AC1620" s="29"/>
      <c r="AD1620" s="207"/>
    </row>
    <row r="1621" spans="18:30" ht="29.25" customHeight="1" x14ac:dyDescent="0.25">
      <c r="R1621" s="29"/>
      <c r="S1621" s="29"/>
      <c r="T1621" s="29"/>
      <c r="U1621" s="29"/>
      <c r="V1621" s="29"/>
      <c r="W1621" s="29"/>
      <c r="X1621" s="29"/>
      <c r="Y1621" s="29"/>
      <c r="Z1621" s="29"/>
      <c r="AA1621" s="29"/>
      <c r="AB1621" s="29"/>
      <c r="AC1621" s="29"/>
      <c r="AD1621" s="207"/>
    </row>
    <row r="1622" spans="18:30" ht="29.25" customHeight="1" x14ac:dyDescent="0.25">
      <c r="R1622" s="29"/>
      <c r="S1622" s="29"/>
      <c r="T1622" s="29"/>
      <c r="U1622" s="29"/>
      <c r="V1622" s="29"/>
      <c r="W1622" s="29"/>
      <c r="X1622" s="29"/>
      <c r="Y1622" s="29"/>
      <c r="Z1622" s="29"/>
      <c r="AA1622" s="29"/>
      <c r="AB1622" s="29"/>
      <c r="AC1622" s="29"/>
      <c r="AD1622" s="207"/>
    </row>
    <row r="1623" spans="18:30" ht="29.25" customHeight="1" x14ac:dyDescent="0.25">
      <c r="R1623" s="29"/>
      <c r="S1623" s="29"/>
      <c r="T1623" s="29"/>
      <c r="U1623" s="29"/>
      <c r="V1623" s="29"/>
      <c r="W1623" s="29"/>
      <c r="X1623" s="29"/>
      <c r="Y1623" s="29"/>
      <c r="Z1623" s="29"/>
      <c r="AA1623" s="29"/>
      <c r="AB1623" s="29"/>
      <c r="AC1623" s="29"/>
      <c r="AD1623" s="207"/>
    </row>
    <row r="1624" spans="18:30" ht="29.25" customHeight="1" x14ac:dyDescent="0.25">
      <c r="R1624" s="29"/>
      <c r="S1624" s="29"/>
      <c r="T1624" s="29"/>
      <c r="U1624" s="29"/>
      <c r="V1624" s="29"/>
      <c r="W1624" s="29"/>
      <c r="X1624" s="29"/>
      <c r="Y1624" s="29"/>
      <c r="Z1624" s="29"/>
      <c r="AA1624" s="29"/>
      <c r="AB1624" s="29"/>
      <c r="AC1624" s="29"/>
      <c r="AD1624" s="207"/>
    </row>
    <row r="1625" spans="18:30" ht="29.25" customHeight="1" x14ac:dyDescent="0.25">
      <c r="R1625" s="29"/>
      <c r="S1625" s="29"/>
      <c r="T1625" s="29"/>
      <c r="U1625" s="29"/>
      <c r="V1625" s="29"/>
      <c r="W1625" s="29"/>
      <c r="X1625" s="29"/>
      <c r="Y1625" s="29"/>
      <c r="Z1625" s="29"/>
      <c r="AA1625" s="29"/>
      <c r="AB1625" s="29"/>
      <c r="AC1625" s="29"/>
      <c r="AD1625" s="207"/>
    </row>
    <row r="1626" spans="18:30" ht="29.25" customHeight="1" x14ac:dyDescent="0.25">
      <c r="R1626" s="29"/>
      <c r="S1626" s="29"/>
      <c r="T1626" s="29"/>
      <c r="U1626" s="29"/>
      <c r="V1626" s="29"/>
      <c r="W1626" s="29"/>
      <c r="X1626" s="29"/>
      <c r="Y1626" s="29"/>
      <c r="Z1626" s="29"/>
      <c r="AA1626" s="29"/>
      <c r="AB1626" s="29"/>
      <c r="AC1626" s="29"/>
      <c r="AD1626" s="207"/>
    </row>
    <row r="1627" spans="18:30" ht="29.25" customHeight="1" x14ac:dyDescent="0.25">
      <c r="R1627" s="29"/>
      <c r="S1627" s="29"/>
      <c r="T1627" s="29"/>
      <c r="U1627" s="29"/>
      <c r="V1627" s="29"/>
      <c r="W1627" s="29"/>
      <c r="X1627" s="29"/>
      <c r="Y1627" s="29"/>
      <c r="Z1627" s="29"/>
      <c r="AA1627" s="29"/>
      <c r="AB1627" s="29"/>
      <c r="AC1627" s="29"/>
      <c r="AD1627" s="207"/>
    </row>
    <row r="1628" spans="18:30" ht="29.25" customHeight="1" x14ac:dyDescent="0.25">
      <c r="R1628" s="29"/>
      <c r="S1628" s="29"/>
      <c r="T1628" s="29"/>
      <c r="U1628" s="29"/>
      <c r="V1628" s="29"/>
      <c r="W1628" s="29"/>
      <c r="X1628" s="29"/>
      <c r="Y1628" s="29"/>
      <c r="Z1628" s="29"/>
      <c r="AA1628" s="29"/>
      <c r="AB1628" s="29"/>
      <c r="AC1628" s="29"/>
      <c r="AD1628" s="207"/>
    </row>
    <row r="1629" spans="18:30" ht="29.25" customHeight="1" x14ac:dyDescent="0.25">
      <c r="R1629" s="29"/>
      <c r="S1629" s="29"/>
      <c r="T1629" s="29"/>
      <c r="U1629" s="29"/>
      <c r="V1629" s="29"/>
      <c r="W1629" s="29"/>
      <c r="X1629" s="29"/>
      <c r="Y1629" s="29"/>
      <c r="Z1629" s="29"/>
      <c r="AA1629" s="29"/>
      <c r="AB1629" s="29"/>
      <c r="AC1629" s="29"/>
      <c r="AD1629" s="207"/>
    </row>
    <row r="1630" spans="18:30" ht="29.25" customHeight="1" x14ac:dyDescent="0.25">
      <c r="R1630" s="29"/>
      <c r="S1630" s="29"/>
      <c r="T1630" s="29"/>
      <c r="U1630" s="29"/>
      <c r="V1630" s="29"/>
      <c r="W1630" s="29"/>
      <c r="X1630" s="29"/>
      <c r="Y1630" s="29"/>
      <c r="Z1630" s="29"/>
      <c r="AA1630" s="29"/>
      <c r="AB1630" s="29"/>
      <c r="AC1630" s="29"/>
      <c r="AD1630" s="207"/>
    </row>
    <row r="1631" spans="18:30" ht="29.25" customHeight="1" x14ac:dyDescent="0.25">
      <c r="R1631" s="29"/>
      <c r="S1631" s="29"/>
      <c r="T1631" s="29"/>
      <c r="U1631" s="29"/>
      <c r="V1631" s="29"/>
      <c r="W1631" s="29"/>
      <c r="X1631" s="29"/>
      <c r="Y1631" s="29"/>
      <c r="Z1631" s="29"/>
      <c r="AA1631" s="29"/>
      <c r="AB1631" s="29"/>
      <c r="AC1631" s="29"/>
      <c r="AD1631" s="207"/>
    </row>
    <row r="1632" spans="18:30" ht="29.25" customHeight="1" x14ac:dyDescent="0.25">
      <c r="R1632" s="29"/>
      <c r="S1632" s="29"/>
      <c r="T1632" s="29"/>
      <c r="U1632" s="29"/>
      <c r="V1632" s="29"/>
      <c r="W1632" s="29"/>
      <c r="X1632" s="29"/>
      <c r="Y1632" s="29"/>
      <c r="Z1632" s="29"/>
      <c r="AA1632" s="29"/>
      <c r="AB1632" s="29"/>
      <c r="AC1632" s="29"/>
      <c r="AD1632" s="207"/>
    </row>
    <row r="1633" spans="18:30" ht="29.25" customHeight="1" x14ac:dyDescent="0.25">
      <c r="R1633" s="29"/>
      <c r="S1633" s="29"/>
      <c r="T1633" s="29"/>
      <c r="U1633" s="29"/>
      <c r="V1633" s="29"/>
      <c r="W1633" s="29"/>
      <c r="X1633" s="29"/>
      <c r="Y1633" s="29"/>
      <c r="Z1633" s="29"/>
      <c r="AA1633" s="29"/>
      <c r="AB1633" s="29"/>
      <c r="AC1633" s="29"/>
      <c r="AD1633" s="207"/>
    </row>
    <row r="1634" spans="18:30" ht="29.25" customHeight="1" x14ac:dyDescent="0.25">
      <c r="R1634" s="29"/>
      <c r="S1634" s="29"/>
      <c r="T1634" s="29"/>
      <c r="U1634" s="29"/>
      <c r="V1634" s="29"/>
      <c r="W1634" s="29"/>
      <c r="X1634" s="29"/>
      <c r="Y1634" s="29"/>
      <c r="Z1634" s="29"/>
      <c r="AA1634" s="29"/>
      <c r="AB1634" s="29"/>
      <c r="AC1634" s="29"/>
      <c r="AD1634" s="207"/>
    </row>
    <row r="1635" spans="18:30" ht="29.25" customHeight="1" x14ac:dyDescent="0.25">
      <c r="R1635" s="29"/>
      <c r="S1635" s="29"/>
      <c r="T1635" s="29"/>
      <c r="U1635" s="29"/>
      <c r="V1635" s="29"/>
      <c r="W1635" s="29"/>
      <c r="X1635" s="29"/>
      <c r="Y1635" s="29"/>
      <c r="Z1635" s="29"/>
      <c r="AA1635" s="29"/>
      <c r="AB1635" s="29"/>
      <c r="AC1635" s="29"/>
      <c r="AD1635" s="207"/>
    </row>
    <row r="1636" spans="18:30" ht="29.25" customHeight="1" x14ac:dyDescent="0.25">
      <c r="R1636" s="29"/>
      <c r="S1636" s="29"/>
      <c r="T1636" s="29"/>
      <c r="U1636" s="29"/>
      <c r="V1636" s="29"/>
      <c r="W1636" s="29"/>
      <c r="X1636" s="29"/>
      <c r="Y1636" s="29"/>
      <c r="Z1636" s="29"/>
      <c r="AA1636" s="29"/>
      <c r="AB1636" s="29"/>
      <c r="AC1636" s="29"/>
      <c r="AD1636" s="207"/>
    </row>
    <row r="1637" spans="18:30" ht="29.25" customHeight="1" x14ac:dyDescent="0.25">
      <c r="R1637" s="29"/>
      <c r="S1637" s="29"/>
      <c r="T1637" s="29"/>
      <c r="U1637" s="29"/>
      <c r="V1637" s="29"/>
      <c r="W1637" s="29"/>
      <c r="X1637" s="29"/>
      <c r="Y1637" s="29"/>
      <c r="Z1637" s="29"/>
      <c r="AA1637" s="29"/>
      <c r="AB1637" s="29"/>
      <c r="AC1637" s="29"/>
      <c r="AD1637" s="207"/>
    </row>
    <row r="1638" spans="18:30" ht="29.25" customHeight="1" x14ac:dyDescent="0.25">
      <c r="R1638" s="29"/>
      <c r="S1638" s="29"/>
      <c r="T1638" s="29"/>
      <c r="U1638" s="29"/>
      <c r="V1638" s="29"/>
      <c r="W1638" s="29"/>
      <c r="X1638" s="29"/>
      <c r="Y1638" s="29"/>
      <c r="Z1638" s="29"/>
      <c r="AA1638" s="29"/>
      <c r="AB1638" s="29"/>
      <c r="AC1638" s="29"/>
      <c r="AD1638" s="207"/>
    </row>
    <row r="1639" spans="18:30" ht="29.25" customHeight="1" x14ac:dyDescent="0.25">
      <c r="R1639" s="29"/>
      <c r="S1639" s="29"/>
      <c r="T1639" s="29"/>
      <c r="U1639" s="29"/>
      <c r="V1639" s="29"/>
      <c r="W1639" s="29"/>
      <c r="X1639" s="29"/>
      <c r="Y1639" s="29"/>
      <c r="Z1639" s="29"/>
      <c r="AA1639" s="29"/>
      <c r="AB1639" s="29"/>
      <c r="AC1639" s="29"/>
      <c r="AD1639" s="207"/>
    </row>
    <row r="1640" spans="18:30" ht="29.25" customHeight="1" x14ac:dyDescent="0.25">
      <c r="R1640" s="29"/>
      <c r="S1640" s="29"/>
      <c r="T1640" s="29"/>
      <c r="U1640" s="29"/>
      <c r="V1640" s="29"/>
      <c r="W1640" s="29"/>
      <c r="X1640" s="29"/>
      <c r="Y1640" s="29"/>
      <c r="Z1640" s="29"/>
      <c r="AA1640" s="29"/>
      <c r="AB1640" s="29"/>
      <c r="AC1640" s="29"/>
      <c r="AD1640" s="207"/>
    </row>
    <row r="1641" spans="18:30" ht="29.25" customHeight="1" x14ac:dyDescent="0.25">
      <c r="R1641" s="29"/>
      <c r="S1641" s="29"/>
      <c r="T1641" s="29"/>
      <c r="U1641" s="29"/>
      <c r="V1641" s="29"/>
      <c r="W1641" s="29"/>
      <c r="X1641" s="29"/>
      <c r="Y1641" s="29"/>
      <c r="Z1641" s="29"/>
      <c r="AA1641" s="29"/>
      <c r="AB1641" s="29"/>
      <c r="AC1641" s="29"/>
      <c r="AD1641" s="207"/>
    </row>
    <row r="1642" spans="18:30" ht="29.25" customHeight="1" x14ac:dyDescent="0.25">
      <c r="R1642" s="29"/>
      <c r="S1642" s="29"/>
      <c r="T1642" s="29"/>
      <c r="U1642" s="29"/>
      <c r="V1642" s="29"/>
      <c r="W1642" s="29"/>
      <c r="X1642" s="29"/>
      <c r="Y1642" s="29"/>
      <c r="Z1642" s="29"/>
      <c r="AA1642" s="29"/>
      <c r="AB1642" s="29"/>
      <c r="AC1642" s="29"/>
      <c r="AD1642" s="207"/>
    </row>
    <row r="1643" spans="18:30" ht="29.25" customHeight="1" x14ac:dyDescent="0.25">
      <c r="R1643" s="29"/>
      <c r="S1643" s="29"/>
      <c r="T1643" s="29"/>
      <c r="U1643" s="29"/>
      <c r="V1643" s="29"/>
      <c r="W1643" s="29"/>
      <c r="X1643" s="29"/>
      <c r="Y1643" s="29"/>
      <c r="Z1643" s="29"/>
      <c r="AA1643" s="29"/>
      <c r="AB1643" s="29"/>
      <c r="AC1643" s="29"/>
      <c r="AD1643" s="207"/>
    </row>
    <row r="1644" spans="18:30" ht="29.25" customHeight="1" x14ac:dyDescent="0.25">
      <c r="R1644" s="29"/>
      <c r="S1644" s="29"/>
      <c r="T1644" s="29"/>
      <c r="U1644" s="29"/>
      <c r="V1644" s="29"/>
      <c r="W1644" s="29"/>
      <c r="X1644" s="29"/>
      <c r="Y1644" s="29"/>
      <c r="Z1644" s="29"/>
      <c r="AA1644" s="29"/>
      <c r="AB1644" s="29"/>
      <c r="AC1644" s="29"/>
      <c r="AD1644" s="207"/>
    </row>
    <row r="1645" spans="18:30" ht="29.25" customHeight="1" x14ac:dyDescent="0.25">
      <c r="R1645" s="29"/>
      <c r="S1645" s="29"/>
      <c r="T1645" s="29"/>
      <c r="U1645" s="29"/>
      <c r="V1645" s="29"/>
      <c r="W1645" s="29"/>
      <c r="X1645" s="29"/>
      <c r="Y1645" s="29"/>
      <c r="Z1645" s="29"/>
      <c r="AA1645" s="29"/>
      <c r="AB1645" s="29"/>
      <c r="AC1645" s="29"/>
      <c r="AD1645" s="207"/>
    </row>
    <row r="1646" spans="18:30" ht="29.25" customHeight="1" x14ac:dyDescent="0.25">
      <c r="R1646" s="29"/>
      <c r="S1646" s="29"/>
      <c r="T1646" s="29"/>
      <c r="U1646" s="29"/>
      <c r="V1646" s="29"/>
      <c r="W1646" s="29"/>
      <c r="X1646" s="29"/>
      <c r="Y1646" s="29"/>
      <c r="Z1646" s="29"/>
      <c r="AA1646" s="29"/>
      <c r="AB1646" s="29"/>
      <c r="AC1646" s="29"/>
      <c r="AD1646" s="207"/>
    </row>
    <row r="1647" spans="18:30" ht="29.25" customHeight="1" x14ac:dyDescent="0.25">
      <c r="R1647" s="29"/>
      <c r="S1647" s="29"/>
      <c r="T1647" s="29"/>
      <c r="U1647" s="29"/>
      <c r="V1647" s="29"/>
      <c r="W1647" s="29"/>
      <c r="X1647" s="29"/>
      <c r="Y1647" s="29"/>
      <c r="Z1647" s="29"/>
      <c r="AA1647" s="29"/>
      <c r="AB1647" s="29"/>
      <c r="AC1647" s="29"/>
      <c r="AD1647" s="207"/>
    </row>
    <row r="1648" spans="18:30" ht="29.25" customHeight="1" x14ac:dyDescent="0.25">
      <c r="R1648" s="29"/>
      <c r="S1648" s="29"/>
      <c r="T1648" s="29"/>
      <c r="U1648" s="29"/>
      <c r="V1648" s="29"/>
      <c r="W1648" s="29"/>
      <c r="X1648" s="29"/>
      <c r="Y1648" s="29"/>
      <c r="Z1648" s="29"/>
      <c r="AA1648" s="29"/>
      <c r="AB1648" s="29"/>
      <c r="AC1648" s="29"/>
      <c r="AD1648" s="207"/>
    </row>
    <row r="1649" spans="18:30" ht="29.25" customHeight="1" x14ac:dyDescent="0.25">
      <c r="R1649" s="29"/>
      <c r="S1649" s="29"/>
      <c r="T1649" s="29"/>
      <c r="U1649" s="29"/>
      <c r="V1649" s="29"/>
      <c r="W1649" s="29"/>
      <c r="X1649" s="29"/>
      <c r="Y1649" s="29"/>
      <c r="Z1649" s="29"/>
      <c r="AA1649" s="29"/>
      <c r="AB1649" s="29"/>
      <c r="AC1649" s="29"/>
      <c r="AD1649" s="207"/>
    </row>
    <row r="1650" spans="18:30" ht="29.25" customHeight="1" x14ac:dyDescent="0.25">
      <c r="R1650" s="29"/>
      <c r="S1650" s="29"/>
      <c r="T1650" s="29"/>
      <c r="U1650" s="29"/>
      <c r="V1650" s="29"/>
      <c r="W1650" s="29"/>
      <c r="X1650" s="29"/>
      <c r="Y1650" s="29"/>
      <c r="Z1650" s="29"/>
      <c r="AA1650" s="29"/>
      <c r="AB1650" s="29"/>
      <c r="AC1650" s="29"/>
      <c r="AD1650" s="207"/>
    </row>
    <row r="1651" spans="18:30" ht="29.25" customHeight="1" x14ac:dyDescent="0.25">
      <c r="R1651" s="29"/>
      <c r="S1651" s="29"/>
      <c r="T1651" s="29"/>
      <c r="U1651" s="29"/>
      <c r="V1651" s="29"/>
      <c r="W1651" s="29"/>
      <c r="X1651" s="29"/>
      <c r="Y1651" s="29"/>
      <c r="Z1651" s="29"/>
      <c r="AA1651" s="29"/>
      <c r="AB1651" s="29"/>
      <c r="AC1651" s="29"/>
      <c r="AD1651" s="207"/>
    </row>
    <row r="1652" spans="18:30" ht="29.25" customHeight="1" x14ac:dyDescent="0.25">
      <c r="R1652" s="29"/>
      <c r="S1652" s="29"/>
      <c r="T1652" s="29"/>
      <c r="U1652" s="29"/>
      <c r="V1652" s="29"/>
      <c r="W1652" s="29"/>
      <c r="X1652" s="29"/>
      <c r="Y1652" s="29"/>
      <c r="Z1652" s="29"/>
      <c r="AA1652" s="29"/>
      <c r="AB1652" s="29"/>
      <c r="AC1652" s="29"/>
      <c r="AD1652" s="207"/>
    </row>
    <row r="1653" spans="18:30" ht="29.25" customHeight="1" x14ac:dyDescent="0.25">
      <c r="R1653" s="29"/>
      <c r="S1653" s="29"/>
      <c r="T1653" s="29"/>
      <c r="U1653" s="29"/>
      <c r="V1653" s="29"/>
      <c r="W1653" s="29"/>
      <c r="X1653" s="29"/>
      <c r="Y1653" s="29"/>
      <c r="Z1653" s="29"/>
      <c r="AA1653" s="29"/>
      <c r="AB1653" s="29"/>
      <c r="AC1653" s="29"/>
      <c r="AD1653" s="207"/>
    </row>
    <row r="1654" spans="18:30" ht="29.25" customHeight="1" x14ac:dyDescent="0.25">
      <c r="R1654" s="29"/>
      <c r="S1654" s="29"/>
      <c r="T1654" s="29"/>
      <c r="U1654" s="29"/>
      <c r="V1654" s="29"/>
      <c r="W1654" s="29"/>
      <c r="X1654" s="29"/>
      <c r="Y1654" s="29"/>
      <c r="Z1654" s="29"/>
      <c r="AA1654" s="29"/>
      <c r="AB1654" s="29"/>
      <c r="AC1654" s="29"/>
      <c r="AD1654" s="207"/>
    </row>
    <row r="1655" spans="18:30" ht="29.25" customHeight="1" x14ac:dyDescent="0.25">
      <c r="R1655" s="29"/>
      <c r="S1655" s="29"/>
      <c r="T1655" s="29"/>
      <c r="U1655" s="29"/>
      <c r="V1655" s="29"/>
      <c r="W1655" s="29"/>
      <c r="X1655" s="29"/>
      <c r="Y1655" s="29"/>
      <c r="Z1655" s="29"/>
      <c r="AA1655" s="29"/>
      <c r="AB1655" s="29"/>
      <c r="AC1655" s="29"/>
      <c r="AD1655" s="207"/>
    </row>
    <row r="1656" spans="18:30" ht="29.25" customHeight="1" x14ac:dyDescent="0.25">
      <c r="R1656" s="29"/>
      <c r="S1656" s="29"/>
      <c r="T1656" s="29"/>
      <c r="U1656" s="29"/>
      <c r="V1656" s="29"/>
      <c r="W1656" s="29"/>
      <c r="X1656" s="29"/>
      <c r="Y1656" s="29"/>
      <c r="Z1656" s="29"/>
      <c r="AA1656" s="29"/>
      <c r="AB1656" s="29"/>
      <c r="AC1656" s="29"/>
      <c r="AD1656" s="207"/>
    </row>
    <row r="1657" spans="18:30" ht="29.25" customHeight="1" x14ac:dyDescent="0.25">
      <c r="R1657" s="29"/>
      <c r="S1657" s="29"/>
      <c r="T1657" s="29"/>
      <c r="U1657" s="29"/>
      <c r="V1657" s="29"/>
      <c r="W1657" s="29"/>
      <c r="X1657" s="29"/>
      <c r="Y1657" s="29"/>
      <c r="Z1657" s="29"/>
      <c r="AA1657" s="29"/>
      <c r="AB1657" s="29"/>
      <c r="AC1657" s="29"/>
      <c r="AD1657" s="207"/>
    </row>
    <row r="1658" spans="18:30" ht="29.25" customHeight="1" x14ac:dyDescent="0.25">
      <c r="R1658" s="29"/>
      <c r="S1658" s="29"/>
      <c r="T1658" s="29"/>
      <c r="U1658" s="29"/>
      <c r="V1658" s="29"/>
      <c r="W1658" s="29"/>
      <c r="X1658" s="29"/>
      <c r="Y1658" s="29"/>
      <c r="Z1658" s="29"/>
      <c r="AA1658" s="29"/>
      <c r="AB1658" s="29"/>
      <c r="AC1658" s="29"/>
      <c r="AD1658" s="207"/>
    </row>
    <row r="1659" spans="18:30" ht="29.25" customHeight="1" x14ac:dyDescent="0.25">
      <c r="R1659" s="29"/>
      <c r="S1659" s="29"/>
      <c r="T1659" s="29"/>
      <c r="U1659" s="29"/>
      <c r="V1659" s="29"/>
      <c r="W1659" s="29"/>
      <c r="X1659" s="29"/>
      <c r="Y1659" s="29"/>
      <c r="Z1659" s="29"/>
      <c r="AA1659" s="29"/>
      <c r="AB1659" s="29"/>
      <c r="AC1659" s="29"/>
      <c r="AD1659" s="207"/>
    </row>
    <row r="1660" spans="18:30" ht="29.25" customHeight="1" x14ac:dyDescent="0.25">
      <c r="R1660" s="29"/>
      <c r="S1660" s="29"/>
      <c r="T1660" s="29"/>
      <c r="U1660" s="29"/>
      <c r="V1660" s="29"/>
      <c r="W1660" s="29"/>
      <c r="X1660" s="29"/>
      <c r="Y1660" s="29"/>
      <c r="Z1660" s="29"/>
      <c r="AA1660" s="29"/>
      <c r="AB1660" s="29"/>
      <c r="AC1660" s="29"/>
      <c r="AD1660" s="207"/>
    </row>
    <row r="1661" spans="18:30" ht="29.25" customHeight="1" x14ac:dyDescent="0.25">
      <c r="R1661" s="29"/>
      <c r="S1661" s="29"/>
      <c r="T1661" s="29"/>
      <c r="U1661" s="29"/>
      <c r="V1661" s="29"/>
      <c r="W1661" s="29"/>
      <c r="X1661" s="29"/>
      <c r="Y1661" s="29"/>
      <c r="Z1661" s="29"/>
      <c r="AA1661" s="29"/>
      <c r="AB1661" s="29"/>
      <c r="AC1661" s="29"/>
      <c r="AD1661" s="207"/>
    </row>
    <row r="1662" spans="18:30" ht="29.25" customHeight="1" x14ac:dyDescent="0.25">
      <c r="R1662" s="29"/>
      <c r="S1662" s="29"/>
      <c r="T1662" s="29"/>
      <c r="U1662" s="29"/>
      <c r="V1662" s="29"/>
      <c r="W1662" s="29"/>
      <c r="X1662" s="29"/>
      <c r="Y1662" s="29"/>
      <c r="Z1662" s="29"/>
      <c r="AA1662" s="29"/>
      <c r="AB1662" s="29"/>
      <c r="AC1662" s="29"/>
      <c r="AD1662" s="207"/>
    </row>
    <row r="1663" spans="18:30" ht="29.25" customHeight="1" x14ac:dyDescent="0.25">
      <c r="R1663" s="29"/>
      <c r="S1663" s="29"/>
      <c r="T1663" s="29"/>
      <c r="U1663" s="29"/>
      <c r="V1663" s="29"/>
      <c r="W1663" s="29"/>
      <c r="X1663" s="29"/>
      <c r="Y1663" s="29"/>
      <c r="Z1663" s="29"/>
      <c r="AA1663" s="29"/>
      <c r="AB1663" s="29"/>
      <c r="AC1663" s="29"/>
      <c r="AD1663" s="207"/>
    </row>
    <row r="1664" spans="18:30" ht="29.25" customHeight="1" x14ac:dyDescent="0.25">
      <c r="R1664" s="29"/>
      <c r="S1664" s="29"/>
      <c r="T1664" s="29"/>
      <c r="U1664" s="29"/>
      <c r="V1664" s="29"/>
      <c r="W1664" s="29"/>
      <c r="X1664" s="29"/>
      <c r="Y1664" s="29"/>
      <c r="Z1664" s="29"/>
      <c r="AA1664" s="29"/>
      <c r="AB1664" s="29"/>
      <c r="AC1664" s="29"/>
      <c r="AD1664" s="207"/>
    </row>
    <row r="1665" spans="18:30" ht="29.25" customHeight="1" x14ac:dyDescent="0.25">
      <c r="R1665" s="29"/>
      <c r="S1665" s="29"/>
      <c r="T1665" s="29"/>
      <c r="U1665" s="29"/>
      <c r="V1665" s="29"/>
      <c r="W1665" s="29"/>
      <c r="X1665" s="29"/>
      <c r="Y1665" s="29"/>
      <c r="Z1665" s="29"/>
      <c r="AA1665" s="29"/>
      <c r="AB1665" s="29"/>
      <c r="AC1665" s="29"/>
      <c r="AD1665" s="207"/>
    </row>
    <row r="1666" spans="18:30" ht="29.25" customHeight="1" x14ac:dyDescent="0.25">
      <c r="R1666" s="29"/>
      <c r="S1666" s="29"/>
      <c r="T1666" s="29"/>
      <c r="U1666" s="29"/>
      <c r="V1666" s="29"/>
      <c r="W1666" s="29"/>
      <c r="X1666" s="29"/>
      <c r="Y1666" s="29"/>
      <c r="Z1666" s="29"/>
      <c r="AA1666" s="29"/>
      <c r="AB1666" s="29"/>
      <c r="AC1666" s="29"/>
      <c r="AD1666" s="207"/>
    </row>
    <row r="1667" spans="18:30" ht="29.25" customHeight="1" x14ac:dyDescent="0.25">
      <c r="R1667" s="29"/>
      <c r="S1667" s="29"/>
      <c r="T1667" s="29"/>
      <c r="U1667" s="29"/>
      <c r="V1667" s="29"/>
      <c r="W1667" s="29"/>
      <c r="X1667" s="29"/>
      <c r="Y1667" s="29"/>
      <c r="Z1667" s="29"/>
      <c r="AA1667" s="29"/>
      <c r="AB1667" s="29"/>
      <c r="AC1667" s="29"/>
      <c r="AD1667" s="207"/>
    </row>
    <row r="1668" spans="18:30" ht="29.25" customHeight="1" x14ac:dyDescent="0.25">
      <c r="R1668" s="29"/>
      <c r="S1668" s="29"/>
      <c r="T1668" s="29"/>
      <c r="U1668" s="29"/>
      <c r="V1668" s="29"/>
      <c r="W1668" s="29"/>
      <c r="X1668" s="29"/>
      <c r="Y1668" s="29"/>
      <c r="Z1668" s="29"/>
      <c r="AA1668" s="29"/>
      <c r="AB1668" s="29"/>
      <c r="AC1668" s="29"/>
      <c r="AD1668" s="207"/>
    </row>
    <row r="1669" spans="18:30" ht="29.25" customHeight="1" x14ac:dyDescent="0.25">
      <c r="R1669" s="29"/>
      <c r="S1669" s="29"/>
      <c r="T1669" s="29"/>
      <c r="U1669" s="29"/>
      <c r="V1669" s="29"/>
      <c r="W1669" s="29"/>
      <c r="X1669" s="29"/>
      <c r="Y1669" s="29"/>
      <c r="Z1669" s="29"/>
      <c r="AA1669" s="29"/>
      <c r="AB1669" s="29"/>
      <c r="AC1669" s="29"/>
      <c r="AD1669" s="207"/>
    </row>
    <row r="1670" spans="18:30" ht="29.25" customHeight="1" x14ac:dyDescent="0.25">
      <c r="R1670" s="29"/>
      <c r="S1670" s="29"/>
      <c r="T1670" s="29"/>
      <c r="U1670" s="29"/>
      <c r="V1670" s="29"/>
      <c r="W1670" s="29"/>
      <c r="X1670" s="29"/>
      <c r="Y1670" s="29"/>
      <c r="Z1670" s="29"/>
      <c r="AA1670" s="29"/>
      <c r="AB1670" s="29"/>
      <c r="AC1670" s="29"/>
      <c r="AD1670" s="207"/>
    </row>
    <row r="1671" spans="18:30" ht="29.25" customHeight="1" x14ac:dyDescent="0.25">
      <c r="R1671" s="29"/>
      <c r="S1671" s="29"/>
      <c r="T1671" s="29"/>
      <c r="U1671" s="29"/>
      <c r="V1671" s="29"/>
      <c r="W1671" s="29"/>
      <c r="X1671" s="29"/>
      <c r="Y1671" s="29"/>
      <c r="Z1671" s="29"/>
      <c r="AA1671" s="29"/>
      <c r="AB1671" s="29"/>
      <c r="AC1671" s="29"/>
      <c r="AD1671" s="207"/>
    </row>
    <row r="1672" spans="18:30" ht="29.25" customHeight="1" x14ac:dyDescent="0.25">
      <c r="R1672" s="29"/>
      <c r="S1672" s="29"/>
      <c r="T1672" s="29"/>
      <c r="U1672" s="29"/>
      <c r="V1672" s="29"/>
      <c r="W1672" s="29"/>
      <c r="X1672" s="29"/>
      <c r="Y1672" s="29"/>
      <c r="Z1672" s="29"/>
      <c r="AA1672" s="29"/>
      <c r="AB1672" s="29"/>
      <c r="AC1672" s="29"/>
      <c r="AD1672" s="207"/>
    </row>
    <row r="1673" spans="18:30" ht="29.25" customHeight="1" x14ac:dyDescent="0.25">
      <c r="R1673" s="29"/>
      <c r="S1673" s="29"/>
      <c r="T1673" s="29"/>
      <c r="U1673" s="29"/>
      <c r="V1673" s="29"/>
      <c r="W1673" s="29"/>
      <c r="X1673" s="29"/>
      <c r="Y1673" s="29"/>
      <c r="Z1673" s="29"/>
      <c r="AA1673" s="29"/>
      <c r="AB1673" s="29"/>
      <c r="AC1673" s="29"/>
      <c r="AD1673" s="207"/>
    </row>
    <row r="1674" spans="18:30" ht="29.25" customHeight="1" x14ac:dyDescent="0.25">
      <c r="R1674" s="29"/>
      <c r="S1674" s="29"/>
      <c r="T1674" s="29"/>
      <c r="U1674" s="29"/>
      <c r="V1674" s="29"/>
      <c r="W1674" s="29"/>
      <c r="X1674" s="29"/>
      <c r="Y1674" s="29"/>
      <c r="Z1674" s="29"/>
      <c r="AA1674" s="29"/>
      <c r="AB1674" s="29"/>
      <c r="AC1674" s="29"/>
      <c r="AD1674" s="207"/>
    </row>
    <row r="1675" spans="18:30" ht="29.25" customHeight="1" x14ac:dyDescent="0.25">
      <c r="R1675" s="29"/>
      <c r="S1675" s="29"/>
      <c r="T1675" s="29"/>
      <c r="U1675" s="29"/>
      <c r="V1675" s="29"/>
      <c r="W1675" s="29"/>
      <c r="X1675" s="29"/>
      <c r="Y1675" s="29"/>
      <c r="Z1675" s="29"/>
      <c r="AA1675" s="29"/>
      <c r="AB1675" s="29"/>
      <c r="AC1675" s="29"/>
      <c r="AD1675" s="207"/>
    </row>
    <row r="1676" spans="18:30" ht="29.25" customHeight="1" x14ac:dyDescent="0.25">
      <c r="R1676" s="29"/>
      <c r="S1676" s="29"/>
      <c r="T1676" s="29"/>
      <c r="U1676" s="29"/>
      <c r="V1676" s="29"/>
      <c r="W1676" s="29"/>
      <c r="X1676" s="29"/>
      <c r="Y1676" s="29"/>
      <c r="Z1676" s="29"/>
      <c r="AA1676" s="29"/>
      <c r="AB1676" s="29"/>
      <c r="AC1676" s="29"/>
      <c r="AD1676" s="207"/>
    </row>
    <row r="1677" spans="18:30" ht="29.25" customHeight="1" x14ac:dyDescent="0.25">
      <c r="R1677" s="29"/>
      <c r="S1677" s="29"/>
      <c r="T1677" s="29"/>
      <c r="U1677" s="29"/>
      <c r="V1677" s="29"/>
      <c r="W1677" s="29"/>
      <c r="X1677" s="29"/>
      <c r="Y1677" s="29"/>
      <c r="Z1677" s="29"/>
      <c r="AA1677" s="29"/>
      <c r="AB1677" s="29"/>
      <c r="AC1677" s="29"/>
      <c r="AD1677" s="207"/>
    </row>
    <row r="1678" spans="18:30" ht="29.25" customHeight="1" x14ac:dyDescent="0.25">
      <c r="R1678" s="29"/>
      <c r="S1678" s="29"/>
      <c r="T1678" s="29"/>
      <c r="U1678" s="29"/>
      <c r="V1678" s="29"/>
      <c r="W1678" s="29"/>
      <c r="X1678" s="29"/>
      <c r="Y1678" s="29"/>
      <c r="Z1678" s="29"/>
      <c r="AA1678" s="29"/>
      <c r="AB1678" s="29"/>
      <c r="AC1678" s="29"/>
      <c r="AD1678" s="207"/>
    </row>
    <row r="1679" spans="18:30" ht="29.25" customHeight="1" x14ac:dyDescent="0.25">
      <c r="R1679" s="29"/>
      <c r="S1679" s="29"/>
      <c r="T1679" s="29"/>
      <c r="U1679" s="29"/>
      <c r="V1679" s="29"/>
      <c r="W1679" s="29"/>
      <c r="X1679" s="29"/>
      <c r="Y1679" s="29"/>
      <c r="Z1679" s="29"/>
      <c r="AA1679" s="29"/>
      <c r="AB1679" s="29"/>
      <c r="AC1679" s="29"/>
      <c r="AD1679" s="207"/>
    </row>
    <row r="1680" spans="18:30" ht="29.25" customHeight="1" x14ac:dyDescent="0.25">
      <c r="R1680" s="29"/>
      <c r="S1680" s="29"/>
      <c r="T1680" s="29"/>
      <c r="U1680" s="29"/>
      <c r="V1680" s="29"/>
      <c r="W1680" s="29"/>
      <c r="X1680" s="29"/>
      <c r="Y1680" s="29"/>
      <c r="Z1680" s="29"/>
      <c r="AA1680" s="29"/>
      <c r="AB1680" s="29"/>
      <c r="AC1680" s="29"/>
      <c r="AD1680" s="207"/>
    </row>
    <row r="1681" spans="18:30" ht="29.25" customHeight="1" x14ac:dyDescent="0.25">
      <c r="R1681" s="29"/>
      <c r="S1681" s="29"/>
      <c r="T1681" s="29"/>
      <c r="U1681" s="29"/>
      <c r="V1681" s="29"/>
      <c r="W1681" s="29"/>
      <c r="X1681" s="29"/>
      <c r="Y1681" s="29"/>
      <c r="Z1681" s="29"/>
      <c r="AA1681" s="29"/>
      <c r="AB1681" s="29"/>
      <c r="AC1681" s="29"/>
      <c r="AD1681" s="207"/>
    </row>
    <row r="1682" spans="18:30" ht="29.25" customHeight="1" x14ac:dyDescent="0.25">
      <c r="R1682" s="29"/>
      <c r="S1682" s="29"/>
      <c r="T1682" s="29"/>
      <c r="U1682" s="29"/>
      <c r="V1682" s="29"/>
      <c r="W1682" s="29"/>
      <c r="X1682" s="29"/>
      <c r="Y1682" s="29"/>
      <c r="Z1682" s="29"/>
      <c r="AA1682" s="29"/>
      <c r="AB1682" s="29"/>
      <c r="AC1682" s="29"/>
      <c r="AD1682" s="207"/>
    </row>
    <row r="1683" spans="18:30" ht="29.25" customHeight="1" x14ac:dyDescent="0.25">
      <c r="R1683" s="29"/>
      <c r="S1683" s="29"/>
      <c r="T1683" s="29"/>
      <c r="U1683" s="29"/>
      <c r="V1683" s="29"/>
      <c r="W1683" s="29"/>
      <c r="X1683" s="29"/>
      <c r="Y1683" s="29"/>
      <c r="Z1683" s="29"/>
      <c r="AA1683" s="29"/>
      <c r="AB1683" s="29"/>
      <c r="AC1683" s="29"/>
      <c r="AD1683" s="207"/>
    </row>
    <row r="1684" spans="18:30" ht="29.25" customHeight="1" x14ac:dyDescent="0.25">
      <c r="R1684" s="29"/>
      <c r="S1684" s="29"/>
      <c r="T1684" s="29"/>
      <c r="U1684" s="29"/>
      <c r="V1684" s="29"/>
      <c r="W1684" s="29"/>
      <c r="X1684" s="29"/>
      <c r="Y1684" s="29"/>
      <c r="Z1684" s="29"/>
      <c r="AA1684" s="29"/>
      <c r="AB1684" s="29"/>
      <c r="AC1684" s="29"/>
      <c r="AD1684" s="207"/>
    </row>
    <row r="1685" spans="18:30" ht="29.25" customHeight="1" x14ac:dyDescent="0.25">
      <c r="R1685" s="29"/>
      <c r="S1685" s="29"/>
      <c r="T1685" s="29"/>
      <c r="U1685" s="29"/>
      <c r="V1685" s="29"/>
      <c r="W1685" s="29"/>
      <c r="X1685" s="29"/>
      <c r="Y1685" s="29"/>
      <c r="Z1685" s="29"/>
      <c r="AA1685" s="29"/>
      <c r="AB1685" s="29"/>
      <c r="AC1685" s="29"/>
      <c r="AD1685" s="207"/>
    </row>
    <row r="1686" spans="18:30" ht="29.25" customHeight="1" x14ac:dyDescent="0.25">
      <c r="R1686" s="29"/>
      <c r="S1686" s="29"/>
      <c r="T1686" s="29"/>
      <c r="U1686" s="29"/>
      <c r="V1686" s="29"/>
      <c r="W1686" s="29"/>
      <c r="X1686" s="29"/>
      <c r="Y1686" s="29"/>
      <c r="Z1686" s="29"/>
      <c r="AA1686" s="29"/>
      <c r="AB1686" s="29"/>
      <c r="AC1686" s="29"/>
      <c r="AD1686" s="207"/>
    </row>
    <row r="1687" spans="18:30" ht="29.25" customHeight="1" x14ac:dyDescent="0.25">
      <c r="R1687" s="29"/>
      <c r="S1687" s="29"/>
      <c r="T1687" s="29"/>
      <c r="U1687" s="29"/>
      <c r="V1687" s="29"/>
      <c r="W1687" s="29"/>
      <c r="X1687" s="29"/>
      <c r="Y1687" s="29"/>
      <c r="Z1687" s="29"/>
      <c r="AA1687" s="29"/>
      <c r="AB1687" s="29"/>
      <c r="AC1687" s="29"/>
      <c r="AD1687" s="207"/>
    </row>
    <row r="1688" spans="18:30" ht="29.25" customHeight="1" x14ac:dyDescent="0.25">
      <c r="R1688" s="29"/>
      <c r="S1688" s="29"/>
      <c r="T1688" s="29"/>
      <c r="U1688" s="29"/>
      <c r="V1688" s="29"/>
      <c r="W1688" s="29"/>
      <c r="X1688" s="29"/>
      <c r="Y1688" s="29"/>
      <c r="Z1688" s="29"/>
      <c r="AA1688" s="29"/>
      <c r="AB1688" s="29"/>
      <c r="AC1688" s="29"/>
      <c r="AD1688" s="207"/>
    </row>
    <row r="1689" spans="18:30" ht="29.25" customHeight="1" x14ac:dyDescent="0.25">
      <c r="R1689" s="29"/>
      <c r="S1689" s="29"/>
      <c r="T1689" s="29"/>
      <c r="U1689" s="29"/>
      <c r="V1689" s="29"/>
      <c r="W1689" s="29"/>
      <c r="X1689" s="29"/>
      <c r="Y1689" s="29"/>
      <c r="Z1689" s="29"/>
      <c r="AA1689" s="29"/>
      <c r="AB1689" s="29"/>
      <c r="AC1689" s="29"/>
      <c r="AD1689" s="207"/>
    </row>
    <row r="1690" spans="18:30" ht="29.25" customHeight="1" x14ac:dyDescent="0.25">
      <c r="R1690" s="29"/>
      <c r="S1690" s="29"/>
      <c r="T1690" s="29"/>
      <c r="U1690" s="29"/>
      <c r="V1690" s="29"/>
      <c r="W1690" s="29"/>
      <c r="X1690" s="29"/>
      <c r="Y1690" s="29"/>
      <c r="Z1690" s="29"/>
      <c r="AA1690" s="29"/>
      <c r="AB1690" s="29"/>
      <c r="AC1690" s="29"/>
      <c r="AD1690" s="207"/>
    </row>
    <row r="1691" spans="18:30" ht="29.25" customHeight="1" x14ac:dyDescent="0.25">
      <c r="R1691" s="29"/>
      <c r="S1691" s="29"/>
      <c r="T1691" s="29"/>
      <c r="U1691" s="29"/>
      <c r="V1691" s="29"/>
      <c r="W1691" s="29"/>
      <c r="X1691" s="29"/>
      <c r="Y1691" s="29"/>
      <c r="Z1691" s="29"/>
      <c r="AA1691" s="29"/>
      <c r="AB1691" s="29"/>
      <c r="AC1691" s="29"/>
      <c r="AD1691" s="207"/>
    </row>
    <row r="1692" spans="18:30" ht="29.25" customHeight="1" x14ac:dyDescent="0.25">
      <c r="R1692" s="29"/>
      <c r="S1692" s="29"/>
      <c r="T1692" s="29"/>
      <c r="U1692" s="29"/>
      <c r="V1692" s="29"/>
      <c r="W1692" s="29"/>
      <c r="X1692" s="29"/>
      <c r="Y1692" s="29"/>
      <c r="Z1692" s="29"/>
      <c r="AA1692" s="29"/>
      <c r="AB1692" s="29"/>
      <c r="AC1692" s="29"/>
      <c r="AD1692" s="207"/>
    </row>
    <row r="1693" spans="18:30" ht="29.25" customHeight="1" x14ac:dyDescent="0.25">
      <c r="R1693" s="29"/>
      <c r="S1693" s="29"/>
      <c r="T1693" s="29"/>
      <c r="U1693" s="29"/>
      <c r="V1693" s="29"/>
      <c r="W1693" s="29"/>
      <c r="X1693" s="29"/>
      <c r="Y1693" s="29"/>
      <c r="Z1693" s="29"/>
      <c r="AA1693" s="29"/>
      <c r="AB1693" s="29"/>
      <c r="AC1693" s="29"/>
      <c r="AD1693" s="207"/>
    </row>
    <row r="1694" spans="18:30" ht="29.25" customHeight="1" x14ac:dyDescent="0.25">
      <c r="R1694" s="29"/>
      <c r="S1694" s="29"/>
      <c r="T1694" s="29"/>
      <c r="U1694" s="29"/>
      <c r="V1694" s="29"/>
      <c r="W1694" s="29"/>
      <c r="X1694" s="29"/>
      <c r="Y1694" s="29"/>
      <c r="Z1694" s="29"/>
      <c r="AA1694" s="29"/>
      <c r="AB1694" s="29"/>
      <c r="AC1694" s="29"/>
      <c r="AD1694" s="207"/>
    </row>
    <row r="1695" spans="18:30" ht="29.25" customHeight="1" x14ac:dyDescent="0.25">
      <c r="R1695" s="29"/>
      <c r="S1695" s="29"/>
      <c r="T1695" s="29"/>
      <c r="U1695" s="29"/>
      <c r="V1695" s="29"/>
      <c r="W1695" s="29"/>
      <c r="X1695" s="29"/>
      <c r="Y1695" s="29"/>
      <c r="Z1695" s="29"/>
      <c r="AA1695" s="29"/>
      <c r="AB1695" s="29"/>
      <c r="AC1695" s="29"/>
      <c r="AD1695" s="207"/>
    </row>
    <row r="1696" spans="18:30" ht="29.25" customHeight="1" x14ac:dyDescent="0.25">
      <c r="R1696" s="29"/>
      <c r="S1696" s="29"/>
      <c r="T1696" s="29"/>
      <c r="U1696" s="29"/>
      <c r="V1696" s="29"/>
      <c r="W1696" s="29"/>
      <c r="X1696" s="29"/>
      <c r="Y1696" s="29"/>
      <c r="Z1696" s="29"/>
      <c r="AA1696" s="29"/>
      <c r="AB1696" s="29"/>
      <c r="AC1696" s="29"/>
      <c r="AD1696" s="207"/>
    </row>
    <row r="1697" spans="18:30" ht="29.25" customHeight="1" x14ac:dyDescent="0.25">
      <c r="R1697" s="29"/>
      <c r="S1697" s="29"/>
      <c r="T1697" s="29"/>
      <c r="U1697" s="29"/>
      <c r="V1697" s="29"/>
      <c r="W1697" s="29"/>
      <c r="X1697" s="29"/>
      <c r="Y1697" s="29"/>
      <c r="Z1697" s="29"/>
      <c r="AA1697" s="29"/>
      <c r="AB1697" s="29"/>
      <c r="AC1697" s="29"/>
      <c r="AD1697" s="207"/>
    </row>
    <row r="1698" spans="18:30" ht="29.25" customHeight="1" x14ac:dyDescent="0.25">
      <c r="R1698" s="29"/>
      <c r="S1698" s="29"/>
      <c r="T1698" s="29"/>
      <c r="U1698" s="29"/>
      <c r="V1698" s="29"/>
      <c r="W1698" s="29"/>
      <c r="X1698" s="29"/>
      <c r="Y1698" s="29"/>
      <c r="Z1698" s="29"/>
      <c r="AA1698" s="29"/>
      <c r="AB1698" s="29"/>
      <c r="AC1698" s="29"/>
      <c r="AD1698" s="207"/>
    </row>
    <row r="1699" spans="18:30" ht="29.25" customHeight="1" x14ac:dyDescent="0.25">
      <c r="R1699" s="29"/>
      <c r="S1699" s="29"/>
      <c r="T1699" s="29"/>
      <c r="U1699" s="29"/>
      <c r="V1699" s="29"/>
      <c r="W1699" s="29"/>
      <c r="X1699" s="29"/>
      <c r="Y1699" s="29"/>
      <c r="Z1699" s="29"/>
      <c r="AA1699" s="29"/>
      <c r="AB1699" s="29"/>
      <c r="AC1699" s="29"/>
      <c r="AD1699" s="207"/>
    </row>
    <row r="1700" spans="18:30" ht="29.25" customHeight="1" x14ac:dyDescent="0.25">
      <c r="R1700" s="29"/>
      <c r="S1700" s="29"/>
      <c r="T1700" s="29"/>
      <c r="U1700" s="29"/>
      <c r="V1700" s="29"/>
      <c r="W1700" s="29"/>
      <c r="X1700" s="29"/>
      <c r="Y1700" s="29"/>
      <c r="Z1700" s="29"/>
      <c r="AA1700" s="29"/>
      <c r="AB1700" s="29"/>
      <c r="AC1700" s="29"/>
      <c r="AD1700" s="207"/>
    </row>
    <row r="1701" spans="18:30" ht="29.25" customHeight="1" x14ac:dyDescent="0.25">
      <c r="R1701" s="29"/>
      <c r="S1701" s="29"/>
      <c r="T1701" s="29"/>
      <c r="U1701" s="29"/>
      <c r="V1701" s="29"/>
      <c r="W1701" s="29"/>
      <c r="X1701" s="29"/>
      <c r="Y1701" s="29"/>
      <c r="Z1701" s="29"/>
      <c r="AA1701" s="29"/>
      <c r="AB1701" s="29"/>
      <c r="AC1701" s="29"/>
      <c r="AD1701" s="207"/>
    </row>
    <row r="1702" spans="18:30" ht="29.25" customHeight="1" x14ac:dyDescent="0.25">
      <c r="R1702" s="29"/>
      <c r="S1702" s="29"/>
      <c r="T1702" s="29"/>
      <c r="U1702" s="29"/>
      <c r="V1702" s="29"/>
      <c r="W1702" s="29"/>
      <c r="X1702" s="29"/>
      <c r="Y1702" s="29"/>
      <c r="Z1702" s="29"/>
      <c r="AA1702" s="29"/>
      <c r="AB1702" s="29"/>
      <c r="AC1702" s="29"/>
      <c r="AD1702" s="207"/>
    </row>
    <row r="1703" spans="18:30" ht="29.25" customHeight="1" x14ac:dyDescent="0.25">
      <c r="R1703" s="29"/>
      <c r="S1703" s="29"/>
      <c r="T1703" s="29"/>
      <c r="U1703" s="29"/>
      <c r="V1703" s="29"/>
      <c r="W1703" s="29"/>
      <c r="X1703" s="29"/>
      <c r="Y1703" s="29"/>
      <c r="Z1703" s="29"/>
      <c r="AA1703" s="29"/>
      <c r="AB1703" s="29"/>
      <c r="AC1703" s="29"/>
      <c r="AD1703" s="207"/>
    </row>
    <row r="1704" spans="18:30" ht="29.25" customHeight="1" x14ac:dyDescent="0.25">
      <c r="R1704" s="29"/>
      <c r="S1704" s="29"/>
      <c r="T1704" s="29"/>
      <c r="U1704" s="29"/>
      <c r="V1704" s="29"/>
      <c r="W1704" s="29"/>
      <c r="X1704" s="29"/>
      <c r="Y1704" s="29"/>
      <c r="Z1704" s="29"/>
      <c r="AA1704" s="29"/>
      <c r="AB1704" s="29"/>
      <c r="AC1704" s="29"/>
      <c r="AD1704" s="207"/>
    </row>
    <row r="1705" spans="18:30" ht="29.25" customHeight="1" x14ac:dyDescent="0.25">
      <c r="R1705" s="29"/>
      <c r="S1705" s="29"/>
      <c r="T1705" s="29"/>
      <c r="U1705" s="29"/>
      <c r="V1705" s="29"/>
      <c r="W1705" s="29"/>
      <c r="X1705" s="29"/>
      <c r="Y1705" s="29"/>
      <c r="Z1705" s="29"/>
      <c r="AA1705" s="29"/>
      <c r="AB1705" s="29"/>
      <c r="AC1705" s="29"/>
      <c r="AD1705" s="207"/>
    </row>
    <row r="1706" spans="18:30" ht="29.25" customHeight="1" x14ac:dyDescent="0.25">
      <c r="R1706" s="29"/>
      <c r="S1706" s="29"/>
      <c r="T1706" s="29"/>
      <c r="U1706" s="29"/>
      <c r="V1706" s="29"/>
      <c r="W1706" s="29"/>
      <c r="X1706" s="29"/>
      <c r="Y1706" s="29"/>
      <c r="Z1706" s="29"/>
      <c r="AA1706" s="29"/>
      <c r="AB1706" s="29"/>
      <c r="AC1706" s="29"/>
      <c r="AD1706" s="207"/>
    </row>
    <row r="1707" spans="18:30" ht="29.25" customHeight="1" x14ac:dyDescent="0.25">
      <c r="R1707" s="29"/>
      <c r="S1707" s="29"/>
      <c r="T1707" s="29"/>
      <c r="U1707" s="29"/>
      <c r="V1707" s="29"/>
      <c r="W1707" s="29"/>
      <c r="X1707" s="29"/>
      <c r="Y1707" s="29"/>
      <c r="Z1707" s="29"/>
      <c r="AA1707" s="29"/>
      <c r="AB1707" s="29"/>
      <c r="AC1707" s="29"/>
      <c r="AD1707" s="207"/>
    </row>
    <row r="1708" spans="18:30" ht="29.25" customHeight="1" x14ac:dyDescent="0.25">
      <c r="R1708" s="29"/>
      <c r="S1708" s="29"/>
      <c r="T1708" s="29"/>
      <c r="U1708" s="29"/>
      <c r="V1708" s="29"/>
      <c r="W1708" s="29"/>
      <c r="X1708" s="29"/>
      <c r="Y1708" s="29"/>
      <c r="Z1708" s="29"/>
      <c r="AA1708" s="29"/>
      <c r="AB1708" s="29"/>
      <c r="AC1708" s="29"/>
      <c r="AD1708" s="207"/>
    </row>
    <row r="1709" spans="18:30" ht="29.25" customHeight="1" x14ac:dyDescent="0.25">
      <c r="R1709" s="29"/>
      <c r="S1709" s="29"/>
      <c r="T1709" s="29"/>
      <c r="U1709" s="29"/>
      <c r="V1709" s="29"/>
      <c r="W1709" s="29"/>
      <c r="X1709" s="29"/>
      <c r="Y1709" s="29"/>
      <c r="Z1709" s="29"/>
      <c r="AA1709" s="29"/>
      <c r="AB1709" s="29"/>
      <c r="AC1709" s="29"/>
      <c r="AD1709" s="207"/>
    </row>
    <row r="1710" spans="18:30" ht="29.25" customHeight="1" x14ac:dyDescent="0.25">
      <c r="R1710" s="29"/>
      <c r="S1710" s="29"/>
      <c r="T1710" s="29"/>
      <c r="U1710" s="29"/>
      <c r="V1710" s="29"/>
      <c r="W1710" s="29"/>
      <c r="X1710" s="29"/>
      <c r="Y1710" s="29"/>
      <c r="Z1710" s="29"/>
      <c r="AA1710" s="29"/>
      <c r="AB1710" s="29"/>
      <c r="AC1710" s="29"/>
      <c r="AD1710" s="207"/>
    </row>
    <row r="1711" spans="18:30" ht="29.25" customHeight="1" x14ac:dyDescent="0.25">
      <c r="R1711" s="29"/>
      <c r="S1711" s="29"/>
      <c r="T1711" s="29"/>
      <c r="U1711" s="29"/>
      <c r="V1711" s="29"/>
      <c r="W1711" s="29"/>
      <c r="X1711" s="29"/>
      <c r="Y1711" s="29"/>
      <c r="Z1711" s="29"/>
      <c r="AA1711" s="29"/>
      <c r="AB1711" s="29"/>
      <c r="AC1711" s="29"/>
      <c r="AD1711" s="207"/>
    </row>
    <row r="1712" spans="18:30" ht="29.25" customHeight="1" x14ac:dyDescent="0.25">
      <c r="R1712" s="29"/>
      <c r="S1712" s="29"/>
      <c r="T1712" s="29"/>
      <c r="U1712" s="29"/>
      <c r="V1712" s="29"/>
      <c r="W1712" s="29"/>
      <c r="X1712" s="29"/>
      <c r="Y1712" s="29"/>
      <c r="Z1712" s="29"/>
      <c r="AA1712" s="29"/>
      <c r="AB1712" s="29"/>
      <c r="AC1712" s="29"/>
      <c r="AD1712" s="207"/>
    </row>
    <row r="1713" spans="18:30" ht="29.25" customHeight="1" x14ac:dyDescent="0.25">
      <c r="R1713" s="29"/>
      <c r="S1713" s="29"/>
      <c r="T1713" s="29"/>
      <c r="U1713" s="29"/>
      <c r="V1713" s="29"/>
      <c r="W1713" s="29"/>
      <c r="X1713" s="29"/>
      <c r="Y1713" s="29"/>
      <c r="Z1713" s="29"/>
      <c r="AA1713" s="29"/>
      <c r="AB1713" s="29"/>
      <c r="AC1713" s="29"/>
      <c r="AD1713" s="207"/>
    </row>
    <row r="1714" spans="18:30" ht="29.25" customHeight="1" x14ac:dyDescent="0.25">
      <c r="R1714" s="29"/>
      <c r="S1714" s="29"/>
      <c r="T1714" s="29"/>
      <c r="U1714" s="29"/>
      <c r="V1714" s="29"/>
      <c r="W1714" s="29"/>
      <c r="X1714" s="29"/>
      <c r="Y1714" s="29"/>
      <c r="Z1714" s="29"/>
      <c r="AA1714" s="29"/>
      <c r="AB1714" s="29"/>
      <c r="AC1714" s="29"/>
      <c r="AD1714" s="207"/>
    </row>
    <row r="1715" spans="18:30" ht="29.25" customHeight="1" x14ac:dyDescent="0.25">
      <c r="R1715" s="29"/>
      <c r="S1715" s="29"/>
      <c r="T1715" s="29"/>
      <c r="U1715" s="29"/>
      <c r="V1715" s="29"/>
      <c r="W1715" s="29"/>
      <c r="X1715" s="29"/>
      <c r="Y1715" s="29"/>
      <c r="Z1715" s="29"/>
      <c r="AA1715" s="29"/>
      <c r="AB1715" s="29"/>
      <c r="AC1715" s="29"/>
      <c r="AD1715" s="207"/>
    </row>
    <row r="1716" spans="18:30" ht="29.25" customHeight="1" x14ac:dyDescent="0.25">
      <c r="R1716" s="29"/>
      <c r="S1716" s="29"/>
      <c r="T1716" s="29"/>
      <c r="U1716" s="29"/>
      <c r="V1716" s="29"/>
      <c r="W1716" s="29"/>
      <c r="X1716" s="29"/>
      <c r="Y1716" s="29"/>
      <c r="Z1716" s="29"/>
      <c r="AA1716" s="29"/>
      <c r="AB1716" s="29"/>
      <c r="AC1716" s="29"/>
      <c r="AD1716" s="207"/>
    </row>
    <row r="1717" spans="18:30" ht="29.25" customHeight="1" x14ac:dyDescent="0.25">
      <c r="R1717" s="29"/>
      <c r="S1717" s="29"/>
      <c r="T1717" s="29"/>
      <c r="U1717" s="29"/>
      <c r="V1717" s="29"/>
      <c r="W1717" s="29"/>
      <c r="X1717" s="29"/>
      <c r="Y1717" s="29"/>
      <c r="Z1717" s="29"/>
      <c r="AA1717" s="29"/>
      <c r="AB1717" s="29"/>
      <c r="AC1717" s="29"/>
      <c r="AD1717" s="207"/>
    </row>
    <row r="1718" spans="18:30" ht="29.25" customHeight="1" x14ac:dyDescent="0.25">
      <c r="R1718" s="29"/>
      <c r="S1718" s="29"/>
      <c r="T1718" s="29"/>
      <c r="U1718" s="29"/>
      <c r="V1718" s="29"/>
      <c r="W1718" s="29"/>
      <c r="X1718" s="29"/>
      <c r="Y1718" s="29"/>
      <c r="Z1718" s="29"/>
      <c r="AA1718" s="29"/>
      <c r="AB1718" s="29"/>
      <c r="AC1718" s="29"/>
      <c r="AD1718" s="207"/>
    </row>
    <row r="1719" spans="18:30" ht="29.25" customHeight="1" x14ac:dyDescent="0.25">
      <c r="R1719" s="29"/>
      <c r="S1719" s="29"/>
      <c r="T1719" s="29"/>
      <c r="U1719" s="29"/>
      <c r="V1719" s="29"/>
      <c r="W1719" s="29"/>
      <c r="X1719" s="29"/>
      <c r="Y1719" s="29"/>
      <c r="Z1719" s="29"/>
      <c r="AA1719" s="29"/>
      <c r="AB1719" s="29"/>
      <c r="AC1719" s="29"/>
      <c r="AD1719" s="207"/>
    </row>
    <row r="1720" spans="18:30" ht="29.25" customHeight="1" x14ac:dyDescent="0.25">
      <c r="R1720" s="29"/>
      <c r="S1720" s="29"/>
      <c r="T1720" s="29"/>
      <c r="U1720" s="29"/>
      <c r="V1720" s="29"/>
      <c r="W1720" s="29"/>
      <c r="X1720" s="29"/>
      <c r="Y1720" s="29"/>
      <c r="Z1720" s="29"/>
      <c r="AA1720" s="29"/>
      <c r="AB1720" s="29"/>
      <c r="AC1720" s="29"/>
      <c r="AD1720" s="207"/>
    </row>
    <row r="1721" spans="18:30" ht="29.25" customHeight="1" x14ac:dyDescent="0.25">
      <c r="R1721" s="29"/>
      <c r="S1721" s="29"/>
      <c r="T1721" s="29"/>
      <c r="U1721" s="29"/>
      <c r="V1721" s="29"/>
      <c r="W1721" s="29"/>
      <c r="X1721" s="29"/>
      <c r="Y1721" s="29"/>
      <c r="Z1721" s="29"/>
      <c r="AA1721" s="29"/>
      <c r="AB1721" s="29"/>
      <c r="AC1721" s="29"/>
      <c r="AD1721" s="207"/>
    </row>
    <row r="1722" spans="18:30" ht="29.25" customHeight="1" x14ac:dyDescent="0.25">
      <c r="R1722" s="29"/>
      <c r="S1722" s="29"/>
      <c r="T1722" s="29"/>
      <c r="U1722" s="29"/>
      <c r="V1722" s="29"/>
      <c r="W1722" s="29"/>
      <c r="X1722" s="29"/>
      <c r="Y1722" s="29"/>
      <c r="Z1722" s="29"/>
      <c r="AA1722" s="29"/>
      <c r="AB1722" s="29"/>
      <c r="AC1722" s="29"/>
      <c r="AD1722" s="207"/>
    </row>
    <row r="1723" spans="18:30" ht="29.25" customHeight="1" x14ac:dyDescent="0.25">
      <c r="R1723" s="29"/>
      <c r="S1723" s="29"/>
      <c r="T1723" s="29"/>
      <c r="U1723" s="29"/>
      <c r="V1723" s="29"/>
      <c r="W1723" s="29"/>
      <c r="X1723" s="29"/>
      <c r="Y1723" s="29"/>
      <c r="Z1723" s="29"/>
      <c r="AA1723" s="29"/>
      <c r="AB1723" s="29"/>
      <c r="AC1723" s="29"/>
      <c r="AD1723" s="207"/>
    </row>
    <row r="1724" spans="18:30" ht="29.25" customHeight="1" x14ac:dyDescent="0.25">
      <c r="R1724" s="29"/>
      <c r="S1724" s="29"/>
      <c r="T1724" s="29"/>
      <c r="U1724" s="29"/>
      <c r="V1724" s="29"/>
      <c r="W1724" s="29"/>
      <c r="X1724" s="29"/>
      <c r="Y1724" s="29"/>
      <c r="Z1724" s="29"/>
      <c r="AA1724" s="29"/>
      <c r="AB1724" s="29"/>
      <c r="AC1724" s="29"/>
      <c r="AD1724" s="207"/>
    </row>
    <row r="1725" spans="18:30" ht="29.25" customHeight="1" x14ac:dyDescent="0.25">
      <c r="R1725" s="29"/>
      <c r="S1725" s="29"/>
      <c r="T1725" s="29"/>
      <c r="U1725" s="29"/>
      <c r="V1725" s="29"/>
      <c r="W1725" s="29"/>
      <c r="X1725" s="29"/>
      <c r="Y1725" s="29"/>
      <c r="Z1725" s="29"/>
      <c r="AA1725" s="29"/>
      <c r="AB1725" s="29"/>
      <c r="AC1725" s="29"/>
      <c r="AD1725" s="207"/>
    </row>
    <row r="1726" spans="18:30" ht="29.25" customHeight="1" x14ac:dyDescent="0.25">
      <c r="R1726" s="29"/>
      <c r="S1726" s="29"/>
      <c r="T1726" s="29"/>
      <c r="U1726" s="29"/>
      <c r="V1726" s="29"/>
      <c r="W1726" s="29"/>
      <c r="X1726" s="29"/>
      <c r="Y1726" s="29"/>
      <c r="Z1726" s="29"/>
      <c r="AA1726" s="29"/>
      <c r="AB1726" s="29"/>
      <c r="AC1726" s="29"/>
      <c r="AD1726" s="207"/>
    </row>
    <row r="1727" spans="18:30" ht="29.25" customHeight="1" x14ac:dyDescent="0.25">
      <c r="R1727" s="29"/>
      <c r="S1727" s="29"/>
      <c r="T1727" s="29"/>
      <c r="U1727" s="29"/>
      <c r="V1727" s="29"/>
      <c r="W1727" s="29"/>
      <c r="X1727" s="29"/>
      <c r="Y1727" s="29"/>
      <c r="Z1727" s="29"/>
      <c r="AA1727" s="29"/>
      <c r="AB1727" s="29"/>
      <c r="AC1727" s="29"/>
      <c r="AD1727" s="207"/>
    </row>
    <row r="1728" spans="18:30" ht="29.25" customHeight="1" x14ac:dyDescent="0.25">
      <c r="R1728" s="29"/>
      <c r="S1728" s="29"/>
      <c r="T1728" s="29"/>
      <c r="U1728" s="29"/>
      <c r="V1728" s="29"/>
      <c r="W1728" s="29"/>
      <c r="X1728" s="29"/>
      <c r="Y1728" s="29"/>
      <c r="Z1728" s="29"/>
      <c r="AA1728" s="29"/>
      <c r="AB1728" s="29"/>
      <c r="AC1728" s="29"/>
      <c r="AD1728" s="207"/>
    </row>
    <row r="1729" spans="18:30" ht="29.25" customHeight="1" x14ac:dyDescent="0.25">
      <c r="R1729" s="29"/>
      <c r="S1729" s="29"/>
      <c r="T1729" s="29"/>
      <c r="U1729" s="29"/>
      <c r="V1729" s="29"/>
      <c r="W1729" s="29"/>
      <c r="X1729" s="29"/>
      <c r="Y1729" s="29"/>
      <c r="Z1729" s="29"/>
      <c r="AA1729" s="29"/>
      <c r="AB1729" s="29"/>
      <c r="AC1729" s="29"/>
      <c r="AD1729" s="207"/>
    </row>
    <row r="1730" spans="18:30" ht="29.25" customHeight="1" x14ac:dyDescent="0.25">
      <c r="R1730" s="29"/>
      <c r="S1730" s="29"/>
      <c r="T1730" s="29"/>
      <c r="U1730" s="29"/>
      <c r="V1730" s="29"/>
      <c r="W1730" s="29"/>
      <c r="X1730" s="29"/>
      <c r="Y1730" s="29"/>
      <c r="Z1730" s="29"/>
      <c r="AA1730" s="29"/>
      <c r="AB1730" s="29"/>
      <c r="AC1730" s="29"/>
      <c r="AD1730" s="207"/>
    </row>
    <row r="1731" spans="18:30" ht="29.25" customHeight="1" x14ac:dyDescent="0.25">
      <c r="R1731" s="29"/>
      <c r="S1731" s="29"/>
      <c r="T1731" s="29"/>
      <c r="U1731" s="29"/>
      <c r="V1731" s="29"/>
      <c r="W1731" s="29"/>
      <c r="X1731" s="29"/>
      <c r="Y1731" s="29"/>
      <c r="Z1731" s="29"/>
      <c r="AA1731" s="29"/>
      <c r="AB1731" s="29"/>
      <c r="AC1731" s="29"/>
      <c r="AD1731" s="207"/>
    </row>
    <row r="1732" spans="18:30" ht="29.25" customHeight="1" x14ac:dyDescent="0.25">
      <c r="R1732" s="29"/>
      <c r="S1732" s="29"/>
      <c r="T1732" s="29"/>
      <c r="U1732" s="29"/>
      <c r="V1732" s="29"/>
      <c r="W1732" s="29"/>
      <c r="X1732" s="29"/>
      <c r="Y1732" s="29"/>
      <c r="Z1732" s="29"/>
      <c r="AA1732" s="29"/>
      <c r="AB1732" s="29"/>
      <c r="AC1732" s="29"/>
      <c r="AD1732" s="207"/>
    </row>
    <row r="1733" spans="18:30" ht="29.25" customHeight="1" x14ac:dyDescent="0.25">
      <c r="R1733" s="29"/>
      <c r="S1733" s="29"/>
      <c r="T1733" s="29"/>
      <c r="U1733" s="29"/>
      <c r="V1733" s="29"/>
      <c r="W1733" s="29"/>
      <c r="X1733" s="29"/>
      <c r="Y1733" s="29"/>
      <c r="Z1733" s="29"/>
      <c r="AA1733" s="29"/>
      <c r="AB1733" s="29"/>
      <c r="AC1733" s="29"/>
      <c r="AD1733" s="207"/>
    </row>
    <row r="1734" spans="18:30" ht="29.25" customHeight="1" x14ac:dyDescent="0.25">
      <c r="R1734" s="29"/>
      <c r="S1734" s="29"/>
      <c r="T1734" s="29"/>
      <c r="U1734" s="29"/>
      <c r="V1734" s="29"/>
      <c r="W1734" s="29"/>
      <c r="X1734" s="29"/>
      <c r="Y1734" s="29"/>
      <c r="Z1734" s="29"/>
      <c r="AA1734" s="29"/>
      <c r="AB1734" s="29"/>
      <c r="AC1734" s="29"/>
      <c r="AD1734" s="207"/>
    </row>
    <row r="1735" spans="18:30" ht="29.25" customHeight="1" x14ac:dyDescent="0.25">
      <c r="R1735" s="29"/>
      <c r="S1735" s="29"/>
      <c r="T1735" s="29"/>
      <c r="U1735" s="29"/>
      <c r="V1735" s="29"/>
      <c r="W1735" s="29"/>
      <c r="X1735" s="29"/>
      <c r="Y1735" s="29"/>
      <c r="Z1735" s="29"/>
      <c r="AA1735" s="29"/>
      <c r="AB1735" s="29"/>
      <c r="AC1735" s="29"/>
      <c r="AD1735" s="207"/>
    </row>
    <row r="1736" spans="18:30" ht="29.25" customHeight="1" x14ac:dyDescent="0.25">
      <c r="R1736" s="29"/>
      <c r="S1736" s="29"/>
      <c r="T1736" s="29"/>
      <c r="U1736" s="29"/>
      <c r="V1736" s="29"/>
      <c r="W1736" s="29"/>
      <c r="X1736" s="29"/>
      <c r="Y1736" s="29"/>
      <c r="Z1736" s="29"/>
      <c r="AA1736" s="29"/>
      <c r="AB1736" s="29"/>
      <c r="AC1736" s="29"/>
      <c r="AD1736" s="207"/>
    </row>
    <row r="1737" spans="18:30" ht="29.25" customHeight="1" x14ac:dyDescent="0.25">
      <c r="R1737" s="29"/>
      <c r="S1737" s="29"/>
      <c r="T1737" s="29"/>
      <c r="U1737" s="29"/>
      <c r="V1737" s="29"/>
      <c r="W1737" s="29"/>
      <c r="X1737" s="29"/>
      <c r="Y1737" s="29"/>
      <c r="Z1737" s="29"/>
      <c r="AA1737" s="29"/>
      <c r="AB1737" s="29"/>
      <c r="AC1737" s="29"/>
      <c r="AD1737" s="207"/>
    </row>
    <row r="1738" spans="18:30" ht="29.25" customHeight="1" x14ac:dyDescent="0.25">
      <c r="R1738" s="29"/>
      <c r="S1738" s="29"/>
      <c r="T1738" s="29"/>
      <c r="U1738" s="29"/>
      <c r="V1738" s="29"/>
      <c r="W1738" s="29"/>
      <c r="X1738" s="29"/>
      <c r="Y1738" s="29"/>
      <c r="Z1738" s="29"/>
      <c r="AA1738" s="29"/>
      <c r="AB1738" s="29"/>
      <c r="AC1738" s="29"/>
      <c r="AD1738" s="207"/>
    </row>
  </sheetData>
  <mergeCells count="583">
    <mergeCell ref="C177:I177"/>
    <mergeCell ref="J177:P177"/>
    <mergeCell ref="C178:I178"/>
    <mergeCell ref="J178:P178"/>
    <mergeCell ref="C179:I179"/>
    <mergeCell ref="J179:P179"/>
    <mergeCell ref="AV166:AV171"/>
    <mergeCell ref="AW166:AW171"/>
    <mergeCell ref="AX166:AX171"/>
    <mergeCell ref="A172:C174"/>
    <mergeCell ref="S172:S174"/>
    <mergeCell ref="AF172:AF174"/>
    <mergeCell ref="AG172:AY174"/>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Y160:AY165"/>
    <mergeCell ref="A166:A171"/>
    <mergeCell ref="B166:B171"/>
    <mergeCell ref="C166:C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Y166:AY171"/>
    <mergeCell ref="AY154:AY159"/>
    <mergeCell ref="A160:A165"/>
    <mergeCell ref="B160:B165"/>
    <mergeCell ref="C160:C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154:A159"/>
    <mergeCell ref="B154:B159"/>
    <mergeCell ref="AV160:AV165"/>
    <mergeCell ref="AW160:AW165"/>
    <mergeCell ref="AX160:AX165"/>
    <mergeCell ref="C154:C159"/>
    <mergeCell ref="AG154:AG159"/>
    <mergeCell ref="AH154:AH159"/>
    <mergeCell ref="AI154:AI159"/>
    <mergeCell ref="AT148:AT153"/>
    <mergeCell ref="AU148:AU153"/>
    <mergeCell ref="AV148:AV153"/>
    <mergeCell ref="AW148:AW153"/>
    <mergeCell ref="AX148:AX153"/>
    <mergeCell ref="C148:C153"/>
    <mergeCell ref="AG148:AG153"/>
    <mergeCell ref="AH148:AH153"/>
    <mergeCell ref="AI148:AI153"/>
    <mergeCell ref="AJ148:AJ153"/>
    <mergeCell ref="AK148:AK153"/>
    <mergeCell ref="AL148:AL153"/>
    <mergeCell ref="AM148:AM153"/>
    <mergeCell ref="AV154:AV159"/>
    <mergeCell ref="AW154:AW159"/>
    <mergeCell ref="AX154:AX159"/>
    <mergeCell ref="AY148:AY153"/>
    <mergeCell ref="AN148:AN153"/>
    <mergeCell ref="AO148:AO153"/>
    <mergeCell ref="AP148:AP153"/>
    <mergeCell ref="AQ148:AQ153"/>
    <mergeCell ref="AR148:AR153"/>
    <mergeCell ref="AS148:AS153"/>
    <mergeCell ref="AX142:AX147"/>
    <mergeCell ref="AY142:AY147"/>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C142:C147"/>
    <mergeCell ref="AG142:AG147"/>
    <mergeCell ref="AH142:AH147"/>
    <mergeCell ref="AI142:AI147"/>
    <mergeCell ref="AJ142:AJ147"/>
    <mergeCell ref="AK142:AK147"/>
    <mergeCell ref="AU136:AU141"/>
    <mergeCell ref="AV136:AV141"/>
    <mergeCell ref="AW136:AW141"/>
    <mergeCell ref="AX136:AX141"/>
    <mergeCell ref="AY136:AY141"/>
    <mergeCell ref="AN136:AN141"/>
    <mergeCell ref="AO136:AO141"/>
    <mergeCell ref="AP136:AP141"/>
    <mergeCell ref="AQ136:AQ141"/>
    <mergeCell ref="AR136:AR141"/>
    <mergeCell ref="AS136:AS141"/>
    <mergeCell ref="AY130:AY135"/>
    <mergeCell ref="C136:C141"/>
    <mergeCell ref="AG136:AG141"/>
    <mergeCell ref="AH136:AH141"/>
    <mergeCell ref="AI136:AI141"/>
    <mergeCell ref="AJ136:AJ141"/>
    <mergeCell ref="AK136:AK141"/>
    <mergeCell ref="AL136:AL141"/>
    <mergeCell ref="AM136:AM141"/>
    <mergeCell ref="AR130:AR135"/>
    <mergeCell ref="AS130:AS135"/>
    <mergeCell ref="AT130:AT135"/>
    <mergeCell ref="AU130:AU135"/>
    <mergeCell ref="AV130:AV135"/>
    <mergeCell ref="AW130:AW135"/>
    <mergeCell ref="AL130:AL135"/>
    <mergeCell ref="AM130:AM135"/>
    <mergeCell ref="AN130:AN135"/>
    <mergeCell ref="AO130:AO135"/>
    <mergeCell ref="AP130:AP135"/>
    <mergeCell ref="AQ130:AQ135"/>
    <mergeCell ref="C130:C135"/>
    <mergeCell ref="AG130:AG135"/>
    <mergeCell ref="AT136:AT141"/>
    <mergeCell ref="AH130:AH135"/>
    <mergeCell ref="AI130:AI135"/>
    <mergeCell ref="AJ130:AJ135"/>
    <mergeCell ref="AK130:AK135"/>
    <mergeCell ref="AT124:AT129"/>
    <mergeCell ref="AU124:AU129"/>
    <mergeCell ref="AV124:AV129"/>
    <mergeCell ref="AW124:AW129"/>
    <mergeCell ref="AX124:AX129"/>
    <mergeCell ref="AX130:AX135"/>
    <mergeCell ref="AY124:AY129"/>
    <mergeCell ref="AN124:AN129"/>
    <mergeCell ref="AO124:AO129"/>
    <mergeCell ref="AP124:AP129"/>
    <mergeCell ref="AQ124:AQ129"/>
    <mergeCell ref="AR124:AR129"/>
    <mergeCell ref="AS124:AS129"/>
    <mergeCell ref="AX118:AX123"/>
    <mergeCell ref="AY118:AY123"/>
    <mergeCell ref="AS118:AS123"/>
    <mergeCell ref="AT118:AT123"/>
    <mergeCell ref="AU118:AU123"/>
    <mergeCell ref="AV118:AV123"/>
    <mergeCell ref="AW118:AW123"/>
    <mergeCell ref="C124:C129"/>
    <mergeCell ref="AG124:AG129"/>
    <mergeCell ref="AH124:AH129"/>
    <mergeCell ref="AI124:AI129"/>
    <mergeCell ref="AJ124:AJ129"/>
    <mergeCell ref="AK124:AK129"/>
    <mergeCell ref="AL124:AL129"/>
    <mergeCell ref="AM124:AM129"/>
    <mergeCell ref="AR118:AR123"/>
    <mergeCell ref="AL118:AL123"/>
    <mergeCell ref="AM118:AM123"/>
    <mergeCell ref="AN118:AN123"/>
    <mergeCell ref="AO118:AO123"/>
    <mergeCell ref="AP118:AP123"/>
    <mergeCell ref="AQ118:AQ123"/>
    <mergeCell ref="C118:C123"/>
    <mergeCell ref="AG118:AG123"/>
    <mergeCell ref="AH118:AH123"/>
    <mergeCell ref="AI118:AI123"/>
    <mergeCell ref="AJ118:AJ123"/>
    <mergeCell ref="AK118:AK123"/>
    <mergeCell ref="AU112:AU117"/>
    <mergeCell ref="AV112:AV117"/>
    <mergeCell ref="AW112:AW117"/>
    <mergeCell ref="AX112:AX117"/>
    <mergeCell ref="AY112:AY117"/>
    <mergeCell ref="AN112:AN117"/>
    <mergeCell ref="AO112:AO117"/>
    <mergeCell ref="AP112:AP117"/>
    <mergeCell ref="AQ112:AQ117"/>
    <mergeCell ref="AR112:AR117"/>
    <mergeCell ref="AS112:AS117"/>
    <mergeCell ref="AY106:AY111"/>
    <mergeCell ref="C112:C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C106:C111"/>
    <mergeCell ref="AG106:AG111"/>
    <mergeCell ref="AT112:AT117"/>
    <mergeCell ref="AH106:AH111"/>
    <mergeCell ref="AI106:AI111"/>
    <mergeCell ref="AJ106:AJ111"/>
    <mergeCell ref="AK106:AK111"/>
    <mergeCell ref="AT100:AT105"/>
    <mergeCell ref="AU100:AU105"/>
    <mergeCell ref="AV100:AV105"/>
    <mergeCell ref="AW100:AW105"/>
    <mergeCell ref="AX100:AX105"/>
    <mergeCell ref="AX106:AX111"/>
    <mergeCell ref="AY100:AY105"/>
    <mergeCell ref="AN100:AN105"/>
    <mergeCell ref="AO100:AO105"/>
    <mergeCell ref="AP100:AP105"/>
    <mergeCell ref="AQ100:AQ105"/>
    <mergeCell ref="AR100:AR105"/>
    <mergeCell ref="AS100:AS105"/>
    <mergeCell ref="AX94:AX99"/>
    <mergeCell ref="AY94:AY99"/>
    <mergeCell ref="AS94:AS99"/>
    <mergeCell ref="AT94:AT99"/>
    <mergeCell ref="AU94:AU99"/>
    <mergeCell ref="AV94:AV99"/>
    <mergeCell ref="AW94:AW99"/>
    <mergeCell ref="C100:C105"/>
    <mergeCell ref="AG100:AG105"/>
    <mergeCell ref="AH100:AH105"/>
    <mergeCell ref="AI100:AI105"/>
    <mergeCell ref="AJ100:AJ105"/>
    <mergeCell ref="AK100:AK105"/>
    <mergeCell ref="AL100:AL105"/>
    <mergeCell ref="AM100:AM105"/>
    <mergeCell ref="AR94:AR99"/>
    <mergeCell ref="AL94:AL99"/>
    <mergeCell ref="AM94:AM99"/>
    <mergeCell ref="AN94:AN99"/>
    <mergeCell ref="AO94:AO99"/>
    <mergeCell ref="AP94:AP99"/>
    <mergeCell ref="AQ94:AQ99"/>
    <mergeCell ref="C94:C99"/>
    <mergeCell ref="AG94:AG99"/>
    <mergeCell ref="AH94:AH99"/>
    <mergeCell ref="AI94:AI99"/>
    <mergeCell ref="AJ94:AJ99"/>
    <mergeCell ref="AK94:AK99"/>
    <mergeCell ref="AU88:AU93"/>
    <mergeCell ref="AV88:AV93"/>
    <mergeCell ref="AW88:AW93"/>
    <mergeCell ref="AX88:AX93"/>
    <mergeCell ref="AY88:AY93"/>
    <mergeCell ref="AN88:AN93"/>
    <mergeCell ref="AO88:AO93"/>
    <mergeCell ref="AP88:AP93"/>
    <mergeCell ref="AQ88:AQ93"/>
    <mergeCell ref="AR88:AR93"/>
    <mergeCell ref="AS88:AS93"/>
    <mergeCell ref="AY82:AY87"/>
    <mergeCell ref="C88:C93"/>
    <mergeCell ref="AG88:AG93"/>
    <mergeCell ref="AH88:AH93"/>
    <mergeCell ref="AI88:AI93"/>
    <mergeCell ref="AJ88:AJ93"/>
    <mergeCell ref="AK88:AK93"/>
    <mergeCell ref="AL88:AL93"/>
    <mergeCell ref="AM88:AM93"/>
    <mergeCell ref="AR82:AR87"/>
    <mergeCell ref="AS82:AS87"/>
    <mergeCell ref="AT82:AT87"/>
    <mergeCell ref="AU82:AU87"/>
    <mergeCell ref="AV82:AV87"/>
    <mergeCell ref="AW82:AW87"/>
    <mergeCell ref="AL82:AL87"/>
    <mergeCell ref="AM82:AM87"/>
    <mergeCell ref="AN82:AN87"/>
    <mergeCell ref="AO82:AO87"/>
    <mergeCell ref="AP82:AP87"/>
    <mergeCell ref="AQ82:AQ87"/>
    <mergeCell ref="C82:C87"/>
    <mergeCell ref="AG82:AG87"/>
    <mergeCell ref="AT88:AT93"/>
    <mergeCell ref="AH82:AH87"/>
    <mergeCell ref="AI82:AI87"/>
    <mergeCell ref="AJ82:AJ87"/>
    <mergeCell ref="AK82:AK87"/>
    <mergeCell ref="AT76:AT81"/>
    <mergeCell ref="AU76:AU81"/>
    <mergeCell ref="AV76:AV81"/>
    <mergeCell ref="AW76:AW81"/>
    <mergeCell ref="AX76:AX81"/>
    <mergeCell ref="AX82:AX87"/>
    <mergeCell ref="AH70:AH75"/>
    <mergeCell ref="AI70:AI75"/>
    <mergeCell ref="AJ70:AJ75"/>
    <mergeCell ref="AK70:AK75"/>
    <mergeCell ref="AY76:AY81"/>
    <mergeCell ref="AN76:AN81"/>
    <mergeCell ref="AO76:AO81"/>
    <mergeCell ref="AP76:AP81"/>
    <mergeCell ref="AQ76:AQ81"/>
    <mergeCell ref="AR76:AR81"/>
    <mergeCell ref="AS76:AS81"/>
    <mergeCell ref="AX70:AX75"/>
    <mergeCell ref="AY70:AY75"/>
    <mergeCell ref="AS70:AS75"/>
    <mergeCell ref="AT70:AT75"/>
    <mergeCell ref="AU70:AU75"/>
    <mergeCell ref="AV70:AV75"/>
    <mergeCell ref="AW70:AW75"/>
    <mergeCell ref="AJ76:AJ81"/>
    <mergeCell ref="AK76:AK81"/>
    <mergeCell ref="AL76:AL81"/>
    <mergeCell ref="AM76:AM81"/>
    <mergeCell ref="AR70:AR75"/>
    <mergeCell ref="AL70:AL75"/>
    <mergeCell ref="AM70:AM75"/>
    <mergeCell ref="AN70:AN75"/>
    <mergeCell ref="AO70:AO75"/>
    <mergeCell ref="AP70:AP75"/>
    <mergeCell ref="AQ70:AQ75"/>
    <mergeCell ref="AV64:AV69"/>
    <mergeCell ref="AW64:AW69"/>
    <mergeCell ref="AX64:AX69"/>
    <mergeCell ref="AY64:AY69"/>
    <mergeCell ref="AN64:AN69"/>
    <mergeCell ref="AO64:AO69"/>
    <mergeCell ref="AP64:AP69"/>
    <mergeCell ref="AQ64:AQ69"/>
    <mergeCell ref="AR64:AR69"/>
    <mergeCell ref="AS64:AS69"/>
    <mergeCell ref="AX58:AX63"/>
    <mergeCell ref="AY58:AY63"/>
    <mergeCell ref="C64:C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58:AL63"/>
    <mergeCell ref="AM58:AM63"/>
    <mergeCell ref="AN58:AN63"/>
    <mergeCell ref="AO58:AO63"/>
    <mergeCell ref="AP58:AP63"/>
    <mergeCell ref="AQ58:AQ63"/>
    <mergeCell ref="AT64:AT69"/>
    <mergeCell ref="AU64:AU69"/>
    <mergeCell ref="AJ58:AJ63"/>
    <mergeCell ref="AK58:AK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X46:AX51"/>
    <mergeCell ref="AY46:AY51"/>
    <mergeCell ref="AN46:AN51"/>
    <mergeCell ref="AO46:AO51"/>
    <mergeCell ref="AP46:AP51"/>
    <mergeCell ref="AQ46:AQ51"/>
    <mergeCell ref="AR46:AR51"/>
    <mergeCell ref="AS46:AS51"/>
    <mergeCell ref="AV52:AV57"/>
    <mergeCell ref="AW52:AW57"/>
    <mergeCell ref="AX52:AX57"/>
    <mergeCell ref="AY52:AY57"/>
    <mergeCell ref="AW40:AW45"/>
    <mergeCell ref="AL40:AL45"/>
    <mergeCell ref="AM40:AM45"/>
    <mergeCell ref="AN40:AN45"/>
    <mergeCell ref="AO40:AO45"/>
    <mergeCell ref="AP40:AP45"/>
    <mergeCell ref="AQ40:AQ45"/>
    <mergeCell ref="AT46:AT51"/>
    <mergeCell ref="AU46:AU51"/>
    <mergeCell ref="AV46:AV51"/>
    <mergeCell ref="AW46:AW51"/>
    <mergeCell ref="AJ46:AJ51"/>
    <mergeCell ref="AK46:AK51"/>
    <mergeCell ref="AL46:AL51"/>
    <mergeCell ref="AM46:AM51"/>
    <mergeCell ref="AR40:AR45"/>
    <mergeCell ref="AS40:AS45"/>
    <mergeCell ref="AT40:AT45"/>
    <mergeCell ref="AU40:AU45"/>
    <mergeCell ref="AV40:AV45"/>
    <mergeCell ref="AV34:AV39"/>
    <mergeCell ref="AW34:AW39"/>
    <mergeCell ref="AX34:AX39"/>
    <mergeCell ref="AY34:AY39"/>
    <mergeCell ref="C40:C45"/>
    <mergeCell ref="AG40:AG45"/>
    <mergeCell ref="AH40:AH45"/>
    <mergeCell ref="AI40:AI45"/>
    <mergeCell ref="AJ40:AJ45"/>
    <mergeCell ref="AK40:AK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X40:AX45"/>
    <mergeCell ref="AY40:AY45"/>
    <mergeCell ref="A34:A153"/>
    <mergeCell ref="B34:B153"/>
    <mergeCell ref="C34:C39"/>
    <mergeCell ref="AG34:AG39"/>
    <mergeCell ref="AH34:AH39"/>
    <mergeCell ref="AI34:AI39"/>
    <mergeCell ref="C52:C57"/>
    <mergeCell ref="AG52:AG57"/>
    <mergeCell ref="AH52:AH57"/>
    <mergeCell ref="AI52:AI57"/>
    <mergeCell ref="C46:C51"/>
    <mergeCell ref="AG46:AG51"/>
    <mergeCell ref="AH46:AH51"/>
    <mergeCell ref="AI46:AI51"/>
    <mergeCell ref="C58:C63"/>
    <mergeCell ref="AG58:AG63"/>
    <mergeCell ref="AH58:AH63"/>
    <mergeCell ref="AI58:AI63"/>
    <mergeCell ref="C76:C81"/>
    <mergeCell ref="AG76:AG81"/>
    <mergeCell ref="AH76:AH81"/>
    <mergeCell ref="AI76:AI81"/>
    <mergeCell ref="C70:C75"/>
    <mergeCell ref="AG70:AG75"/>
    <mergeCell ref="AV28:AV33"/>
    <mergeCell ref="AW28:AW33"/>
    <mergeCell ref="AX28:AX33"/>
    <mergeCell ref="AY28:AY33"/>
    <mergeCell ref="AN28:AN33"/>
    <mergeCell ref="AO28:AO33"/>
    <mergeCell ref="AP28:AP33"/>
    <mergeCell ref="AQ28:AQ33"/>
    <mergeCell ref="AR28:AR33"/>
    <mergeCell ref="AS28:AS33"/>
    <mergeCell ref="AX22:AX27"/>
    <mergeCell ref="AY22:AY27"/>
    <mergeCell ref="C28:C33"/>
    <mergeCell ref="AG28:AG33"/>
    <mergeCell ref="AH28:AH33"/>
    <mergeCell ref="AI28:AI33"/>
    <mergeCell ref="AJ28:AJ33"/>
    <mergeCell ref="AK28:AK33"/>
    <mergeCell ref="AL28:AL33"/>
    <mergeCell ref="AM28:AM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T28:AT33"/>
    <mergeCell ref="AU28:AU33"/>
    <mergeCell ref="AT16:AT21"/>
    <mergeCell ref="AU16:AU21"/>
    <mergeCell ref="AV16:AV21"/>
    <mergeCell ref="AW16:AW21"/>
    <mergeCell ref="AL16:AL21"/>
    <mergeCell ref="AM16:AM21"/>
    <mergeCell ref="AN16:AN21"/>
    <mergeCell ref="AO16:AO21"/>
    <mergeCell ref="AP16:AP21"/>
    <mergeCell ref="AQ16:AQ21"/>
    <mergeCell ref="A22:A33"/>
    <mergeCell ref="B22:B33"/>
    <mergeCell ref="C22:C27"/>
    <mergeCell ref="AG22:AG27"/>
    <mergeCell ref="AH22:AH27"/>
    <mergeCell ref="AI22:AI27"/>
    <mergeCell ref="AJ22:AJ27"/>
    <mergeCell ref="AK22:AK27"/>
    <mergeCell ref="AR16:AR21"/>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4:D4"/>
    <mergeCell ref="E4:AY4"/>
    <mergeCell ref="A5:D5"/>
    <mergeCell ref="E5:AY5"/>
    <mergeCell ref="AJ3:AY3"/>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913E-DC3C-924D-952A-11CF697CA967}">
  <dimension ref="A1:AL852"/>
  <sheetViews>
    <sheetView showGridLines="0" zoomScale="57" zoomScaleNormal="57" workbookViewId="0">
      <selection sqref="A1:B3"/>
    </sheetView>
  </sheetViews>
  <sheetFormatPr baseColWidth="10" defaultColWidth="10.7109375" defaultRowHeight="15" outlineLevelRow="2" x14ac:dyDescent="0.25"/>
  <cols>
    <col min="1" max="1" width="16.28515625" customWidth="1"/>
    <col min="2" max="2" width="36.7109375" customWidth="1"/>
    <col min="3" max="4" width="19.140625" customWidth="1"/>
    <col min="5" max="5" width="17.7109375" customWidth="1"/>
    <col min="6" max="6" width="20.28515625" customWidth="1"/>
    <col min="7" max="7" width="19.28515625" customWidth="1"/>
    <col min="8" max="8" width="20.28515625" customWidth="1"/>
    <col min="9" max="9" width="14.28515625" style="237" customWidth="1"/>
    <col min="10" max="10" width="14.28515625" customWidth="1"/>
    <col min="11" max="11" width="14.140625" customWidth="1"/>
    <col min="12" max="12" width="34.28515625" customWidth="1"/>
  </cols>
  <sheetData>
    <row r="1" spans="1:12" ht="29.25" customHeight="1" x14ac:dyDescent="0.25">
      <c r="A1" s="499"/>
      <c r="B1" s="499"/>
      <c r="C1" s="500" t="s">
        <v>38</v>
      </c>
      <c r="D1" s="500"/>
      <c r="E1" s="500"/>
      <c r="F1" s="500"/>
      <c r="G1" s="500"/>
      <c r="H1" s="500"/>
      <c r="I1" s="500"/>
      <c r="J1" s="500"/>
      <c r="K1" s="500"/>
      <c r="L1" s="500"/>
    </row>
    <row r="2" spans="1:12" ht="21" customHeight="1" x14ac:dyDescent="0.25">
      <c r="A2" s="499"/>
      <c r="B2" s="499"/>
      <c r="C2" s="501" t="s">
        <v>119</v>
      </c>
      <c r="D2" s="502"/>
      <c r="E2" s="502"/>
      <c r="F2" s="502"/>
      <c r="G2" s="502"/>
      <c r="H2" s="502"/>
      <c r="I2" s="502"/>
      <c r="J2" s="502"/>
      <c r="K2" s="502"/>
      <c r="L2" s="502"/>
    </row>
    <row r="3" spans="1:12" ht="21" customHeight="1" x14ac:dyDescent="0.4">
      <c r="A3" s="499"/>
      <c r="B3" s="499"/>
      <c r="C3" s="503" t="s">
        <v>39</v>
      </c>
      <c r="D3" s="503"/>
      <c r="E3" s="503"/>
      <c r="F3" s="503"/>
      <c r="G3" s="503"/>
      <c r="H3" s="504" t="s">
        <v>257</v>
      </c>
      <c r="I3" s="504"/>
      <c r="J3" s="504"/>
      <c r="K3" s="504"/>
      <c r="L3" s="504"/>
    </row>
    <row r="4" spans="1:12" ht="19.5" customHeight="1" x14ac:dyDescent="0.25">
      <c r="A4" s="505" t="s">
        <v>0</v>
      </c>
      <c r="B4" s="505"/>
      <c r="C4" s="506" t="s">
        <v>349</v>
      </c>
      <c r="D4" s="506"/>
      <c r="E4" s="506"/>
      <c r="F4" s="506"/>
      <c r="G4" s="506"/>
      <c r="H4" s="506"/>
      <c r="I4" s="506"/>
      <c r="J4" s="506"/>
      <c r="K4" s="506"/>
      <c r="L4" s="506"/>
    </row>
    <row r="5" spans="1:12" ht="31.5" customHeight="1" x14ac:dyDescent="0.25">
      <c r="A5" s="505" t="s">
        <v>2</v>
      </c>
      <c r="B5" s="505"/>
      <c r="C5" s="506" t="s">
        <v>350</v>
      </c>
      <c r="D5" s="506"/>
      <c r="E5" s="506"/>
      <c r="F5" s="506"/>
      <c r="G5" s="506"/>
      <c r="H5" s="506"/>
      <c r="I5" s="506"/>
      <c r="J5" s="506"/>
      <c r="K5" s="506"/>
      <c r="L5" s="506"/>
    </row>
    <row r="7" spans="1:12" s="48" customFormat="1" ht="27" customHeight="1" x14ac:dyDescent="0.25">
      <c r="A7" s="498" t="s">
        <v>120</v>
      </c>
      <c r="B7" s="498"/>
      <c r="C7" s="498"/>
      <c r="D7" s="498"/>
      <c r="E7" s="498"/>
      <c r="F7" s="498"/>
      <c r="G7" s="498"/>
      <c r="H7" s="498"/>
      <c r="I7" s="235"/>
    </row>
    <row r="8" spans="1:12" s="48" customFormat="1" ht="27" customHeight="1" x14ac:dyDescent="0.25">
      <c r="A8" s="175" t="s">
        <v>48</v>
      </c>
      <c r="B8" s="175" t="s">
        <v>351</v>
      </c>
      <c r="C8" s="42" t="s">
        <v>121</v>
      </c>
      <c r="D8" s="176" t="s">
        <v>122</v>
      </c>
      <c r="E8" s="176" t="s">
        <v>123</v>
      </c>
      <c r="F8" s="176" t="s">
        <v>124</v>
      </c>
      <c r="G8" s="176" t="s">
        <v>125</v>
      </c>
      <c r="H8" s="176" t="s">
        <v>126</v>
      </c>
      <c r="I8" s="235"/>
    </row>
    <row r="9" spans="1:12" s="179" customFormat="1" ht="49.9" customHeight="1" outlineLevel="1" x14ac:dyDescent="0.25">
      <c r="A9" s="491" t="s">
        <v>128</v>
      </c>
      <c r="B9" s="177" t="s">
        <v>352</v>
      </c>
      <c r="C9" s="177" t="s">
        <v>198</v>
      </c>
      <c r="D9" s="178">
        <v>450000000</v>
      </c>
      <c r="E9" s="178">
        <v>450000000</v>
      </c>
      <c r="F9" s="178">
        <v>0</v>
      </c>
      <c r="G9" s="178">
        <v>0</v>
      </c>
      <c r="H9" s="178">
        <v>0</v>
      </c>
      <c r="I9" s="236"/>
    </row>
    <row r="10" spans="1:12" s="179" customFormat="1" ht="49.9" customHeight="1" outlineLevel="1" x14ac:dyDescent="0.25">
      <c r="A10" s="492"/>
      <c r="B10" s="491" t="s">
        <v>353</v>
      </c>
      <c r="C10" s="177" t="s">
        <v>198</v>
      </c>
      <c r="D10" s="178">
        <v>550985000</v>
      </c>
      <c r="E10" s="178">
        <v>550985000</v>
      </c>
      <c r="F10" s="178">
        <v>0</v>
      </c>
      <c r="G10" s="178">
        <v>0</v>
      </c>
      <c r="H10" s="178">
        <v>0</v>
      </c>
      <c r="I10" s="236"/>
    </row>
    <row r="11" spans="1:12" s="179" customFormat="1" ht="49.9" customHeight="1" outlineLevel="1" x14ac:dyDescent="0.25">
      <c r="A11" s="492"/>
      <c r="B11" s="493"/>
      <c r="C11" s="177" t="s">
        <v>354</v>
      </c>
      <c r="D11" s="178">
        <v>62855322</v>
      </c>
      <c r="E11" s="178">
        <v>62855322</v>
      </c>
      <c r="F11" s="178">
        <v>0</v>
      </c>
      <c r="G11" s="178">
        <v>0</v>
      </c>
      <c r="H11" s="178">
        <v>0</v>
      </c>
      <c r="I11" s="236"/>
    </row>
    <row r="12" spans="1:12" s="179" customFormat="1" ht="49.9" customHeight="1" outlineLevel="1" x14ac:dyDescent="0.25">
      <c r="A12" s="492"/>
      <c r="B12" s="177" t="s">
        <v>355</v>
      </c>
      <c r="C12" s="177" t="s">
        <v>356</v>
      </c>
      <c r="D12" s="178">
        <v>658814131</v>
      </c>
      <c r="E12" s="178">
        <v>658814131</v>
      </c>
      <c r="F12" s="178">
        <v>0</v>
      </c>
      <c r="G12" s="178">
        <v>0</v>
      </c>
      <c r="H12" s="178">
        <v>0</v>
      </c>
      <c r="I12" s="236"/>
    </row>
    <row r="13" spans="1:12" s="179" customFormat="1" ht="49.9" customHeight="1" outlineLevel="1" x14ac:dyDescent="0.25">
      <c r="A13" s="492"/>
      <c r="B13" s="491" t="s">
        <v>357</v>
      </c>
      <c r="C13" s="177" t="s">
        <v>198</v>
      </c>
      <c r="D13" s="178">
        <v>601054131</v>
      </c>
      <c r="E13" s="178">
        <v>601054131</v>
      </c>
      <c r="F13" s="178">
        <v>0</v>
      </c>
      <c r="G13" s="178">
        <v>0</v>
      </c>
      <c r="H13" s="178">
        <v>0</v>
      </c>
      <c r="I13" s="236"/>
    </row>
    <row r="14" spans="1:12" s="179" customFormat="1" ht="49.9" customHeight="1" outlineLevel="1" x14ac:dyDescent="0.25">
      <c r="A14" s="492"/>
      <c r="B14" s="493"/>
      <c r="C14" s="177" t="s">
        <v>358</v>
      </c>
      <c r="D14" s="178">
        <v>20000000</v>
      </c>
      <c r="E14" s="178">
        <v>20000000</v>
      </c>
      <c r="F14" s="178">
        <v>0</v>
      </c>
      <c r="G14" s="178">
        <v>0</v>
      </c>
      <c r="H14" s="178">
        <v>0</v>
      </c>
      <c r="I14" s="236"/>
    </row>
    <row r="15" spans="1:12" s="179" customFormat="1" ht="49.9" customHeight="1" outlineLevel="1" x14ac:dyDescent="0.25">
      <c r="A15" s="492"/>
      <c r="B15" s="491" t="s">
        <v>359</v>
      </c>
      <c r="C15" s="177" t="s">
        <v>198</v>
      </c>
      <c r="D15" s="178">
        <v>1093590131</v>
      </c>
      <c r="E15" s="178">
        <v>1093590131</v>
      </c>
      <c r="F15" s="178">
        <v>0</v>
      </c>
      <c r="G15" s="178">
        <v>0</v>
      </c>
      <c r="H15" s="178">
        <v>0</v>
      </c>
      <c r="I15" s="236"/>
    </row>
    <row r="16" spans="1:12" s="179" customFormat="1" ht="49.9" customHeight="1" outlineLevel="1" x14ac:dyDescent="0.25">
      <c r="A16" s="492"/>
      <c r="B16" s="493"/>
      <c r="C16" s="177" t="s">
        <v>356</v>
      </c>
      <c r="D16" s="178">
        <v>319199869</v>
      </c>
      <c r="E16" s="178">
        <v>319199869</v>
      </c>
      <c r="F16" s="178">
        <v>0</v>
      </c>
      <c r="G16" s="178">
        <v>0</v>
      </c>
      <c r="H16" s="178">
        <v>0</v>
      </c>
      <c r="I16" s="236"/>
    </row>
    <row r="17" spans="1:9" s="179" customFormat="1" ht="49.9" customHeight="1" outlineLevel="1" x14ac:dyDescent="0.25">
      <c r="A17" s="492"/>
      <c r="B17" s="180" t="s">
        <v>360</v>
      </c>
      <c r="C17" s="177" t="s">
        <v>198</v>
      </c>
      <c r="D17" s="178">
        <v>403410000</v>
      </c>
      <c r="E17" s="178">
        <v>403410000</v>
      </c>
      <c r="F17" s="178">
        <v>0</v>
      </c>
      <c r="G17" s="178">
        <v>0</v>
      </c>
      <c r="H17" s="178">
        <v>0</v>
      </c>
      <c r="I17" s="236"/>
    </row>
    <row r="18" spans="1:9" s="179" customFormat="1" ht="49.9" customHeight="1" outlineLevel="1" x14ac:dyDescent="0.25">
      <c r="A18" s="493"/>
      <c r="B18" s="177" t="s">
        <v>361</v>
      </c>
      <c r="C18" s="177" t="s">
        <v>198</v>
      </c>
      <c r="D18" s="178">
        <v>775545944</v>
      </c>
      <c r="E18" s="178">
        <v>775545944</v>
      </c>
      <c r="F18" s="178">
        <v>0</v>
      </c>
      <c r="G18" s="178">
        <v>0</v>
      </c>
      <c r="H18" s="178">
        <v>0</v>
      </c>
      <c r="I18" s="236"/>
    </row>
    <row r="19" spans="1:9" s="179" customFormat="1" ht="49.9" customHeight="1" outlineLevel="1" collapsed="1" x14ac:dyDescent="0.25">
      <c r="A19" s="487" t="s">
        <v>129</v>
      </c>
      <c r="B19" s="177" t="s">
        <v>352</v>
      </c>
      <c r="C19" s="177" t="s">
        <v>198</v>
      </c>
      <c r="D19" s="178">
        <v>450000000</v>
      </c>
      <c r="E19" s="178">
        <v>450000000</v>
      </c>
      <c r="F19" s="178">
        <v>0</v>
      </c>
      <c r="G19" s="178">
        <v>0</v>
      </c>
      <c r="H19" s="178">
        <v>0</v>
      </c>
      <c r="I19" s="236"/>
    </row>
    <row r="20" spans="1:9" s="179" customFormat="1" ht="49.9" customHeight="1" outlineLevel="1" x14ac:dyDescent="0.25">
      <c r="A20" s="488"/>
      <c r="B20" s="491" t="s">
        <v>353</v>
      </c>
      <c r="C20" s="177" t="s">
        <v>198</v>
      </c>
      <c r="D20" s="178">
        <v>550985000</v>
      </c>
      <c r="E20" s="178">
        <v>550985000</v>
      </c>
      <c r="F20" s="178">
        <v>0</v>
      </c>
      <c r="G20" s="178">
        <v>0</v>
      </c>
      <c r="H20" s="178">
        <v>0</v>
      </c>
      <c r="I20" s="236"/>
    </row>
    <row r="21" spans="1:9" s="179" customFormat="1" ht="49.9" customHeight="1" outlineLevel="1" x14ac:dyDescent="0.25">
      <c r="A21" s="488"/>
      <c r="B21" s="493"/>
      <c r="C21" s="177" t="s">
        <v>354</v>
      </c>
      <c r="D21" s="178">
        <v>62855322</v>
      </c>
      <c r="E21" s="178">
        <v>62855322</v>
      </c>
      <c r="F21" s="178">
        <v>0</v>
      </c>
      <c r="G21" s="178">
        <v>0</v>
      </c>
      <c r="H21" s="178">
        <v>0</v>
      </c>
      <c r="I21" s="236"/>
    </row>
    <row r="22" spans="1:9" s="179" customFormat="1" ht="49.9" customHeight="1" outlineLevel="1" x14ac:dyDescent="0.25">
      <c r="A22" s="488"/>
      <c r="B22" s="177" t="s">
        <v>355</v>
      </c>
      <c r="C22" s="177" t="s">
        <v>356</v>
      </c>
      <c r="D22" s="178">
        <v>658814131</v>
      </c>
      <c r="E22" s="178">
        <v>658814131</v>
      </c>
      <c r="F22" s="178">
        <v>0</v>
      </c>
      <c r="G22" s="178">
        <v>0</v>
      </c>
      <c r="H22" s="178">
        <v>0</v>
      </c>
      <c r="I22" s="236"/>
    </row>
    <row r="23" spans="1:9" s="179" customFormat="1" ht="49.9" customHeight="1" outlineLevel="1" x14ac:dyDescent="0.25">
      <c r="A23" s="488"/>
      <c r="B23" s="491" t="s">
        <v>357</v>
      </c>
      <c r="C23" s="177" t="s">
        <v>198</v>
      </c>
      <c r="D23" s="178">
        <v>601054131</v>
      </c>
      <c r="E23" s="178">
        <v>601054131</v>
      </c>
      <c r="F23" s="178">
        <v>0</v>
      </c>
      <c r="G23" s="178">
        <v>0</v>
      </c>
      <c r="H23" s="178">
        <v>0</v>
      </c>
      <c r="I23" s="236"/>
    </row>
    <row r="24" spans="1:9" s="179" customFormat="1" ht="49.9" customHeight="1" outlineLevel="1" x14ac:dyDescent="0.25">
      <c r="A24" s="488"/>
      <c r="B24" s="493"/>
      <c r="C24" s="177" t="s">
        <v>358</v>
      </c>
      <c r="D24" s="178">
        <v>20000000</v>
      </c>
      <c r="E24" s="178">
        <v>20000000</v>
      </c>
      <c r="F24" s="178">
        <v>0</v>
      </c>
      <c r="G24" s="178">
        <v>0</v>
      </c>
      <c r="H24" s="178">
        <v>0</v>
      </c>
      <c r="I24" s="236"/>
    </row>
    <row r="25" spans="1:9" s="179" customFormat="1" ht="49.9" customHeight="1" outlineLevel="1" x14ac:dyDescent="0.25">
      <c r="A25" s="488"/>
      <c r="B25" s="491" t="s">
        <v>359</v>
      </c>
      <c r="C25" s="177" t="s">
        <v>198</v>
      </c>
      <c r="D25" s="178">
        <v>1093590131</v>
      </c>
      <c r="E25" s="178">
        <v>1093590131</v>
      </c>
      <c r="F25" s="178">
        <v>49763000</v>
      </c>
      <c r="G25" s="178">
        <v>0</v>
      </c>
      <c r="H25" s="178">
        <v>0</v>
      </c>
      <c r="I25" s="236"/>
    </row>
    <row r="26" spans="1:9" s="179" customFormat="1" ht="49.9" customHeight="1" outlineLevel="1" x14ac:dyDescent="0.25">
      <c r="A26" s="488"/>
      <c r="B26" s="493"/>
      <c r="C26" s="177" t="s">
        <v>356</v>
      </c>
      <c r="D26" s="178">
        <v>319199869</v>
      </c>
      <c r="E26" s="178">
        <v>319199869</v>
      </c>
      <c r="F26" s="178">
        <v>30213000</v>
      </c>
      <c r="G26" s="178">
        <v>0</v>
      </c>
      <c r="H26" s="178">
        <v>0</v>
      </c>
      <c r="I26" s="236"/>
    </row>
    <row r="27" spans="1:9" s="179" customFormat="1" ht="49.9" customHeight="1" outlineLevel="1" x14ac:dyDescent="0.25">
      <c r="A27" s="488"/>
      <c r="B27" s="180" t="s">
        <v>360</v>
      </c>
      <c r="C27" s="177" t="s">
        <v>198</v>
      </c>
      <c r="D27" s="178">
        <v>403410000</v>
      </c>
      <c r="E27" s="178">
        <v>403410000</v>
      </c>
      <c r="F27" s="178">
        <v>10000000</v>
      </c>
      <c r="G27" s="178">
        <v>0</v>
      </c>
      <c r="H27" s="178">
        <v>0</v>
      </c>
      <c r="I27" s="236"/>
    </row>
    <row r="28" spans="1:9" s="179" customFormat="1" ht="49.9" customHeight="1" outlineLevel="1" x14ac:dyDescent="0.25">
      <c r="A28" s="489"/>
      <c r="B28" s="177" t="s">
        <v>361</v>
      </c>
      <c r="C28" s="177" t="s">
        <v>198</v>
      </c>
      <c r="D28" s="178">
        <v>775545944</v>
      </c>
      <c r="E28" s="178">
        <v>775545944</v>
      </c>
      <c r="F28" s="178">
        <v>56548312</v>
      </c>
      <c r="G28" s="178">
        <v>0</v>
      </c>
      <c r="H28" s="178">
        <v>0</v>
      </c>
      <c r="I28" s="236"/>
    </row>
    <row r="29" spans="1:9" s="179" customFormat="1" ht="49.9" customHeight="1" outlineLevel="1" collapsed="1" x14ac:dyDescent="0.25">
      <c r="A29" s="487" t="s">
        <v>130</v>
      </c>
      <c r="B29" s="177" t="s">
        <v>352</v>
      </c>
      <c r="C29" s="177" t="s">
        <v>198</v>
      </c>
      <c r="D29" s="178">
        <v>450000000</v>
      </c>
      <c r="E29" s="178">
        <v>450000000</v>
      </c>
      <c r="F29" s="178">
        <v>373112000</v>
      </c>
      <c r="G29" s="178">
        <v>0</v>
      </c>
      <c r="H29" s="178">
        <v>0</v>
      </c>
      <c r="I29" s="236"/>
    </row>
    <row r="30" spans="1:9" s="179" customFormat="1" ht="49.9" customHeight="1" outlineLevel="1" x14ac:dyDescent="0.25">
      <c r="A30" s="488"/>
      <c r="B30" s="491" t="s">
        <v>353</v>
      </c>
      <c r="C30" s="177" t="s">
        <v>198</v>
      </c>
      <c r="D30" s="178">
        <v>550985000</v>
      </c>
      <c r="E30" s="178">
        <v>550985000</v>
      </c>
      <c r="F30" s="178">
        <v>465500000</v>
      </c>
      <c r="G30" s="178">
        <v>0</v>
      </c>
      <c r="H30" s="178">
        <v>0</v>
      </c>
      <c r="I30" s="236"/>
    </row>
    <row r="31" spans="1:9" s="179" customFormat="1" ht="49.9" customHeight="1" outlineLevel="1" x14ac:dyDescent="0.25">
      <c r="A31" s="488"/>
      <c r="B31" s="493"/>
      <c r="C31" s="177" t="s">
        <v>354</v>
      </c>
      <c r="D31" s="178">
        <v>62855322</v>
      </c>
      <c r="E31" s="178">
        <v>62855322</v>
      </c>
      <c r="F31" s="178">
        <v>0</v>
      </c>
      <c r="G31" s="178">
        <v>0</v>
      </c>
      <c r="H31" s="178">
        <v>0</v>
      </c>
      <c r="I31" s="236"/>
    </row>
    <row r="32" spans="1:9" s="179" customFormat="1" ht="49.9" customHeight="1" outlineLevel="1" x14ac:dyDescent="0.25">
      <c r="A32" s="488"/>
      <c r="B32" s="177" t="s">
        <v>355</v>
      </c>
      <c r="C32" s="177" t="s">
        <v>356</v>
      </c>
      <c r="D32" s="178">
        <v>658814131</v>
      </c>
      <c r="E32" s="178">
        <v>658814131</v>
      </c>
      <c r="F32" s="178">
        <v>451588000</v>
      </c>
      <c r="G32" s="178">
        <v>0</v>
      </c>
      <c r="H32" s="178">
        <v>0</v>
      </c>
      <c r="I32" s="236"/>
    </row>
    <row r="33" spans="1:9" s="179" customFormat="1" ht="49.9" customHeight="1" outlineLevel="1" x14ac:dyDescent="0.25">
      <c r="A33" s="488"/>
      <c r="B33" s="491" t="s">
        <v>357</v>
      </c>
      <c r="C33" s="177" t="s">
        <v>198</v>
      </c>
      <c r="D33" s="178">
        <v>601054131</v>
      </c>
      <c r="E33" s="178">
        <v>601054131</v>
      </c>
      <c r="F33" s="178">
        <v>433428000</v>
      </c>
      <c r="G33" s="178">
        <v>0</v>
      </c>
      <c r="H33" s="178">
        <v>0</v>
      </c>
      <c r="I33" s="236"/>
    </row>
    <row r="34" spans="1:9" s="179" customFormat="1" ht="49.9" customHeight="1" outlineLevel="1" x14ac:dyDescent="0.25">
      <c r="A34" s="488"/>
      <c r="B34" s="493"/>
      <c r="C34" s="177" t="s">
        <v>358</v>
      </c>
      <c r="D34" s="178">
        <v>20000000</v>
      </c>
      <c r="E34" s="178">
        <v>20000000</v>
      </c>
      <c r="F34" s="178">
        <v>0</v>
      </c>
      <c r="G34" s="178">
        <v>0</v>
      </c>
      <c r="H34" s="178">
        <v>0</v>
      </c>
      <c r="I34" s="236"/>
    </row>
    <row r="35" spans="1:9" s="179" customFormat="1" ht="49.9" customHeight="1" outlineLevel="1" x14ac:dyDescent="0.25">
      <c r="A35" s="488"/>
      <c r="B35" s="491" t="s">
        <v>359</v>
      </c>
      <c r="C35" s="177" t="s">
        <v>198</v>
      </c>
      <c r="D35" s="178">
        <v>1093590131</v>
      </c>
      <c r="E35" s="178">
        <v>1093590131</v>
      </c>
      <c r="F35" s="178">
        <v>548275984</v>
      </c>
      <c r="G35" s="178">
        <v>0</v>
      </c>
      <c r="H35" s="178">
        <v>0</v>
      </c>
      <c r="I35" s="236"/>
    </row>
    <row r="36" spans="1:9" s="179" customFormat="1" ht="49.9" customHeight="1" outlineLevel="1" x14ac:dyDescent="0.25">
      <c r="A36" s="488"/>
      <c r="B36" s="493"/>
      <c r="C36" s="177" t="s">
        <v>356</v>
      </c>
      <c r="D36" s="178">
        <v>319199869</v>
      </c>
      <c r="E36" s="178">
        <v>319199869</v>
      </c>
      <c r="F36" s="178">
        <v>286832000</v>
      </c>
      <c r="G36" s="178">
        <v>0</v>
      </c>
      <c r="H36" s="178">
        <v>0</v>
      </c>
      <c r="I36" s="236"/>
    </row>
    <row r="37" spans="1:9" s="179" customFormat="1" ht="49.9" customHeight="1" outlineLevel="1" x14ac:dyDescent="0.25">
      <c r="A37" s="488"/>
      <c r="B37" s="180" t="s">
        <v>360</v>
      </c>
      <c r="C37" s="177" t="s">
        <v>198</v>
      </c>
      <c r="D37" s="178">
        <v>403410000</v>
      </c>
      <c r="E37" s="178">
        <v>403410000</v>
      </c>
      <c r="F37" s="178">
        <v>92564000</v>
      </c>
      <c r="G37" s="178">
        <v>0</v>
      </c>
      <c r="H37" s="178">
        <v>0</v>
      </c>
      <c r="I37" s="236"/>
    </row>
    <row r="38" spans="1:9" s="179" customFormat="1" ht="49.9" customHeight="1" outlineLevel="1" x14ac:dyDescent="0.25">
      <c r="A38" s="489"/>
      <c r="B38" s="177" t="s">
        <v>361</v>
      </c>
      <c r="C38" s="177" t="s">
        <v>198</v>
      </c>
      <c r="D38" s="178">
        <v>775545944</v>
      </c>
      <c r="E38" s="178">
        <v>775545944</v>
      </c>
      <c r="F38" s="178">
        <v>404965456</v>
      </c>
      <c r="G38" s="178">
        <v>11541544</v>
      </c>
      <c r="H38" s="178">
        <v>11541544</v>
      </c>
      <c r="I38" s="236"/>
    </row>
    <row r="39" spans="1:9" s="179" customFormat="1" ht="49.9" customHeight="1" outlineLevel="1" x14ac:dyDescent="0.25">
      <c r="A39" s="487" t="s">
        <v>131</v>
      </c>
      <c r="B39" s="177" t="s">
        <v>352</v>
      </c>
      <c r="C39" s="177" t="s">
        <v>198</v>
      </c>
      <c r="D39" s="178">
        <v>450000000</v>
      </c>
      <c r="E39" s="178">
        <v>450000000</v>
      </c>
      <c r="F39" s="178">
        <v>373112000</v>
      </c>
      <c r="G39" s="178">
        <v>26409699</v>
      </c>
      <c r="H39" s="178">
        <v>26409699</v>
      </c>
      <c r="I39" s="236"/>
    </row>
    <row r="40" spans="1:9" s="179" customFormat="1" ht="49.9" customHeight="1" outlineLevel="1" x14ac:dyDescent="0.25">
      <c r="A40" s="488"/>
      <c r="B40" s="491" t="s">
        <v>353</v>
      </c>
      <c r="C40" s="177" t="s">
        <v>198</v>
      </c>
      <c r="D40" s="178">
        <v>550985000</v>
      </c>
      <c r="E40" s="178">
        <v>550985000</v>
      </c>
      <c r="F40" s="178">
        <v>465500000</v>
      </c>
      <c r="G40" s="178">
        <v>35398499</v>
      </c>
      <c r="H40" s="178">
        <v>35398499</v>
      </c>
      <c r="I40" s="236"/>
    </row>
    <row r="41" spans="1:9" s="179" customFormat="1" ht="49.9" customHeight="1" outlineLevel="1" x14ac:dyDescent="0.25">
      <c r="A41" s="488"/>
      <c r="B41" s="493"/>
      <c r="C41" s="177" t="s">
        <v>354</v>
      </c>
      <c r="D41" s="178">
        <v>62855322</v>
      </c>
      <c r="E41" s="178">
        <v>62855322</v>
      </c>
      <c r="F41" s="178">
        <v>0</v>
      </c>
      <c r="G41" s="178">
        <v>0</v>
      </c>
      <c r="H41" s="178">
        <v>0</v>
      </c>
      <c r="I41" s="236"/>
    </row>
    <row r="42" spans="1:9" s="179" customFormat="1" ht="49.9" customHeight="1" outlineLevel="1" x14ac:dyDescent="0.25">
      <c r="A42" s="488"/>
      <c r="B42" s="177" t="s">
        <v>355</v>
      </c>
      <c r="C42" s="177" t="s">
        <v>356</v>
      </c>
      <c r="D42" s="178">
        <v>658814131</v>
      </c>
      <c r="E42" s="178">
        <v>658814131</v>
      </c>
      <c r="F42" s="178">
        <v>472900000</v>
      </c>
      <c r="G42" s="178">
        <v>38096468</v>
      </c>
      <c r="H42" s="178">
        <v>38096468</v>
      </c>
      <c r="I42" s="236"/>
    </row>
    <row r="43" spans="1:9" s="179" customFormat="1" ht="49.9" customHeight="1" outlineLevel="1" x14ac:dyDescent="0.25">
      <c r="A43" s="488"/>
      <c r="B43" s="491" t="s">
        <v>357</v>
      </c>
      <c r="C43" s="177" t="s">
        <v>198</v>
      </c>
      <c r="D43" s="178">
        <v>601054131</v>
      </c>
      <c r="E43" s="178">
        <v>601054131</v>
      </c>
      <c r="F43" s="178">
        <v>433428000</v>
      </c>
      <c r="G43" s="178">
        <v>45142900</v>
      </c>
      <c r="H43" s="178">
        <v>45142900</v>
      </c>
      <c r="I43" s="236"/>
    </row>
    <row r="44" spans="1:9" s="179" customFormat="1" ht="49.9" customHeight="1" outlineLevel="1" x14ac:dyDescent="0.25">
      <c r="A44" s="488"/>
      <c r="B44" s="493"/>
      <c r="C44" s="177" t="s">
        <v>358</v>
      </c>
      <c r="D44" s="178">
        <v>20000000</v>
      </c>
      <c r="E44" s="178">
        <v>20000000</v>
      </c>
      <c r="F44" s="178">
        <v>0</v>
      </c>
      <c r="G44" s="178">
        <v>0</v>
      </c>
      <c r="H44" s="178">
        <v>0</v>
      </c>
      <c r="I44" s="236"/>
    </row>
    <row r="45" spans="1:9" s="179" customFormat="1" ht="49.9" customHeight="1" outlineLevel="1" x14ac:dyDescent="0.25">
      <c r="A45" s="488"/>
      <c r="B45" s="491" t="s">
        <v>359</v>
      </c>
      <c r="C45" s="177" t="s">
        <v>198</v>
      </c>
      <c r="D45" s="178">
        <v>1093590131</v>
      </c>
      <c r="E45" s="178">
        <v>1093590131</v>
      </c>
      <c r="F45" s="178">
        <v>573298666</v>
      </c>
      <c r="G45" s="178">
        <v>51721448</v>
      </c>
      <c r="H45" s="178">
        <v>51721448</v>
      </c>
      <c r="I45" s="236"/>
    </row>
    <row r="46" spans="1:9" s="179" customFormat="1" ht="49.9" customHeight="1" outlineLevel="1" x14ac:dyDescent="0.25">
      <c r="A46" s="488"/>
      <c r="B46" s="493"/>
      <c r="C46" s="177" t="s">
        <v>356</v>
      </c>
      <c r="D46" s="178">
        <v>319199869</v>
      </c>
      <c r="E46" s="178">
        <v>319199869</v>
      </c>
      <c r="F46" s="178">
        <v>286832000</v>
      </c>
      <c r="G46" s="178">
        <v>26956333</v>
      </c>
      <c r="H46" s="178">
        <v>26956333</v>
      </c>
      <c r="I46" s="236"/>
    </row>
    <row r="47" spans="1:9" s="179" customFormat="1" ht="49.9" customHeight="1" outlineLevel="1" x14ac:dyDescent="0.25">
      <c r="A47" s="488"/>
      <c r="B47" s="180" t="s">
        <v>360</v>
      </c>
      <c r="C47" s="177" t="s">
        <v>198</v>
      </c>
      <c r="D47" s="178">
        <v>403410000</v>
      </c>
      <c r="E47" s="178">
        <v>403410000</v>
      </c>
      <c r="F47" s="178">
        <v>164519000</v>
      </c>
      <c r="G47" s="178">
        <v>2848433</v>
      </c>
      <c r="H47" s="178">
        <v>2848433</v>
      </c>
      <c r="I47" s="236"/>
    </row>
    <row r="48" spans="1:9" s="179" customFormat="1" ht="49.9" customHeight="1" outlineLevel="1" x14ac:dyDescent="0.25">
      <c r="A48" s="489"/>
      <c r="B48" s="177" t="s">
        <v>361</v>
      </c>
      <c r="C48" s="177" t="s">
        <v>198</v>
      </c>
      <c r="D48" s="178">
        <v>775545944</v>
      </c>
      <c r="E48" s="178">
        <v>775545944</v>
      </c>
      <c r="F48" s="178">
        <v>433527167</v>
      </c>
      <c r="G48" s="178">
        <v>36332725</v>
      </c>
      <c r="H48" s="178">
        <v>36332725</v>
      </c>
      <c r="I48" s="236"/>
    </row>
    <row r="49" spans="1:9" s="179" customFormat="1" ht="49.9" customHeight="1" outlineLevel="1" x14ac:dyDescent="0.25">
      <c r="A49" s="487" t="s">
        <v>132</v>
      </c>
      <c r="B49" s="177" t="s">
        <v>352</v>
      </c>
      <c r="C49" s="182" t="s">
        <v>198</v>
      </c>
      <c r="D49" s="183">
        <v>450000000</v>
      </c>
      <c r="E49" s="183">
        <v>450000000</v>
      </c>
      <c r="F49" s="183">
        <v>377292000</v>
      </c>
      <c r="G49" s="183">
        <v>210279165</v>
      </c>
      <c r="H49" s="183">
        <v>210279165</v>
      </c>
      <c r="I49" s="236"/>
    </row>
    <row r="50" spans="1:9" s="179" customFormat="1" ht="49.9" customHeight="1" outlineLevel="1" x14ac:dyDescent="0.25">
      <c r="A50" s="488"/>
      <c r="B50" s="491" t="s">
        <v>353</v>
      </c>
      <c r="C50" s="182" t="s">
        <v>198</v>
      </c>
      <c r="D50" s="183">
        <v>753985000</v>
      </c>
      <c r="E50" s="183">
        <v>763985000</v>
      </c>
      <c r="F50" s="183">
        <v>480083000</v>
      </c>
      <c r="G50" s="183">
        <v>254439132</v>
      </c>
      <c r="H50" s="183">
        <v>254439132</v>
      </c>
      <c r="I50" s="236"/>
    </row>
    <row r="51" spans="1:9" s="179" customFormat="1" ht="49.9" customHeight="1" outlineLevel="1" x14ac:dyDescent="0.25">
      <c r="A51" s="488"/>
      <c r="B51" s="493"/>
      <c r="C51" s="182" t="s">
        <v>354</v>
      </c>
      <c r="D51" s="183">
        <v>62855322</v>
      </c>
      <c r="E51" s="183">
        <v>62855322</v>
      </c>
      <c r="F51" s="183">
        <v>62855322</v>
      </c>
      <c r="G51" s="183">
        <v>62855322</v>
      </c>
      <c r="H51" s="183">
        <v>62855322</v>
      </c>
      <c r="I51" s="236"/>
    </row>
    <row r="52" spans="1:9" s="179" customFormat="1" ht="49.9" customHeight="1" outlineLevel="1" x14ac:dyDescent="0.25">
      <c r="A52" s="488"/>
      <c r="B52" s="177" t="s">
        <v>355</v>
      </c>
      <c r="C52" s="182" t="s">
        <v>356</v>
      </c>
      <c r="D52" s="183">
        <v>658814131</v>
      </c>
      <c r="E52" s="183">
        <v>658814131</v>
      </c>
      <c r="F52" s="183">
        <v>545531000</v>
      </c>
      <c r="G52" s="183">
        <v>232554035</v>
      </c>
      <c r="H52" s="183">
        <v>232554035</v>
      </c>
      <c r="I52" s="236"/>
    </row>
    <row r="53" spans="1:9" s="179" customFormat="1" ht="49.9" customHeight="1" outlineLevel="1" x14ac:dyDescent="0.25">
      <c r="A53" s="488"/>
      <c r="B53" s="491" t="s">
        <v>357</v>
      </c>
      <c r="C53" s="182" t="s">
        <v>198</v>
      </c>
      <c r="D53" s="183">
        <v>536054131</v>
      </c>
      <c r="E53" s="183">
        <v>536054131</v>
      </c>
      <c r="F53" s="183">
        <v>437787131</v>
      </c>
      <c r="G53" s="183">
        <v>269195535</v>
      </c>
      <c r="H53" s="183">
        <v>269195535</v>
      </c>
      <c r="I53" s="236"/>
    </row>
    <row r="54" spans="1:9" s="179" customFormat="1" ht="49.9" customHeight="1" outlineLevel="1" x14ac:dyDescent="0.25">
      <c r="A54" s="488"/>
      <c r="B54" s="493"/>
      <c r="C54" s="182" t="s">
        <v>358</v>
      </c>
      <c r="D54" s="183">
        <v>20000000</v>
      </c>
      <c r="E54" s="183">
        <v>20000000</v>
      </c>
      <c r="F54" s="183">
        <v>0</v>
      </c>
      <c r="G54" s="183">
        <v>0</v>
      </c>
      <c r="H54" s="183">
        <v>0</v>
      </c>
      <c r="I54" s="236"/>
    </row>
    <row r="55" spans="1:9" s="179" customFormat="1" ht="49.9" customHeight="1" outlineLevel="1" x14ac:dyDescent="0.25">
      <c r="A55" s="488"/>
      <c r="B55" s="491" t="s">
        <v>359</v>
      </c>
      <c r="C55" s="182" t="s">
        <v>198</v>
      </c>
      <c r="D55" s="183">
        <v>1080590131</v>
      </c>
      <c r="E55" s="183">
        <v>1080590131</v>
      </c>
      <c r="F55" s="183">
        <v>618799416</v>
      </c>
      <c r="G55" s="183">
        <v>252268566</v>
      </c>
      <c r="H55" s="183">
        <v>252268566</v>
      </c>
      <c r="I55" s="236"/>
    </row>
    <row r="56" spans="1:9" s="179" customFormat="1" ht="49.9" customHeight="1" outlineLevel="1" x14ac:dyDescent="0.25">
      <c r="A56" s="488"/>
      <c r="B56" s="493"/>
      <c r="C56" s="182" t="s">
        <v>356</v>
      </c>
      <c r="D56" s="183">
        <v>319199869</v>
      </c>
      <c r="E56" s="183">
        <v>319199869</v>
      </c>
      <c r="F56" s="183">
        <v>286832000</v>
      </c>
      <c r="G56" s="183">
        <v>157706433</v>
      </c>
      <c r="H56" s="183">
        <v>157706433</v>
      </c>
      <c r="I56" s="236"/>
    </row>
    <row r="57" spans="1:9" s="179" customFormat="1" ht="49.9" customHeight="1" outlineLevel="1" x14ac:dyDescent="0.25">
      <c r="A57" s="488"/>
      <c r="B57" s="180" t="s">
        <v>360</v>
      </c>
      <c r="C57" s="182" t="s">
        <v>198</v>
      </c>
      <c r="D57" s="183">
        <v>263410000</v>
      </c>
      <c r="E57" s="183">
        <v>263410000</v>
      </c>
      <c r="F57" s="183">
        <v>191691000</v>
      </c>
      <c r="G57" s="183">
        <v>78561375</v>
      </c>
      <c r="H57" s="183">
        <v>78561375</v>
      </c>
      <c r="I57" s="236"/>
    </row>
    <row r="58" spans="1:9" s="179" customFormat="1" ht="49.9" customHeight="1" outlineLevel="1" x14ac:dyDescent="0.25">
      <c r="A58" s="489"/>
      <c r="B58" s="177" t="s">
        <v>361</v>
      </c>
      <c r="C58" s="182" t="s">
        <v>198</v>
      </c>
      <c r="D58" s="183">
        <v>790545944</v>
      </c>
      <c r="E58" s="183">
        <v>780545944</v>
      </c>
      <c r="F58" s="183">
        <v>488375819</v>
      </c>
      <c r="G58" s="183">
        <v>278527169</v>
      </c>
      <c r="H58" s="183">
        <v>278527169</v>
      </c>
      <c r="I58" s="236"/>
    </row>
    <row r="59" spans="1:9" s="179" customFormat="1" ht="49.9" customHeight="1" outlineLevel="1" x14ac:dyDescent="0.25">
      <c r="A59" s="487" t="s">
        <v>133</v>
      </c>
      <c r="B59" s="177" t="s">
        <v>352</v>
      </c>
      <c r="C59" s="182" t="s">
        <v>198</v>
      </c>
      <c r="D59" s="183">
        <v>450000000</v>
      </c>
      <c r="E59" s="184">
        <v>450000000</v>
      </c>
      <c r="F59" s="183">
        <v>447516000</v>
      </c>
      <c r="G59" s="183">
        <v>316341865</v>
      </c>
      <c r="H59" s="183">
        <f>+G59</f>
        <v>316341865</v>
      </c>
      <c r="I59" s="236"/>
    </row>
    <row r="60" spans="1:9" s="179" customFormat="1" ht="49.9" customHeight="1" outlineLevel="1" x14ac:dyDescent="0.25">
      <c r="A60" s="488"/>
      <c r="B60" s="491" t="s">
        <v>353</v>
      </c>
      <c r="C60" s="182" t="s">
        <v>198</v>
      </c>
      <c r="D60" s="183">
        <v>753985000</v>
      </c>
      <c r="E60" s="184">
        <v>763985000</v>
      </c>
      <c r="F60" s="183">
        <v>607617783</v>
      </c>
      <c r="G60" s="183">
        <v>387105399</v>
      </c>
      <c r="H60" s="183">
        <f t="shared" ref="H60:H68" si="0">+G60</f>
        <v>387105399</v>
      </c>
      <c r="I60" s="236"/>
    </row>
    <row r="61" spans="1:9" s="179" customFormat="1" ht="49.9" customHeight="1" outlineLevel="1" x14ac:dyDescent="0.25">
      <c r="A61" s="488"/>
      <c r="B61" s="493"/>
      <c r="C61" s="182" t="s">
        <v>354</v>
      </c>
      <c r="D61" s="183">
        <v>62855322</v>
      </c>
      <c r="E61" s="184">
        <v>62855322</v>
      </c>
      <c r="F61" s="183">
        <v>62855322</v>
      </c>
      <c r="G61" s="183">
        <v>62855322</v>
      </c>
      <c r="H61" s="183">
        <f t="shared" si="0"/>
        <v>62855322</v>
      </c>
      <c r="I61" s="236"/>
    </row>
    <row r="62" spans="1:9" s="179" customFormat="1" ht="49.9" customHeight="1" outlineLevel="1" x14ac:dyDescent="0.25">
      <c r="A62" s="488"/>
      <c r="B62" s="177" t="s">
        <v>355</v>
      </c>
      <c r="C62" s="182" t="s">
        <v>356</v>
      </c>
      <c r="D62" s="183">
        <v>658814131</v>
      </c>
      <c r="E62" s="184">
        <v>658814131</v>
      </c>
      <c r="F62" s="183">
        <v>644978000</v>
      </c>
      <c r="G62" s="183">
        <v>368534169</v>
      </c>
      <c r="H62" s="183">
        <f t="shared" si="0"/>
        <v>368534169</v>
      </c>
      <c r="I62" s="236"/>
    </row>
    <row r="63" spans="1:9" s="179" customFormat="1" ht="49.9" customHeight="1" outlineLevel="1" x14ac:dyDescent="0.25">
      <c r="A63" s="488"/>
      <c r="B63" s="491" t="s">
        <v>357</v>
      </c>
      <c r="C63" s="182" t="s">
        <v>198</v>
      </c>
      <c r="D63" s="183">
        <v>536054131</v>
      </c>
      <c r="E63" s="184">
        <v>536054131</v>
      </c>
      <c r="F63" s="183">
        <v>535986131</v>
      </c>
      <c r="G63" s="183">
        <v>403638440.30888337</v>
      </c>
      <c r="H63" s="183">
        <f t="shared" si="0"/>
        <v>403638440.30888337</v>
      </c>
      <c r="I63" s="236"/>
    </row>
    <row r="64" spans="1:9" s="179" customFormat="1" ht="49.9" customHeight="1" outlineLevel="1" x14ac:dyDescent="0.25">
      <c r="A64" s="488"/>
      <c r="B64" s="493"/>
      <c r="C64" s="182" t="s">
        <v>358</v>
      </c>
      <c r="D64" s="183">
        <v>20000000</v>
      </c>
      <c r="E64" s="183">
        <v>20000000</v>
      </c>
      <c r="F64" s="183">
        <v>0</v>
      </c>
      <c r="G64" s="183">
        <v>0</v>
      </c>
      <c r="H64" s="183">
        <v>0</v>
      </c>
      <c r="I64" s="236"/>
    </row>
    <row r="65" spans="1:9" s="179" customFormat="1" ht="49.9" customHeight="1" outlineLevel="1" x14ac:dyDescent="0.25">
      <c r="A65" s="488"/>
      <c r="B65" s="491" t="s">
        <v>359</v>
      </c>
      <c r="C65" s="182" t="s">
        <v>198</v>
      </c>
      <c r="D65" s="183">
        <v>1080590131</v>
      </c>
      <c r="E65" s="183">
        <v>1080590131</v>
      </c>
      <c r="F65" s="184">
        <v>1012453063</v>
      </c>
      <c r="G65" s="183">
        <v>505007680.18480587</v>
      </c>
      <c r="H65" s="183">
        <f t="shared" si="0"/>
        <v>505007680.18480587</v>
      </c>
      <c r="I65" s="236"/>
    </row>
    <row r="66" spans="1:9" s="179" customFormat="1" ht="49.9" customHeight="1" outlineLevel="1" x14ac:dyDescent="0.25">
      <c r="A66" s="488"/>
      <c r="B66" s="493"/>
      <c r="C66" s="182" t="s">
        <v>356</v>
      </c>
      <c r="D66" s="183">
        <v>319199869</v>
      </c>
      <c r="E66" s="183">
        <v>319199869</v>
      </c>
      <c r="F66" s="183">
        <v>313688000</v>
      </c>
      <c r="G66" s="183">
        <v>227490433</v>
      </c>
      <c r="H66" s="183">
        <f t="shared" si="0"/>
        <v>227490433</v>
      </c>
      <c r="I66" s="236"/>
    </row>
    <row r="67" spans="1:9" s="179" customFormat="1" ht="49.9" customHeight="1" outlineLevel="1" x14ac:dyDescent="0.25">
      <c r="A67" s="488"/>
      <c r="B67" s="180" t="s">
        <v>360</v>
      </c>
      <c r="C67" s="182" t="s">
        <v>198</v>
      </c>
      <c r="D67" s="183">
        <v>263410000</v>
      </c>
      <c r="E67" s="183">
        <v>263410000</v>
      </c>
      <c r="F67" s="183">
        <v>232617000</v>
      </c>
      <c r="G67" s="183">
        <v>139980686.50631076</v>
      </c>
      <c r="H67" s="183">
        <f t="shared" si="0"/>
        <v>139980686.50631076</v>
      </c>
      <c r="I67" s="236"/>
    </row>
    <row r="68" spans="1:9" s="179" customFormat="1" ht="49.9" customHeight="1" outlineLevel="1" x14ac:dyDescent="0.25">
      <c r="A68" s="489"/>
      <c r="B68" s="177" t="s">
        <v>361</v>
      </c>
      <c r="C68" s="182" t="s">
        <v>198</v>
      </c>
      <c r="D68" s="183">
        <v>790545944</v>
      </c>
      <c r="E68" s="184">
        <v>780545944</v>
      </c>
      <c r="F68" s="183">
        <v>731213017</v>
      </c>
      <c r="G68" s="183">
        <v>381508875</v>
      </c>
      <c r="H68" s="183">
        <f t="shared" si="0"/>
        <v>381508875</v>
      </c>
      <c r="I68" s="236"/>
    </row>
    <row r="69" spans="1:9" ht="16.5" customHeight="1" x14ac:dyDescent="0.25"/>
    <row r="70" spans="1:9" ht="26.25" customHeight="1" x14ac:dyDescent="0.25">
      <c r="A70" s="498" t="s">
        <v>134</v>
      </c>
      <c r="B70" s="498"/>
      <c r="C70" s="498"/>
      <c r="D70" s="498"/>
      <c r="E70" s="498"/>
      <c r="F70" s="498"/>
      <c r="G70" s="498"/>
      <c r="H70" s="498"/>
    </row>
    <row r="71" spans="1:9" ht="25.5" customHeight="1" x14ac:dyDescent="0.25">
      <c r="A71" s="175" t="s">
        <v>48</v>
      </c>
      <c r="B71" s="175" t="s">
        <v>351</v>
      </c>
      <c r="C71" s="42" t="s">
        <v>121</v>
      </c>
      <c r="D71" s="176" t="s">
        <v>122</v>
      </c>
      <c r="E71" s="176" t="s">
        <v>123</v>
      </c>
      <c r="F71" s="176" t="s">
        <v>124</v>
      </c>
      <c r="G71" s="176" t="s">
        <v>125</v>
      </c>
      <c r="H71" s="176" t="s">
        <v>126</v>
      </c>
    </row>
    <row r="72" spans="1:9" ht="49.9" customHeight="1" outlineLevel="1" x14ac:dyDescent="0.25">
      <c r="A72" s="490" t="s">
        <v>135</v>
      </c>
      <c r="B72" s="177" t="s">
        <v>361</v>
      </c>
      <c r="C72" s="182" t="s">
        <v>198</v>
      </c>
      <c r="D72" s="183">
        <v>790545944</v>
      </c>
      <c r="E72" s="184">
        <v>780545944</v>
      </c>
      <c r="F72" s="43"/>
      <c r="G72" s="43"/>
      <c r="H72" s="43"/>
    </row>
    <row r="73" spans="1:9" ht="49.9" customHeight="1" outlineLevel="1" x14ac:dyDescent="0.25">
      <c r="A73" s="490"/>
      <c r="B73" s="482" t="s">
        <v>353</v>
      </c>
      <c r="C73" s="182" t="s">
        <v>198</v>
      </c>
      <c r="D73" s="183">
        <v>753985000</v>
      </c>
      <c r="E73" s="184">
        <v>763985000</v>
      </c>
      <c r="F73" s="43"/>
      <c r="G73" s="43"/>
      <c r="H73" s="43"/>
    </row>
    <row r="74" spans="1:9" ht="49.9" customHeight="1" outlineLevel="1" x14ac:dyDescent="0.25">
      <c r="A74" s="490"/>
      <c r="B74" s="482"/>
      <c r="C74" s="182" t="s">
        <v>354</v>
      </c>
      <c r="D74" s="183">
        <v>62855322</v>
      </c>
      <c r="E74" s="184">
        <v>62855322</v>
      </c>
      <c r="F74" s="43"/>
      <c r="G74" s="43"/>
      <c r="H74" s="43"/>
    </row>
    <row r="75" spans="1:9" ht="49.9" customHeight="1" outlineLevel="1" x14ac:dyDescent="0.25">
      <c r="A75" s="490"/>
      <c r="B75" s="482" t="s">
        <v>359</v>
      </c>
      <c r="C75" s="182" t="s">
        <v>198</v>
      </c>
      <c r="D75" s="183">
        <v>1080590131</v>
      </c>
      <c r="E75" s="183">
        <v>1080590131</v>
      </c>
      <c r="F75" s="43"/>
      <c r="G75" s="43"/>
      <c r="H75" s="43"/>
    </row>
    <row r="76" spans="1:9" ht="49.9" customHeight="1" outlineLevel="1" x14ac:dyDescent="0.25">
      <c r="A76" s="490"/>
      <c r="B76" s="482"/>
      <c r="C76" s="182" t="s">
        <v>356</v>
      </c>
      <c r="D76" s="183">
        <v>319199869</v>
      </c>
      <c r="E76" s="183">
        <v>319199869</v>
      </c>
      <c r="F76" s="43"/>
      <c r="G76" s="43"/>
      <c r="H76" s="43"/>
    </row>
    <row r="77" spans="1:9" ht="49.9" customHeight="1" outlineLevel="1" x14ac:dyDescent="0.25">
      <c r="A77" s="490"/>
      <c r="B77" s="482" t="s">
        <v>357</v>
      </c>
      <c r="C77" s="182" t="s">
        <v>198</v>
      </c>
      <c r="D77" s="183">
        <v>536054131</v>
      </c>
      <c r="E77" s="184">
        <v>536054131</v>
      </c>
      <c r="F77" s="43"/>
      <c r="G77" s="43"/>
      <c r="H77" s="43"/>
    </row>
    <row r="78" spans="1:9" ht="49.9" customHeight="1" outlineLevel="1" x14ac:dyDescent="0.25">
      <c r="A78" s="490"/>
      <c r="B78" s="482"/>
      <c r="C78" s="182" t="s">
        <v>358</v>
      </c>
      <c r="D78" s="183">
        <v>20000000</v>
      </c>
      <c r="E78" s="183">
        <v>20000000</v>
      </c>
      <c r="F78" s="43"/>
      <c r="G78" s="43"/>
      <c r="H78" s="43"/>
    </row>
    <row r="79" spans="1:9" ht="49.9" customHeight="1" outlineLevel="1" x14ac:dyDescent="0.25">
      <c r="A79" s="490"/>
      <c r="B79" s="177" t="s">
        <v>360</v>
      </c>
      <c r="C79" s="182" t="s">
        <v>198</v>
      </c>
      <c r="D79" s="183">
        <v>263410000</v>
      </c>
      <c r="E79" s="183">
        <v>263410000</v>
      </c>
      <c r="F79" s="43"/>
      <c r="G79" s="43"/>
      <c r="H79" s="43"/>
    </row>
    <row r="80" spans="1:9" ht="49.9" customHeight="1" outlineLevel="1" x14ac:dyDescent="0.25">
      <c r="A80" s="490"/>
      <c r="B80" s="177" t="s">
        <v>355</v>
      </c>
      <c r="C80" s="182" t="s">
        <v>356</v>
      </c>
      <c r="D80" s="183">
        <v>658814131</v>
      </c>
      <c r="E80" s="184">
        <v>658814131</v>
      </c>
      <c r="F80" s="43"/>
      <c r="G80" s="43"/>
      <c r="H80" s="43"/>
    </row>
    <row r="81" spans="1:8" ht="49.9" customHeight="1" outlineLevel="1" x14ac:dyDescent="0.25">
      <c r="A81" s="490"/>
      <c r="B81" s="177" t="s">
        <v>352</v>
      </c>
      <c r="C81" s="182" t="s">
        <v>198</v>
      </c>
      <c r="D81" s="183">
        <v>450000000</v>
      </c>
      <c r="E81" s="184">
        <v>450000000</v>
      </c>
      <c r="F81" s="43"/>
      <c r="G81" s="43"/>
      <c r="H81" s="43"/>
    </row>
    <row r="82" spans="1:8" ht="49.9" customHeight="1" outlineLevel="1" x14ac:dyDescent="0.25">
      <c r="A82" s="497" t="s">
        <v>136</v>
      </c>
      <c r="B82" s="177" t="s">
        <v>361</v>
      </c>
      <c r="C82" s="182" t="s">
        <v>362</v>
      </c>
      <c r="D82" s="183">
        <v>1564678000</v>
      </c>
      <c r="E82" s="184">
        <v>1564678000</v>
      </c>
      <c r="F82" s="184">
        <v>188232000</v>
      </c>
      <c r="G82" s="184">
        <v>188232000</v>
      </c>
      <c r="H82" s="184">
        <v>0</v>
      </c>
    </row>
    <row r="83" spans="1:8" ht="49.9" customHeight="1" outlineLevel="1" x14ac:dyDescent="0.25">
      <c r="A83" s="497"/>
      <c r="B83" s="177" t="s">
        <v>353</v>
      </c>
      <c r="C83" s="182" t="s">
        <v>362</v>
      </c>
      <c r="D83" s="184">
        <v>1374057000</v>
      </c>
      <c r="E83" s="184">
        <v>1374057000</v>
      </c>
      <c r="F83" s="184">
        <v>582050000</v>
      </c>
      <c r="G83" s="184">
        <v>582050000</v>
      </c>
      <c r="H83" s="184">
        <v>0</v>
      </c>
    </row>
    <row r="84" spans="1:8" ht="49.9" customHeight="1" outlineLevel="1" x14ac:dyDescent="0.25">
      <c r="A84" s="497"/>
      <c r="B84" s="482" t="s">
        <v>359</v>
      </c>
      <c r="C84" s="182" t="s">
        <v>362</v>
      </c>
      <c r="D84" s="183">
        <v>2007824000</v>
      </c>
      <c r="E84" s="183">
        <v>2007824000</v>
      </c>
      <c r="F84" s="183">
        <v>292843000</v>
      </c>
      <c r="G84" s="183">
        <v>292843000</v>
      </c>
      <c r="H84" s="184">
        <v>0</v>
      </c>
    </row>
    <row r="85" spans="1:8" ht="49.9" customHeight="1" outlineLevel="1" x14ac:dyDescent="0.25">
      <c r="A85" s="497"/>
      <c r="B85" s="482"/>
      <c r="C85" s="182" t="s">
        <v>363</v>
      </c>
      <c r="D85" s="183">
        <v>792348000</v>
      </c>
      <c r="E85" s="183">
        <v>792348000</v>
      </c>
      <c r="F85" s="183">
        <v>115947000</v>
      </c>
      <c r="G85" s="183">
        <v>115947000</v>
      </c>
      <c r="H85" s="184">
        <v>0</v>
      </c>
    </row>
    <row r="86" spans="1:8" ht="49.9" customHeight="1" outlineLevel="1" x14ac:dyDescent="0.25">
      <c r="A86" s="497"/>
      <c r="B86" s="482"/>
      <c r="C86" s="182" t="s">
        <v>364</v>
      </c>
      <c r="D86" s="183">
        <v>173604000</v>
      </c>
      <c r="E86" s="183">
        <v>173604000</v>
      </c>
      <c r="F86" s="183">
        <v>0</v>
      </c>
      <c r="G86" s="183">
        <v>0</v>
      </c>
      <c r="H86" s="184">
        <v>0</v>
      </c>
    </row>
    <row r="87" spans="1:8" ht="49.9" customHeight="1" outlineLevel="1" x14ac:dyDescent="0.25">
      <c r="A87" s="497"/>
      <c r="B87" s="482" t="s">
        <v>357</v>
      </c>
      <c r="C87" s="182" t="s">
        <v>362</v>
      </c>
      <c r="D87" s="183">
        <v>1180481000</v>
      </c>
      <c r="E87" s="183">
        <v>1180481000</v>
      </c>
      <c r="F87" s="183">
        <v>740287000</v>
      </c>
      <c r="G87" s="183">
        <v>740287000</v>
      </c>
      <c r="H87" s="184">
        <v>0</v>
      </c>
    </row>
    <row r="88" spans="1:8" ht="49.9" customHeight="1" outlineLevel="1" x14ac:dyDescent="0.25">
      <c r="A88" s="497"/>
      <c r="B88" s="482"/>
      <c r="C88" s="182" t="s">
        <v>364</v>
      </c>
      <c r="D88" s="183">
        <v>300000000</v>
      </c>
      <c r="E88" s="183">
        <v>300000000</v>
      </c>
      <c r="F88" s="183">
        <v>0</v>
      </c>
      <c r="G88" s="183">
        <v>0</v>
      </c>
      <c r="H88" s="184">
        <v>0</v>
      </c>
    </row>
    <row r="89" spans="1:8" ht="49.9" customHeight="1" outlineLevel="1" x14ac:dyDescent="0.25">
      <c r="A89" s="497"/>
      <c r="B89" s="177" t="s">
        <v>360</v>
      </c>
      <c r="C89" s="182" t="s">
        <v>362</v>
      </c>
      <c r="D89" s="183">
        <v>689070000</v>
      </c>
      <c r="E89" s="183">
        <v>689070000</v>
      </c>
      <c r="F89" s="183">
        <v>34584000</v>
      </c>
      <c r="G89" s="183">
        <v>34584000</v>
      </c>
      <c r="H89" s="184">
        <v>0</v>
      </c>
    </row>
    <row r="90" spans="1:8" ht="49.9" customHeight="1" outlineLevel="1" x14ac:dyDescent="0.25">
      <c r="A90" s="497"/>
      <c r="B90" s="482" t="s">
        <v>355</v>
      </c>
      <c r="C90" s="182" t="s">
        <v>363</v>
      </c>
      <c r="D90" s="183">
        <v>1277236000</v>
      </c>
      <c r="E90" s="184">
        <v>1277236000</v>
      </c>
      <c r="F90" s="184">
        <v>385283000</v>
      </c>
      <c r="G90" s="184">
        <v>385283000</v>
      </c>
      <c r="H90" s="184">
        <v>0</v>
      </c>
    </row>
    <row r="91" spans="1:8" ht="49.9" customHeight="1" outlineLevel="1" x14ac:dyDescent="0.25">
      <c r="A91" s="497"/>
      <c r="B91" s="482"/>
      <c r="C91" s="182" t="s">
        <v>364</v>
      </c>
      <c r="D91" s="183">
        <v>16912000</v>
      </c>
      <c r="E91" s="184">
        <v>16912000</v>
      </c>
      <c r="F91" s="184">
        <v>0</v>
      </c>
      <c r="G91" s="184">
        <v>0</v>
      </c>
      <c r="H91" s="184">
        <v>0</v>
      </c>
    </row>
    <row r="92" spans="1:8" ht="49.9" customHeight="1" outlineLevel="1" x14ac:dyDescent="0.25">
      <c r="A92" s="497"/>
      <c r="B92" s="177" t="s">
        <v>352</v>
      </c>
      <c r="C92" s="182" t="s">
        <v>362</v>
      </c>
      <c r="D92" s="183">
        <v>691670000</v>
      </c>
      <c r="E92" s="183">
        <v>691670000</v>
      </c>
      <c r="F92" s="184">
        <v>326043000</v>
      </c>
      <c r="G92" s="184">
        <v>326043000</v>
      </c>
      <c r="H92" s="184">
        <v>0</v>
      </c>
    </row>
    <row r="93" spans="1:8" ht="49.9" customHeight="1" outlineLevel="1" x14ac:dyDescent="0.25">
      <c r="A93" s="497" t="s">
        <v>137</v>
      </c>
      <c r="B93" s="177" t="s">
        <v>361</v>
      </c>
      <c r="C93" s="182" t="s">
        <v>362</v>
      </c>
      <c r="D93" s="183">
        <v>1564678000</v>
      </c>
      <c r="E93" s="184">
        <v>1564678000</v>
      </c>
      <c r="F93" s="184">
        <v>537224000</v>
      </c>
      <c r="G93" s="184">
        <v>537224000</v>
      </c>
      <c r="H93" s="184">
        <v>0</v>
      </c>
    </row>
    <row r="94" spans="1:8" ht="49.9" customHeight="1" outlineLevel="1" x14ac:dyDescent="0.25">
      <c r="A94" s="497"/>
      <c r="B94" s="177" t="s">
        <v>353</v>
      </c>
      <c r="C94" s="182" t="s">
        <v>362</v>
      </c>
      <c r="D94" s="184">
        <v>1374057000</v>
      </c>
      <c r="E94" s="184">
        <v>1374057000</v>
      </c>
      <c r="F94" s="184">
        <v>1121617000</v>
      </c>
      <c r="G94" s="184">
        <v>1121617000</v>
      </c>
      <c r="H94" s="184">
        <v>3498367</v>
      </c>
    </row>
    <row r="95" spans="1:8" ht="49.9" customHeight="1" outlineLevel="1" x14ac:dyDescent="0.25">
      <c r="A95" s="497"/>
      <c r="B95" s="482" t="s">
        <v>359</v>
      </c>
      <c r="C95" s="182" t="s">
        <v>362</v>
      </c>
      <c r="D95" s="183">
        <v>2007824000</v>
      </c>
      <c r="E95" s="183">
        <v>2007824000</v>
      </c>
      <c r="F95" s="183">
        <v>1198459150</v>
      </c>
      <c r="G95" s="183">
        <v>1198459150</v>
      </c>
      <c r="H95" s="183">
        <v>34478553</v>
      </c>
    </row>
    <row r="96" spans="1:8" ht="49.9" customHeight="1" outlineLevel="1" x14ac:dyDescent="0.25">
      <c r="A96" s="497"/>
      <c r="B96" s="482"/>
      <c r="C96" s="182" t="s">
        <v>363</v>
      </c>
      <c r="D96" s="183">
        <v>792348000</v>
      </c>
      <c r="E96" s="183">
        <v>792348000</v>
      </c>
      <c r="F96" s="183">
        <v>595485000</v>
      </c>
      <c r="G96" s="183">
        <v>595485000</v>
      </c>
      <c r="H96" s="183">
        <v>3931767</v>
      </c>
    </row>
    <row r="97" spans="1:8" ht="49.9" customHeight="1" outlineLevel="1" x14ac:dyDescent="0.25">
      <c r="A97" s="497"/>
      <c r="B97" s="482"/>
      <c r="C97" s="182" t="s">
        <v>364</v>
      </c>
      <c r="D97" s="183">
        <v>173604000</v>
      </c>
      <c r="E97" s="183">
        <v>173604000</v>
      </c>
      <c r="F97" s="183">
        <v>0</v>
      </c>
      <c r="G97" s="183">
        <v>0</v>
      </c>
      <c r="H97" s="183">
        <v>0</v>
      </c>
    </row>
    <row r="98" spans="1:8" ht="49.9" customHeight="1" outlineLevel="1" x14ac:dyDescent="0.25">
      <c r="A98" s="497"/>
      <c r="B98" s="482" t="s">
        <v>357</v>
      </c>
      <c r="C98" s="182" t="s">
        <v>362</v>
      </c>
      <c r="D98" s="183">
        <v>1180481000</v>
      </c>
      <c r="E98" s="183">
        <v>1180481000</v>
      </c>
      <c r="F98" s="183">
        <v>1001575000</v>
      </c>
      <c r="G98" s="183">
        <v>1001575000</v>
      </c>
      <c r="H98" s="183">
        <v>27208599</v>
      </c>
    </row>
    <row r="99" spans="1:8" ht="49.9" customHeight="1" outlineLevel="1" x14ac:dyDescent="0.25">
      <c r="A99" s="497"/>
      <c r="B99" s="482"/>
      <c r="C99" s="182" t="s">
        <v>364</v>
      </c>
      <c r="D99" s="183">
        <v>300000000</v>
      </c>
      <c r="E99" s="183">
        <v>300000000</v>
      </c>
      <c r="F99" s="183">
        <v>0</v>
      </c>
      <c r="G99" s="183">
        <v>0</v>
      </c>
      <c r="H99" s="183">
        <v>0</v>
      </c>
    </row>
    <row r="100" spans="1:8" ht="49.9" customHeight="1" outlineLevel="1" x14ac:dyDescent="0.25">
      <c r="A100" s="497"/>
      <c r="B100" s="177" t="s">
        <v>360</v>
      </c>
      <c r="C100" s="182" t="s">
        <v>362</v>
      </c>
      <c r="D100" s="183">
        <v>689070000</v>
      </c>
      <c r="E100" s="183">
        <v>689070000</v>
      </c>
      <c r="F100" s="183">
        <v>343006000</v>
      </c>
      <c r="G100" s="183">
        <v>343006000</v>
      </c>
      <c r="H100" s="183">
        <v>0</v>
      </c>
    </row>
    <row r="101" spans="1:8" ht="49.9" customHeight="1" outlineLevel="1" x14ac:dyDescent="0.25">
      <c r="A101" s="497"/>
      <c r="B101" s="482" t="s">
        <v>355</v>
      </c>
      <c r="C101" s="182" t="s">
        <v>363</v>
      </c>
      <c r="D101" s="183">
        <v>1277236000</v>
      </c>
      <c r="E101" s="184">
        <v>1277236000</v>
      </c>
      <c r="F101" s="184">
        <v>1137979000</v>
      </c>
      <c r="G101" s="184">
        <v>1137979000</v>
      </c>
      <c r="H101" s="184">
        <v>2672200</v>
      </c>
    </row>
    <row r="102" spans="1:8" ht="49.9" customHeight="1" outlineLevel="1" x14ac:dyDescent="0.25">
      <c r="A102" s="497"/>
      <c r="B102" s="482"/>
      <c r="C102" s="182" t="s">
        <v>364</v>
      </c>
      <c r="D102" s="183">
        <v>16912000</v>
      </c>
      <c r="E102" s="184">
        <v>16912000</v>
      </c>
      <c r="F102" s="184">
        <v>0</v>
      </c>
      <c r="G102" s="184">
        <v>0</v>
      </c>
      <c r="H102" s="184">
        <v>0</v>
      </c>
    </row>
    <row r="103" spans="1:8" ht="49.9" customHeight="1" outlineLevel="1" x14ac:dyDescent="0.25">
      <c r="A103" s="497"/>
      <c r="B103" s="177" t="s">
        <v>352</v>
      </c>
      <c r="C103" s="182" t="s">
        <v>362</v>
      </c>
      <c r="D103" s="183">
        <v>691670000</v>
      </c>
      <c r="E103" s="183">
        <v>691670000</v>
      </c>
      <c r="F103" s="184">
        <v>415638000</v>
      </c>
      <c r="G103" s="184">
        <v>415638000</v>
      </c>
      <c r="H103" s="184">
        <v>13025300</v>
      </c>
    </row>
    <row r="104" spans="1:8" ht="49.9" customHeight="1" outlineLevel="1" x14ac:dyDescent="0.25">
      <c r="A104" s="497" t="s">
        <v>138</v>
      </c>
      <c r="B104" s="177" t="s">
        <v>361</v>
      </c>
      <c r="C104" s="182" t="s">
        <v>362</v>
      </c>
      <c r="D104" s="183">
        <v>1564678000</v>
      </c>
      <c r="E104" s="184">
        <v>837335614</v>
      </c>
      <c r="F104" s="184">
        <v>664703857</v>
      </c>
      <c r="G104" s="184">
        <v>664703857</v>
      </c>
      <c r="H104" s="184">
        <v>41026232</v>
      </c>
    </row>
    <row r="105" spans="1:8" ht="49.9" customHeight="1" outlineLevel="1" x14ac:dyDescent="0.25">
      <c r="A105" s="497"/>
      <c r="B105" s="177" t="s">
        <v>353</v>
      </c>
      <c r="C105" s="182" t="s">
        <v>362</v>
      </c>
      <c r="D105" s="184">
        <v>1374057000</v>
      </c>
      <c r="E105" s="184">
        <v>1262994000</v>
      </c>
      <c r="F105" s="184">
        <v>1215729000</v>
      </c>
      <c r="G105" s="184">
        <v>1215729000</v>
      </c>
      <c r="H105" s="184">
        <v>92283634</v>
      </c>
    </row>
    <row r="106" spans="1:8" ht="49.9" customHeight="1" outlineLevel="1" x14ac:dyDescent="0.25">
      <c r="A106" s="497"/>
      <c r="B106" s="482" t="s">
        <v>359</v>
      </c>
      <c r="C106" s="182" t="s">
        <v>362</v>
      </c>
      <c r="D106" s="183">
        <v>2007824000</v>
      </c>
      <c r="E106" s="183">
        <v>1670091000</v>
      </c>
      <c r="F106" s="183">
        <v>1319795150</v>
      </c>
      <c r="G106" s="183">
        <v>1319795150</v>
      </c>
      <c r="H106" s="183">
        <v>76115753</v>
      </c>
    </row>
    <row r="107" spans="1:8" ht="49.9" customHeight="1" outlineLevel="1" x14ac:dyDescent="0.25">
      <c r="A107" s="497"/>
      <c r="B107" s="482"/>
      <c r="C107" s="182" t="s">
        <v>363</v>
      </c>
      <c r="D107" s="183">
        <v>792348000</v>
      </c>
      <c r="E107" s="183">
        <v>792348000</v>
      </c>
      <c r="F107" s="183">
        <v>622989000</v>
      </c>
      <c r="G107" s="183">
        <v>622989000</v>
      </c>
      <c r="H107" s="183">
        <v>45443400</v>
      </c>
    </row>
    <row r="108" spans="1:8" ht="49.9" customHeight="1" outlineLevel="1" x14ac:dyDescent="0.25">
      <c r="A108" s="497"/>
      <c r="B108" s="482"/>
      <c r="C108" s="182" t="s">
        <v>364</v>
      </c>
      <c r="D108" s="183">
        <v>173604000</v>
      </c>
      <c r="E108" s="183">
        <v>173604000</v>
      </c>
      <c r="F108" s="183">
        <v>0</v>
      </c>
      <c r="G108" s="183">
        <v>0</v>
      </c>
      <c r="H108" s="183">
        <v>0</v>
      </c>
    </row>
    <row r="109" spans="1:8" ht="49.9" customHeight="1" outlineLevel="1" x14ac:dyDescent="0.25">
      <c r="A109" s="497"/>
      <c r="B109" s="482" t="s">
        <v>357</v>
      </c>
      <c r="C109" s="182" t="s">
        <v>362</v>
      </c>
      <c r="D109" s="183">
        <v>1180481000</v>
      </c>
      <c r="E109" s="183">
        <v>1153575000</v>
      </c>
      <c r="F109" s="183">
        <v>1001575000</v>
      </c>
      <c r="G109" s="183">
        <v>1001575000</v>
      </c>
      <c r="H109" s="183">
        <v>129841932</v>
      </c>
    </row>
    <row r="110" spans="1:8" ht="49.9" customHeight="1" outlineLevel="1" x14ac:dyDescent="0.25">
      <c r="A110" s="497"/>
      <c r="B110" s="482"/>
      <c r="C110" s="182" t="s">
        <v>364</v>
      </c>
      <c r="D110" s="183">
        <v>300000000</v>
      </c>
      <c r="E110" s="183">
        <v>300000000</v>
      </c>
      <c r="F110" s="183">
        <v>0</v>
      </c>
      <c r="G110" s="183">
        <v>0</v>
      </c>
      <c r="H110" s="183">
        <v>0</v>
      </c>
    </row>
    <row r="111" spans="1:8" ht="49.9" customHeight="1" outlineLevel="1" x14ac:dyDescent="0.25">
      <c r="A111" s="497"/>
      <c r="B111" s="177" t="s">
        <v>360</v>
      </c>
      <c r="C111" s="182" t="s">
        <v>362</v>
      </c>
      <c r="D111" s="183">
        <v>689070000</v>
      </c>
      <c r="E111" s="183">
        <v>483246000</v>
      </c>
      <c r="F111" s="183">
        <v>344744634</v>
      </c>
      <c r="G111" s="183">
        <v>344744634</v>
      </c>
      <c r="H111" s="183">
        <v>29463567</v>
      </c>
    </row>
    <row r="112" spans="1:8" ht="49.9" customHeight="1" outlineLevel="1" x14ac:dyDescent="0.25">
      <c r="A112" s="497"/>
      <c r="B112" s="482" t="s">
        <v>355</v>
      </c>
      <c r="C112" s="182" t="s">
        <v>363</v>
      </c>
      <c r="D112" s="183">
        <v>1277236000</v>
      </c>
      <c r="E112" s="184">
        <v>1277236000</v>
      </c>
      <c r="F112" s="184">
        <v>1137979000</v>
      </c>
      <c r="G112" s="184">
        <v>1137979000</v>
      </c>
      <c r="H112" s="184">
        <v>52827934</v>
      </c>
    </row>
    <row r="113" spans="1:8" ht="49.9" customHeight="1" outlineLevel="1" x14ac:dyDescent="0.25">
      <c r="A113" s="497"/>
      <c r="B113" s="482"/>
      <c r="C113" s="182" t="s">
        <v>364</v>
      </c>
      <c r="D113" s="183">
        <v>16912000</v>
      </c>
      <c r="E113" s="184">
        <v>16912000</v>
      </c>
      <c r="F113" s="184">
        <v>0</v>
      </c>
      <c r="G113" s="184">
        <v>0</v>
      </c>
      <c r="H113" s="184">
        <v>0</v>
      </c>
    </row>
    <row r="114" spans="1:8" ht="49.9" customHeight="1" outlineLevel="1" x14ac:dyDescent="0.25">
      <c r="A114" s="497"/>
      <c r="B114" s="177" t="s">
        <v>352</v>
      </c>
      <c r="C114" s="182" t="s">
        <v>362</v>
      </c>
      <c r="D114" s="183">
        <v>691670000</v>
      </c>
      <c r="E114" s="183">
        <v>528678000</v>
      </c>
      <c r="F114" s="184">
        <v>516118000</v>
      </c>
      <c r="G114" s="184">
        <v>516118000</v>
      </c>
      <c r="H114" s="184">
        <v>54300600</v>
      </c>
    </row>
    <row r="115" spans="1:8" ht="49.9" customHeight="1" outlineLevel="1" x14ac:dyDescent="0.25">
      <c r="A115" s="479" t="s">
        <v>139</v>
      </c>
      <c r="B115" s="177" t="s">
        <v>361</v>
      </c>
      <c r="C115" s="182" t="s">
        <v>362</v>
      </c>
      <c r="D115" s="201">
        <v>1564678000</v>
      </c>
      <c r="E115" s="202">
        <v>871335614</v>
      </c>
      <c r="F115" s="202">
        <v>664703857</v>
      </c>
      <c r="G115" s="202">
        <v>664703857</v>
      </c>
      <c r="H115" s="202">
        <v>118345946</v>
      </c>
    </row>
    <row r="116" spans="1:8" ht="49.9" customHeight="1" outlineLevel="1" x14ac:dyDescent="0.25">
      <c r="A116" s="480"/>
      <c r="B116" s="177" t="s">
        <v>353</v>
      </c>
      <c r="C116" s="182" t="s">
        <v>362</v>
      </c>
      <c r="D116" s="202">
        <v>1374057000</v>
      </c>
      <c r="E116" s="202">
        <v>1262994000</v>
      </c>
      <c r="F116" s="202">
        <v>1215729000</v>
      </c>
      <c r="G116" s="202">
        <v>1215729000</v>
      </c>
      <c r="H116" s="202">
        <v>211528368</v>
      </c>
    </row>
    <row r="117" spans="1:8" ht="49.9" customHeight="1" outlineLevel="1" x14ac:dyDescent="0.25">
      <c r="A117" s="480"/>
      <c r="B117" s="482" t="s">
        <v>359</v>
      </c>
      <c r="C117" s="182" t="s">
        <v>362</v>
      </c>
      <c r="D117" s="201">
        <v>2007824000</v>
      </c>
      <c r="E117" s="201">
        <v>1636091000</v>
      </c>
      <c r="F117" s="201">
        <v>1319795150</v>
      </c>
      <c r="G117" s="201">
        <v>1319795150</v>
      </c>
      <c r="H117" s="201">
        <v>267779765</v>
      </c>
    </row>
    <row r="118" spans="1:8" ht="49.9" customHeight="1" outlineLevel="1" x14ac:dyDescent="0.25">
      <c r="A118" s="480"/>
      <c r="B118" s="482"/>
      <c r="C118" s="182" t="s">
        <v>363</v>
      </c>
      <c r="D118" s="201">
        <v>792348000</v>
      </c>
      <c r="E118" s="201">
        <v>792348000</v>
      </c>
      <c r="F118" s="201">
        <v>622989000</v>
      </c>
      <c r="G118" s="201">
        <v>622989000</v>
      </c>
      <c r="H118" s="201">
        <v>107635600</v>
      </c>
    </row>
    <row r="119" spans="1:8" ht="49.9" customHeight="1" outlineLevel="1" x14ac:dyDescent="0.25">
      <c r="A119" s="480"/>
      <c r="B119" s="482"/>
      <c r="C119" s="182" t="s">
        <v>364</v>
      </c>
      <c r="D119" s="201">
        <v>173604000</v>
      </c>
      <c r="E119" s="201">
        <v>173604000</v>
      </c>
      <c r="F119" s="201">
        <v>0</v>
      </c>
      <c r="G119" s="201">
        <v>0</v>
      </c>
      <c r="H119" s="201">
        <v>0</v>
      </c>
    </row>
    <row r="120" spans="1:8" ht="49.9" customHeight="1" outlineLevel="1" x14ac:dyDescent="0.25">
      <c r="A120" s="480"/>
      <c r="B120" s="482" t="s">
        <v>357</v>
      </c>
      <c r="C120" s="182" t="s">
        <v>362</v>
      </c>
      <c r="D120" s="201">
        <v>1180481000</v>
      </c>
      <c r="E120" s="201">
        <v>1153575000</v>
      </c>
      <c r="F120" s="201">
        <v>1001575000</v>
      </c>
      <c r="G120" s="201">
        <v>1001575000</v>
      </c>
      <c r="H120" s="201">
        <v>243619999</v>
      </c>
    </row>
    <row r="121" spans="1:8" ht="49.9" customHeight="1" outlineLevel="1" x14ac:dyDescent="0.25">
      <c r="A121" s="480"/>
      <c r="B121" s="482"/>
      <c r="C121" s="182" t="s">
        <v>364</v>
      </c>
      <c r="D121" s="201">
        <v>300000000</v>
      </c>
      <c r="E121" s="201">
        <v>300000000</v>
      </c>
      <c r="F121" s="201">
        <v>0</v>
      </c>
      <c r="G121" s="201">
        <v>0</v>
      </c>
      <c r="H121" s="201">
        <v>0</v>
      </c>
    </row>
    <row r="122" spans="1:8" ht="49.9" customHeight="1" outlineLevel="1" x14ac:dyDescent="0.25">
      <c r="A122" s="480"/>
      <c r="B122" s="177" t="s">
        <v>360</v>
      </c>
      <c r="C122" s="182" t="s">
        <v>362</v>
      </c>
      <c r="D122" s="201">
        <v>689070000</v>
      </c>
      <c r="E122" s="201">
        <v>483246000</v>
      </c>
      <c r="F122" s="201">
        <v>358986578</v>
      </c>
      <c r="G122" s="201">
        <v>358986578</v>
      </c>
      <c r="H122" s="201">
        <v>71775801</v>
      </c>
    </row>
    <row r="123" spans="1:8" ht="49.9" customHeight="1" outlineLevel="1" x14ac:dyDescent="0.25">
      <c r="A123" s="480"/>
      <c r="B123" s="482" t="s">
        <v>355</v>
      </c>
      <c r="C123" s="182" t="s">
        <v>363</v>
      </c>
      <c r="D123" s="201">
        <v>1277236000</v>
      </c>
      <c r="E123" s="202">
        <v>1277236000</v>
      </c>
      <c r="F123" s="202">
        <v>1162045000</v>
      </c>
      <c r="G123" s="202">
        <v>1162045000</v>
      </c>
      <c r="H123" s="202">
        <v>164897501</v>
      </c>
    </row>
    <row r="124" spans="1:8" ht="49.9" customHeight="1" outlineLevel="1" x14ac:dyDescent="0.25">
      <c r="A124" s="480"/>
      <c r="B124" s="482"/>
      <c r="C124" s="182" t="s">
        <v>364</v>
      </c>
      <c r="D124" s="201">
        <v>16912000</v>
      </c>
      <c r="E124" s="202">
        <v>16912000</v>
      </c>
      <c r="F124" s="202">
        <v>0</v>
      </c>
      <c r="G124" s="202">
        <v>0</v>
      </c>
      <c r="H124" s="202">
        <v>0</v>
      </c>
    </row>
    <row r="125" spans="1:8" ht="49.9" customHeight="1" outlineLevel="1" x14ac:dyDescent="0.25">
      <c r="A125" s="481"/>
      <c r="B125" s="177" t="s">
        <v>352</v>
      </c>
      <c r="C125" s="182" t="s">
        <v>362</v>
      </c>
      <c r="D125" s="201">
        <v>691670000</v>
      </c>
      <c r="E125" s="201">
        <v>528678000</v>
      </c>
      <c r="F125" s="202">
        <v>516118000</v>
      </c>
      <c r="G125" s="202">
        <v>516118000</v>
      </c>
      <c r="H125" s="202">
        <v>104126700</v>
      </c>
    </row>
    <row r="126" spans="1:8" ht="49.9" customHeight="1" outlineLevel="1" x14ac:dyDescent="0.25">
      <c r="A126" s="479" t="s">
        <v>140</v>
      </c>
      <c r="B126" s="177" t="s">
        <v>361</v>
      </c>
      <c r="C126" s="182" t="s">
        <v>362</v>
      </c>
      <c r="D126" s="201">
        <v>1564678000</v>
      </c>
      <c r="E126" s="202">
        <v>871335614</v>
      </c>
      <c r="F126" s="202">
        <v>871181753</v>
      </c>
      <c r="G126" s="202">
        <v>871181753</v>
      </c>
      <c r="H126" s="202">
        <v>208815171</v>
      </c>
    </row>
    <row r="127" spans="1:8" ht="49.9" customHeight="1" outlineLevel="1" x14ac:dyDescent="0.25">
      <c r="A127" s="480"/>
      <c r="B127" s="177" t="s">
        <v>353</v>
      </c>
      <c r="C127" s="182" t="s">
        <v>362</v>
      </c>
      <c r="D127" s="202">
        <v>1374057000</v>
      </c>
      <c r="E127" s="202">
        <v>1262994000</v>
      </c>
      <c r="F127" s="202">
        <v>1215729000</v>
      </c>
      <c r="G127" s="202">
        <v>1215729000</v>
      </c>
      <c r="H127" s="202">
        <v>386596068</v>
      </c>
    </row>
    <row r="128" spans="1:8" ht="49.9" customHeight="1" outlineLevel="1" x14ac:dyDescent="0.25">
      <c r="A128" s="480"/>
      <c r="B128" s="482" t="s">
        <v>359</v>
      </c>
      <c r="C128" s="182" t="s">
        <v>362</v>
      </c>
      <c r="D128" s="201">
        <v>2007824000</v>
      </c>
      <c r="E128" s="201">
        <v>1636091000</v>
      </c>
      <c r="F128" s="202">
        <v>1569526714</v>
      </c>
      <c r="G128" s="202">
        <v>1569526714</v>
      </c>
      <c r="H128" s="202">
        <v>483936563</v>
      </c>
    </row>
    <row r="129" spans="1:8" ht="49.9" customHeight="1" outlineLevel="1" x14ac:dyDescent="0.25">
      <c r="A129" s="480"/>
      <c r="B129" s="482"/>
      <c r="C129" s="182" t="s">
        <v>363</v>
      </c>
      <c r="D129" s="201">
        <v>792348000</v>
      </c>
      <c r="E129" s="201">
        <v>792348000</v>
      </c>
      <c r="F129" s="202">
        <v>622989000</v>
      </c>
      <c r="G129" s="202">
        <v>622989000</v>
      </c>
      <c r="H129" s="202">
        <v>189768200</v>
      </c>
    </row>
    <row r="130" spans="1:8" ht="49.9" customHeight="1" outlineLevel="1" x14ac:dyDescent="0.25">
      <c r="A130" s="480"/>
      <c r="B130" s="482"/>
      <c r="C130" s="182" t="s">
        <v>364</v>
      </c>
      <c r="D130" s="201">
        <v>173604000</v>
      </c>
      <c r="E130" s="201">
        <v>173604000</v>
      </c>
      <c r="F130" s="202">
        <v>0</v>
      </c>
      <c r="G130" s="202">
        <v>0</v>
      </c>
      <c r="H130" s="202">
        <v>0</v>
      </c>
    </row>
    <row r="131" spans="1:8" ht="49.9" customHeight="1" outlineLevel="1" x14ac:dyDescent="0.25">
      <c r="A131" s="480"/>
      <c r="B131" s="482" t="s">
        <v>357</v>
      </c>
      <c r="C131" s="182" t="s">
        <v>362</v>
      </c>
      <c r="D131" s="201">
        <v>1180481000</v>
      </c>
      <c r="E131" s="201">
        <v>1153575000</v>
      </c>
      <c r="F131" s="202">
        <v>1151575000</v>
      </c>
      <c r="G131" s="202">
        <v>1151575000</v>
      </c>
      <c r="H131" s="202">
        <v>358671999</v>
      </c>
    </row>
    <row r="132" spans="1:8" ht="49.9" customHeight="1" outlineLevel="1" x14ac:dyDescent="0.25">
      <c r="A132" s="480"/>
      <c r="B132" s="482"/>
      <c r="C132" s="182" t="s">
        <v>364</v>
      </c>
      <c r="D132" s="201">
        <v>300000000</v>
      </c>
      <c r="E132" s="201">
        <v>300000000</v>
      </c>
      <c r="F132" s="202">
        <v>0</v>
      </c>
      <c r="G132" s="202">
        <v>0</v>
      </c>
      <c r="H132" s="202">
        <v>0</v>
      </c>
    </row>
    <row r="133" spans="1:8" ht="49.9" customHeight="1" outlineLevel="1" x14ac:dyDescent="0.25">
      <c r="A133" s="480"/>
      <c r="B133" s="177" t="s">
        <v>360</v>
      </c>
      <c r="C133" s="182" t="s">
        <v>362</v>
      </c>
      <c r="D133" s="201">
        <v>689070000</v>
      </c>
      <c r="E133" s="201">
        <v>483246000</v>
      </c>
      <c r="F133" s="202">
        <v>455766292</v>
      </c>
      <c r="G133" s="202">
        <v>455766292</v>
      </c>
      <c r="H133" s="202">
        <v>122385759</v>
      </c>
    </row>
    <row r="134" spans="1:8" ht="49.9" customHeight="1" outlineLevel="1" x14ac:dyDescent="0.25">
      <c r="A134" s="480"/>
      <c r="B134" s="482" t="s">
        <v>355</v>
      </c>
      <c r="C134" s="182" t="s">
        <v>363</v>
      </c>
      <c r="D134" s="201">
        <v>1277236000</v>
      </c>
      <c r="E134" s="202">
        <v>1277236000</v>
      </c>
      <c r="F134" s="202">
        <v>1162045000</v>
      </c>
      <c r="G134" s="202">
        <v>1162045000</v>
      </c>
      <c r="H134" s="202">
        <v>318285901</v>
      </c>
    </row>
    <row r="135" spans="1:8" ht="49.9" customHeight="1" outlineLevel="1" x14ac:dyDescent="0.25">
      <c r="A135" s="480"/>
      <c r="B135" s="482"/>
      <c r="C135" s="182" t="s">
        <v>364</v>
      </c>
      <c r="D135" s="201">
        <v>16912000</v>
      </c>
      <c r="E135" s="202">
        <v>16912000</v>
      </c>
      <c r="F135" s="202">
        <v>0</v>
      </c>
      <c r="G135" s="202">
        <v>0</v>
      </c>
      <c r="H135" s="202">
        <v>0</v>
      </c>
    </row>
    <row r="136" spans="1:8" ht="49.9" customHeight="1" outlineLevel="1" x14ac:dyDescent="0.25">
      <c r="A136" s="481"/>
      <c r="B136" s="177" t="s">
        <v>352</v>
      </c>
      <c r="C136" s="182" t="s">
        <v>362</v>
      </c>
      <c r="D136" s="201">
        <v>691670000</v>
      </c>
      <c r="E136" s="201">
        <v>528678000</v>
      </c>
      <c r="F136" s="202">
        <v>516118000</v>
      </c>
      <c r="G136" s="202">
        <v>516118000</v>
      </c>
      <c r="H136" s="202">
        <v>163380167</v>
      </c>
    </row>
    <row r="137" spans="1:8" ht="49.9" customHeight="1" outlineLevel="1" x14ac:dyDescent="0.25">
      <c r="A137" s="479" t="s">
        <v>128</v>
      </c>
      <c r="B137" s="205" t="s">
        <v>361</v>
      </c>
      <c r="C137" s="182" t="s">
        <v>362</v>
      </c>
      <c r="D137" s="201">
        <v>1564678000</v>
      </c>
      <c r="E137" s="202">
        <v>871335614</v>
      </c>
      <c r="F137" s="202">
        <v>871181753</v>
      </c>
      <c r="G137" s="202">
        <v>871181753</v>
      </c>
      <c r="H137" s="202">
        <v>283862781</v>
      </c>
    </row>
    <row r="138" spans="1:8" ht="49.9" customHeight="1" outlineLevel="1" x14ac:dyDescent="0.25">
      <c r="A138" s="480"/>
      <c r="B138" s="205" t="s">
        <v>353</v>
      </c>
      <c r="C138" s="182" t="s">
        <v>362</v>
      </c>
      <c r="D138" s="202">
        <v>1374057000</v>
      </c>
      <c r="E138" s="202">
        <v>1262994000</v>
      </c>
      <c r="F138" s="202">
        <v>1215729000</v>
      </c>
      <c r="G138" s="202">
        <v>1240619000</v>
      </c>
      <c r="H138" s="202">
        <v>533879068</v>
      </c>
    </row>
    <row r="139" spans="1:8" ht="49.9" customHeight="1" outlineLevel="1" x14ac:dyDescent="0.25">
      <c r="A139" s="480"/>
      <c r="B139" s="482" t="s">
        <v>359</v>
      </c>
      <c r="C139" s="182" t="s">
        <v>362</v>
      </c>
      <c r="D139" s="201">
        <v>2007824000</v>
      </c>
      <c r="E139" s="201">
        <v>1636091000</v>
      </c>
      <c r="F139" s="202">
        <v>1569526714</v>
      </c>
      <c r="G139" s="202">
        <v>1569526714</v>
      </c>
      <c r="H139" s="202">
        <v>619554113</v>
      </c>
    </row>
    <row r="140" spans="1:8" ht="49.9" customHeight="1" outlineLevel="1" x14ac:dyDescent="0.25">
      <c r="A140" s="480"/>
      <c r="B140" s="482"/>
      <c r="C140" s="182" t="s">
        <v>363</v>
      </c>
      <c r="D140" s="201">
        <v>792348000</v>
      </c>
      <c r="E140" s="201">
        <v>792348000</v>
      </c>
      <c r="F140" s="202">
        <v>622989000</v>
      </c>
      <c r="G140" s="202">
        <v>622989000</v>
      </c>
      <c r="H140" s="202">
        <v>262045200</v>
      </c>
    </row>
    <row r="141" spans="1:8" ht="49.9" customHeight="1" outlineLevel="1" x14ac:dyDescent="0.25">
      <c r="A141" s="480"/>
      <c r="B141" s="482"/>
      <c r="C141" s="182" t="s">
        <v>364</v>
      </c>
      <c r="D141" s="201">
        <v>173604000</v>
      </c>
      <c r="E141" s="201">
        <v>173604000</v>
      </c>
      <c r="F141" s="202">
        <v>0</v>
      </c>
      <c r="G141" s="202">
        <v>0</v>
      </c>
      <c r="H141" s="202">
        <v>0</v>
      </c>
    </row>
    <row r="142" spans="1:8" ht="49.9" customHeight="1" outlineLevel="1" x14ac:dyDescent="0.25">
      <c r="A142" s="480"/>
      <c r="B142" s="482" t="s">
        <v>357</v>
      </c>
      <c r="C142" s="182" t="s">
        <v>362</v>
      </c>
      <c r="D142" s="201">
        <v>1180481000</v>
      </c>
      <c r="E142" s="201">
        <v>1153575000</v>
      </c>
      <c r="F142" s="202">
        <v>1151575000</v>
      </c>
      <c r="G142" s="202">
        <v>1151575000</v>
      </c>
      <c r="H142" s="202">
        <v>470285999</v>
      </c>
    </row>
    <row r="143" spans="1:8" ht="49.9" customHeight="1" outlineLevel="1" x14ac:dyDescent="0.25">
      <c r="A143" s="480"/>
      <c r="B143" s="482"/>
      <c r="C143" s="182" t="s">
        <v>364</v>
      </c>
      <c r="D143" s="201">
        <v>300000000</v>
      </c>
      <c r="E143" s="201">
        <v>300000000</v>
      </c>
      <c r="F143" s="202">
        <v>0</v>
      </c>
      <c r="G143" s="202">
        <v>0</v>
      </c>
      <c r="H143" s="202">
        <v>0</v>
      </c>
    </row>
    <row r="144" spans="1:8" ht="49.9" customHeight="1" outlineLevel="1" x14ac:dyDescent="0.25">
      <c r="A144" s="480"/>
      <c r="B144" s="205" t="s">
        <v>360</v>
      </c>
      <c r="C144" s="182" t="s">
        <v>362</v>
      </c>
      <c r="D144" s="201">
        <v>689070000</v>
      </c>
      <c r="E144" s="201">
        <v>483246000</v>
      </c>
      <c r="F144" s="202">
        <v>455766292</v>
      </c>
      <c r="G144" s="202">
        <v>455766292</v>
      </c>
      <c r="H144" s="202">
        <v>175150260</v>
      </c>
    </row>
    <row r="145" spans="1:8" ht="49.9" customHeight="1" outlineLevel="1" x14ac:dyDescent="0.25">
      <c r="A145" s="480"/>
      <c r="B145" s="482" t="s">
        <v>355</v>
      </c>
      <c r="C145" s="182" t="s">
        <v>363</v>
      </c>
      <c r="D145" s="201">
        <v>1277236000</v>
      </c>
      <c r="E145" s="202">
        <v>1277236000</v>
      </c>
      <c r="F145" s="202">
        <v>1162045000</v>
      </c>
      <c r="G145" s="202">
        <v>1162045000</v>
      </c>
      <c r="H145" s="202">
        <v>452002301</v>
      </c>
    </row>
    <row r="146" spans="1:8" ht="49.9" customHeight="1" outlineLevel="1" x14ac:dyDescent="0.25">
      <c r="A146" s="480"/>
      <c r="B146" s="482"/>
      <c r="C146" s="182" t="s">
        <v>364</v>
      </c>
      <c r="D146" s="201">
        <v>16912000</v>
      </c>
      <c r="E146" s="202">
        <v>16912000</v>
      </c>
      <c r="F146" s="202">
        <v>0</v>
      </c>
      <c r="G146" s="202">
        <v>0</v>
      </c>
      <c r="H146" s="202">
        <v>0</v>
      </c>
    </row>
    <row r="147" spans="1:8" ht="49.9" customHeight="1" outlineLevel="1" x14ac:dyDescent="0.25">
      <c r="A147" s="481"/>
      <c r="B147" s="205" t="s">
        <v>352</v>
      </c>
      <c r="C147" s="182" t="s">
        <v>362</v>
      </c>
      <c r="D147" s="201">
        <v>691670000</v>
      </c>
      <c r="E147" s="201">
        <v>528678000</v>
      </c>
      <c r="F147" s="202">
        <v>516118000</v>
      </c>
      <c r="G147" s="202">
        <v>516118000</v>
      </c>
      <c r="H147" s="202">
        <v>222122167</v>
      </c>
    </row>
    <row r="148" spans="1:8" ht="51" customHeight="1" outlineLevel="1" x14ac:dyDescent="0.25">
      <c r="A148" s="479" t="s">
        <v>129</v>
      </c>
      <c r="B148" s="229" t="s">
        <v>361</v>
      </c>
      <c r="C148" s="182" t="s">
        <v>362</v>
      </c>
      <c r="D148" s="201">
        <v>1564678000</v>
      </c>
      <c r="E148" s="202">
        <v>1598678000</v>
      </c>
      <c r="F148" s="202">
        <v>871181753</v>
      </c>
      <c r="G148" s="202">
        <v>871181753</v>
      </c>
      <c r="H148" s="202">
        <v>437562435</v>
      </c>
    </row>
    <row r="149" spans="1:8" ht="51" customHeight="1" outlineLevel="1" x14ac:dyDescent="0.25">
      <c r="A149" s="480"/>
      <c r="B149" s="229" t="s">
        <v>353</v>
      </c>
      <c r="C149" s="182" t="s">
        <v>362</v>
      </c>
      <c r="D149" s="202">
        <v>1374057000</v>
      </c>
      <c r="E149" s="202">
        <v>1374057000</v>
      </c>
      <c r="F149" s="202">
        <v>1240619000</v>
      </c>
      <c r="G149" s="202">
        <v>1240619000</v>
      </c>
      <c r="H149" s="202">
        <v>676839068</v>
      </c>
    </row>
    <row r="150" spans="1:8" ht="51" customHeight="1" outlineLevel="1" x14ac:dyDescent="0.25">
      <c r="A150" s="480"/>
      <c r="B150" s="482" t="s">
        <v>359</v>
      </c>
      <c r="C150" s="182" t="s">
        <v>362</v>
      </c>
      <c r="D150" s="201">
        <v>2007824000</v>
      </c>
      <c r="E150" s="201">
        <v>1948824000</v>
      </c>
      <c r="F150" s="202">
        <v>1569526714</v>
      </c>
      <c r="G150" s="202">
        <v>1569526714</v>
      </c>
      <c r="H150" s="202">
        <v>753836463</v>
      </c>
    </row>
    <row r="151" spans="1:8" ht="51" customHeight="1" outlineLevel="1" x14ac:dyDescent="0.25">
      <c r="A151" s="480"/>
      <c r="B151" s="482"/>
      <c r="C151" s="182" t="s">
        <v>363</v>
      </c>
      <c r="D151" s="201">
        <v>792348000</v>
      </c>
      <c r="E151" s="201">
        <v>792348000</v>
      </c>
      <c r="F151" s="202">
        <v>622989000</v>
      </c>
      <c r="G151" s="202">
        <v>622989000</v>
      </c>
      <c r="H151" s="202">
        <v>334322200</v>
      </c>
    </row>
    <row r="152" spans="1:8" ht="51" customHeight="1" outlineLevel="1" x14ac:dyDescent="0.25">
      <c r="A152" s="480"/>
      <c r="B152" s="482"/>
      <c r="C152" s="182" t="s">
        <v>364</v>
      </c>
      <c r="D152" s="201">
        <v>173604000</v>
      </c>
      <c r="E152" s="201">
        <v>173604000</v>
      </c>
      <c r="F152" s="202">
        <v>0</v>
      </c>
      <c r="G152" s="202">
        <v>0</v>
      </c>
      <c r="H152" s="202">
        <v>0</v>
      </c>
    </row>
    <row r="153" spans="1:8" ht="51" customHeight="1" outlineLevel="1" x14ac:dyDescent="0.25">
      <c r="A153" s="480"/>
      <c r="B153" s="482" t="s">
        <v>357</v>
      </c>
      <c r="C153" s="182" t="s">
        <v>362</v>
      </c>
      <c r="D153" s="201">
        <v>1180481000</v>
      </c>
      <c r="E153" s="201">
        <v>1180481000</v>
      </c>
      <c r="F153" s="202">
        <v>1151575000</v>
      </c>
      <c r="G153" s="202">
        <v>1151575000</v>
      </c>
      <c r="H153" s="202">
        <v>581899999</v>
      </c>
    </row>
    <row r="154" spans="1:8" ht="51" customHeight="1" outlineLevel="1" x14ac:dyDescent="0.25">
      <c r="A154" s="480"/>
      <c r="B154" s="482"/>
      <c r="C154" s="182" t="s">
        <v>364</v>
      </c>
      <c r="D154" s="201">
        <v>300000000</v>
      </c>
      <c r="E154" s="201">
        <v>300000000</v>
      </c>
      <c r="F154" s="202">
        <v>0</v>
      </c>
      <c r="G154" s="202">
        <v>0</v>
      </c>
      <c r="H154" s="202">
        <v>0</v>
      </c>
    </row>
    <row r="155" spans="1:8" ht="51" customHeight="1" outlineLevel="1" x14ac:dyDescent="0.25">
      <c r="A155" s="480"/>
      <c r="B155" s="229" t="s">
        <v>360</v>
      </c>
      <c r="C155" s="182" t="s">
        <v>362</v>
      </c>
      <c r="D155" s="201">
        <v>689070000</v>
      </c>
      <c r="E155" s="201">
        <v>714070000</v>
      </c>
      <c r="F155" s="202">
        <v>492530292</v>
      </c>
      <c r="G155" s="202">
        <v>492530292</v>
      </c>
      <c r="H155" s="202">
        <v>214552860</v>
      </c>
    </row>
    <row r="156" spans="1:8" ht="51" customHeight="1" outlineLevel="1" x14ac:dyDescent="0.25">
      <c r="A156" s="480"/>
      <c r="B156" s="482" t="s">
        <v>355</v>
      </c>
      <c r="C156" s="182" t="s">
        <v>363</v>
      </c>
      <c r="D156" s="201">
        <v>1277236000</v>
      </c>
      <c r="E156" s="202">
        <v>1277236000</v>
      </c>
      <c r="F156" s="202">
        <v>1162045000</v>
      </c>
      <c r="G156" s="202">
        <v>1162045000</v>
      </c>
      <c r="H156" s="202">
        <v>586299268</v>
      </c>
    </row>
    <row r="157" spans="1:8" ht="51" customHeight="1" outlineLevel="1" x14ac:dyDescent="0.25">
      <c r="A157" s="480"/>
      <c r="B157" s="482"/>
      <c r="C157" s="182" t="s">
        <v>364</v>
      </c>
      <c r="D157" s="201">
        <v>16912000</v>
      </c>
      <c r="E157" s="202">
        <v>16912000</v>
      </c>
      <c r="F157" s="202">
        <v>0</v>
      </c>
      <c r="G157" s="202">
        <v>0</v>
      </c>
      <c r="H157" s="202">
        <v>0</v>
      </c>
    </row>
    <row r="158" spans="1:8" ht="51" customHeight="1" outlineLevel="1" x14ac:dyDescent="0.25">
      <c r="A158" s="481"/>
      <c r="B158" s="229" t="s">
        <v>352</v>
      </c>
      <c r="C158" s="182" t="s">
        <v>362</v>
      </c>
      <c r="D158" s="201">
        <v>691670000</v>
      </c>
      <c r="E158" s="201">
        <v>691670000</v>
      </c>
      <c r="F158" s="202">
        <v>516118000</v>
      </c>
      <c r="G158" s="202">
        <v>516118000</v>
      </c>
      <c r="H158" s="202">
        <v>280864167</v>
      </c>
    </row>
    <row r="159" spans="1:8" ht="49.9" customHeight="1" outlineLevel="1" x14ac:dyDescent="0.25">
      <c r="A159" s="479" t="s">
        <v>130</v>
      </c>
      <c r="B159" s="232" t="s">
        <v>361</v>
      </c>
      <c r="C159" s="182" t="s">
        <v>362</v>
      </c>
      <c r="D159" s="201">
        <v>1564678000</v>
      </c>
      <c r="E159" s="202">
        <v>1534521300</v>
      </c>
      <c r="F159" s="202">
        <v>898822087</v>
      </c>
      <c r="G159" s="202">
        <v>898822087</v>
      </c>
      <c r="H159" s="202">
        <v>529153691</v>
      </c>
    </row>
    <row r="160" spans="1:8" ht="49.9" customHeight="1" outlineLevel="1" x14ac:dyDescent="0.25">
      <c r="A160" s="480"/>
      <c r="B160" s="232" t="s">
        <v>353</v>
      </c>
      <c r="C160" s="182" t="s">
        <v>362</v>
      </c>
      <c r="D160" s="202">
        <v>1374057000</v>
      </c>
      <c r="E160" s="202">
        <v>1389997314</v>
      </c>
      <c r="F160" s="202">
        <v>1256382667</v>
      </c>
      <c r="G160" s="202">
        <v>1256382667</v>
      </c>
      <c r="H160" s="202">
        <v>826270468</v>
      </c>
    </row>
    <row r="161" spans="1:8" ht="49.9" customHeight="1" outlineLevel="1" x14ac:dyDescent="0.25">
      <c r="A161" s="480"/>
      <c r="B161" s="482" t="s">
        <v>359</v>
      </c>
      <c r="C161" s="182" t="s">
        <v>362</v>
      </c>
      <c r="D161" s="201">
        <v>2007824000</v>
      </c>
      <c r="E161" s="201">
        <v>1964948316</v>
      </c>
      <c r="F161" s="202">
        <v>1574880714</v>
      </c>
      <c r="G161" s="202">
        <v>1574880714</v>
      </c>
      <c r="H161" s="202">
        <v>928120702</v>
      </c>
    </row>
    <row r="162" spans="1:8" ht="49.9" customHeight="1" outlineLevel="1" x14ac:dyDescent="0.25">
      <c r="A162" s="480"/>
      <c r="B162" s="482"/>
      <c r="C162" s="182" t="s">
        <v>363</v>
      </c>
      <c r="D162" s="201">
        <v>792348000</v>
      </c>
      <c r="E162" s="201">
        <v>792348000</v>
      </c>
      <c r="F162" s="202">
        <v>630861834</v>
      </c>
      <c r="G162" s="202">
        <v>630861834</v>
      </c>
      <c r="H162" s="202">
        <v>403161200</v>
      </c>
    </row>
    <row r="163" spans="1:8" ht="49.9" customHeight="1" outlineLevel="1" x14ac:dyDescent="0.25">
      <c r="A163" s="480"/>
      <c r="B163" s="482"/>
      <c r="C163" s="182" t="s">
        <v>364</v>
      </c>
      <c r="D163" s="201">
        <v>173604000</v>
      </c>
      <c r="E163" s="201">
        <v>173604000</v>
      </c>
      <c r="F163" s="202">
        <v>0</v>
      </c>
      <c r="G163" s="202">
        <v>0</v>
      </c>
      <c r="H163" s="202">
        <v>0</v>
      </c>
    </row>
    <row r="164" spans="1:8" ht="49.9" customHeight="1" outlineLevel="1" x14ac:dyDescent="0.25">
      <c r="A164" s="480"/>
      <c r="B164" s="482" t="s">
        <v>357</v>
      </c>
      <c r="C164" s="182" t="s">
        <v>362</v>
      </c>
      <c r="D164" s="201">
        <v>1180481000</v>
      </c>
      <c r="E164" s="201">
        <v>1287481000</v>
      </c>
      <c r="F164" s="202">
        <v>1151575000</v>
      </c>
      <c r="G164" s="202">
        <v>1151575000</v>
      </c>
      <c r="H164" s="202">
        <v>693513999</v>
      </c>
    </row>
    <row r="165" spans="1:8" ht="49.9" customHeight="1" outlineLevel="1" x14ac:dyDescent="0.25">
      <c r="A165" s="480"/>
      <c r="B165" s="482"/>
      <c r="C165" s="182" t="s">
        <v>364</v>
      </c>
      <c r="D165" s="201">
        <v>300000000</v>
      </c>
      <c r="E165" s="201">
        <v>300000000</v>
      </c>
      <c r="F165" s="202">
        <v>0</v>
      </c>
      <c r="G165" s="202">
        <v>0</v>
      </c>
      <c r="H165" s="202">
        <v>0</v>
      </c>
    </row>
    <row r="166" spans="1:8" ht="49.9" customHeight="1" outlineLevel="1" x14ac:dyDescent="0.25">
      <c r="A166" s="480"/>
      <c r="B166" s="232" t="s">
        <v>360</v>
      </c>
      <c r="C166" s="182" t="s">
        <v>362</v>
      </c>
      <c r="D166" s="201">
        <v>689070000</v>
      </c>
      <c r="E166" s="201">
        <v>749390000</v>
      </c>
      <c r="F166" s="202">
        <v>492530292</v>
      </c>
      <c r="G166" s="202">
        <v>492530292</v>
      </c>
      <c r="H166" s="202">
        <v>254011027</v>
      </c>
    </row>
    <row r="167" spans="1:8" ht="49.9" customHeight="1" outlineLevel="1" x14ac:dyDescent="0.25">
      <c r="A167" s="480"/>
      <c r="B167" s="482" t="s">
        <v>355</v>
      </c>
      <c r="C167" s="182" t="s">
        <v>363</v>
      </c>
      <c r="D167" s="201">
        <v>1277236000</v>
      </c>
      <c r="E167" s="202">
        <v>1277236000</v>
      </c>
      <c r="F167" s="202">
        <v>1169728500</v>
      </c>
      <c r="G167" s="202">
        <v>1169728500</v>
      </c>
      <c r="H167" s="202">
        <v>730050201</v>
      </c>
    </row>
    <row r="168" spans="1:8" ht="49.9" customHeight="1" outlineLevel="1" x14ac:dyDescent="0.25">
      <c r="A168" s="480"/>
      <c r="B168" s="482"/>
      <c r="C168" s="182" t="s">
        <v>364</v>
      </c>
      <c r="D168" s="201">
        <v>16912000</v>
      </c>
      <c r="E168" s="202">
        <v>16912000</v>
      </c>
      <c r="F168" s="202">
        <v>16912000</v>
      </c>
      <c r="G168" s="202">
        <v>16912000</v>
      </c>
      <c r="H168" s="202">
        <v>0</v>
      </c>
    </row>
    <row r="169" spans="1:8" ht="49.9" customHeight="1" outlineLevel="1" x14ac:dyDescent="0.25">
      <c r="A169" s="481"/>
      <c r="B169" s="232" t="s">
        <v>352</v>
      </c>
      <c r="C169" s="182" t="s">
        <v>362</v>
      </c>
      <c r="D169" s="201">
        <v>691670000</v>
      </c>
      <c r="E169" s="201">
        <v>557942070</v>
      </c>
      <c r="F169" s="202">
        <v>516118000</v>
      </c>
      <c r="G169" s="202">
        <v>516118000</v>
      </c>
      <c r="H169" s="202">
        <v>339606167</v>
      </c>
    </row>
    <row r="170" spans="1:8" ht="49.9" customHeight="1" outlineLevel="1" x14ac:dyDescent="0.25">
      <c r="A170" s="479" t="s">
        <v>131</v>
      </c>
      <c r="B170" s="250" t="s">
        <v>361</v>
      </c>
      <c r="C170" s="182" t="s">
        <v>362</v>
      </c>
      <c r="D170" s="201">
        <v>1564678000</v>
      </c>
      <c r="E170" s="202">
        <v>1515081614</v>
      </c>
      <c r="F170" s="202">
        <v>1065487169</v>
      </c>
      <c r="G170" s="202">
        <v>1065487169</v>
      </c>
      <c r="H170" s="202">
        <v>616494200</v>
      </c>
    </row>
    <row r="171" spans="1:8" ht="49.9" customHeight="1" outlineLevel="1" x14ac:dyDescent="0.25">
      <c r="A171" s="480"/>
      <c r="B171" s="250"/>
      <c r="C171" s="182" t="s">
        <v>553</v>
      </c>
      <c r="D171" s="201">
        <v>0</v>
      </c>
      <c r="E171" s="202">
        <v>19439686</v>
      </c>
      <c r="F171" s="202">
        <v>19439686</v>
      </c>
      <c r="G171" s="202">
        <v>19439686</v>
      </c>
      <c r="H171" s="202">
        <v>0</v>
      </c>
    </row>
    <row r="172" spans="1:8" ht="49.9" customHeight="1" outlineLevel="1" x14ac:dyDescent="0.25">
      <c r="A172" s="480"/>
      <c r="B172" s="251" t="s">
        <v>353</v>
      </c>
      <c r="C172" s="182" t="s">
        <v>362</v>
      </c>
      <c r="D172" s="201">
        <v>1374057000</v>
      </c>
      <c r="E172" s="202">
        <v>1389997314</v>
      </c>
      <c r="F172" s="202">
        <v>1299130533</v>
      </c>
      <c r="G172" s="202">
        <v>1299130533</v>
      </c>
      <c r="H172" s="202">
        <v>974208468</v>
      </c>
    </row>
    <row r="173" spans="1:8" ht="49.9" customHeight="1" outlineLevel="1" x14ac:dyDescent="0.25">
      <c r="A173" s="480"/>
      <c r="B173" s="251" t="s">
        <v>359</v>
      </c>
      <c r="C173" s="182" t="s">
        <v>362</v>
      </c>
      <c r="D173" s="201">
        <v>2007824000</v>
      </c>
      <c r="E173" s="202">
        <v>1964948316</v>
      </c>
      <c r="F173" s="202">
        <v>1606130852</v>
      </c>
      <c r="G173" s="202">
        <v>1606130852</v>
      </c>
      <c r="H173" s="202">
        <v>1098028595</v>
      </c>
    </row>
    <row r="174" spans="1:8" ht="49.9" customHeight="1" outlineLevel="1" x14ac:dyDescent="0.25">
      <c r="A174" s="480"/>
      <c r="B174" s="251"/>
      <c r="C174" s="182" t="s">
        <v>363</v>
      </c>
      <c r="D174" s="201">
        <v>792348000</v>
      </c>
      <c r="E174" s="202">
        <v>792348000</v>
      </c>
      <c r="F174" s="202">
        <v>637164834</v>
      </c>
      <c r="G174" s="202">
        <v>637164834</v>
      </c>
      <c r="H174" s="202">
        <v>478876200</v>
      </c>
    </row>
    <row r="175" spans="1:8" ht="49.9" customHeight="1" outlineLevel="1" x14ac:dyDescent="0.25">
      <c r="A175" s="480"/>
      <c r="B175" s="251"/>
      <c r="C175" s="182" t="s">
        <v>364</v>
      </c>
      <c r="D175" s="201">
        <v>173604000</v>
      </c>
      <c r="E175" s="202">
        <v>173604000</v>
      </c>
      <c r="F175" s="202">
        <v>0.01</v>
      </c>
      <c r="G175" s="202">
        <v>0</v>
      </c>
      <c r="H175" s="202">
        <v>0</v>
      </c>
    </row>
    <row r="176" spans="1:8" ht="49.9" customHeight="1" outlineLevel="1" x14ac:dyDescent="0.25">
      <c r="A176" s="480"/>
      <c r="B176" s="251" t="s">
        <v>357</v>
      </c>
      <c r="C176" s="182" t="s">
        <v>362</v>
      </c>
      <c r="D176" s="201">
        <v>1180481000</v>
      </c>
      <c r="E176" s="202">
        <v>1287481000</v>
      </c>
      <c r="F176" s="202">
        <v>1163968667</v>
      </c>
      <c r="G176" s="202">
        <v>1163968667</v>
      </c>
      <c r="H176" s="202">
        <v>805127999</v>
      </c>
    </row>
    <row r="177" spans="1:9" ht="49.9" customHeight="1" outlineLevel="1" x14ac:dyDescent="0.25">
      <c r="A177" s="480"/>
      <c r="B177" s="251"/>
      <c r="C177" s="182" t="s">
        <v>364</v>
      </c>
      <c r="D177" s="201">
        <v>300000000</v>
      </c>
      <c r="E177" s="202">
        <v>300000000</v>
      </c>
      <c r="F177" s="202">
        <v>0.01</v>
      </c>
      <c r="G177" s="202">
        <v>0</v>
      </c>
      <c r="H177" s="202">
        <v>0</v>
      </c>
    </row>
    <row r="178" spans="1:9" ht="49.9" customHeight="1" outlineLevel="1" x14ac:dyDescent="0.25">
      <c r="A178" s="480"/>
      <c r="B178" s="250" t="s">
        <v>360</v>
      </c>
      <c r="C178" s="182" t="s">
        <v>362</v>
      </c>
      <c r="D178" s="201">
        <v>689070000</v>
      </c>
      <c r="E178" s="202">
        <v>749390000</v>
      </c>
      <c r="F178" s="202">
        <v>504299959</v>
      </c>
      <c r="G178" s="202">
        <v>504299959</v>
      </c>
      <c r="H178" s="202">
        <v>295252027</v>
      </c>
    </row>
    <row r="179" spans="1:9" ht="49.9" customHeight="1" outlineLevel="1" x14ac:dyDescent="0.25">
      <c r="A179" s="480"/>
      <c r="B179" s="251" t="s">
        <v>355</v>
      </c>
      <c r="C179" s="182" t="s">
        <v>363</v>
      </c>
      <c r="D179" s="201">
        <v>1277236000</v>
      </c>
      <c r="E179" s="202">
        <v>1277236000</v>
      </c>
      <c r="F179" s="202">
        <v>1185694167</v>
      </c>
      <c r="G179" s="202">
        <v>1185694167</v>
      </c>
      <c r="H179" s="202">
        <v>869117701</v>
      </c>
    </row>
    <row r="180" spans="1:9" ht="49.9" customHeight="1" outlineLevel="1" x14ac:dyDescent="0.25">
      <c r="A180" s="480"/>
      <c r="B180" s="251"/>
      <c r="C180" s="182" t="s">
        <v>364</v>
      </c>
      <c r="D180" s="201">
        <v>16912000</v>
      </c>
      <c r="E180" s="202">
        <v>16912000</v>
      </c>
      <c r="F180" s="202">
        <v>16912000</v>
      </c>
      <c r="G180" s="202">
        <v>16912000</v>
      </c>
      <c r="H180" s="202">
        <v>0</v>
      </c>
    </row>
    <row r="181" spans="1:9" ht="49.9" customHeight="1" outlineLevel="1" x14ac:dyDescent="0.25">
      <c r="A181" s="481"/>
      <c r="B181" s="250" t="s">
        <v>352</v>
      </c>
      <c r="C181" s="182" t="s">
        <v>362</v>
      </c>
      <c r="D181" s="201">
        <v>691670000</v>
      </c>
      <c r="E181" s="202">
        <v>557942070</v>
      </c>
      <c r="F181" s="202">
        <v>543649699</v>
      </c>
      <c r="G181" s="202">
        <v>543649699</v>
      </c>
      <c r="H181" s="202">
        <v>398348167</v>
      </c>
    </row>
    <row r="182" spans="1:9" ht="49.9" customHeight="1" outlineLevel="1" x14ac:dyDescent="0.25">
      <c r="A182" s="479" t="s">
        <v>132</v>
      </c>
      <c r="B182" s="491" t="s">
        <v>361</v>
      </c>
      <c r="C182" s="182" t="s">
        <v>362</v>
      </c>
      <c r="D182" s="201">
        <v>1564678000</v>
      </c>
      <c r="E182" s="202">
        <v>1515081614</v>
      </c>
      <c r="F182" s="202">
        <v>1291169211</v>
      </c>
      <c r="G182" s="202">
        <v>1291169211</v>
      </c>
      <c r="H182" s="202">
        <v>772252276</v>
      </c>
      <c r="I182" s="259"/>
    </row>
    <row r="183" spans="1:9" ht="49.9" customHeight="1" outlineLevel="1" x14ac:dyDescent="0.25">
      <c r="A183" s="480"/>
      <c r="B183" s="493"/>
      <c r="C183" s="182" t="s">
        <v>553</v>
      </c>
      <c r="D183" s="201">
        <v>0</v>
      </c>
      <c r="E183" s="202">
        <v>19439686</v>
      </c>
      <c r="F183" s="202">
        <v>19439686</v>
      </c>
      <c r="G183" s="202">
        <v>19439686</v>
      </c>
      <c r="H183" s="202">
        <v>19439686</v>
      </c>
      <c r="I183" s="259"/>
    </row>
    <row r="184" spans="1:9" ht="49.9" customHeight="1" outlineLevel="1" x14ac:dyDescent="0.25">
      <c r="A184" s="480"/>
      <c r="B184" s="255" t="s">
        <v>353</v>
      </c>
      <c r="C184" s="182" t="s">
        <v>362</v>
      </c>
      <c r="D184" s="202">
        <v>1374057000</v>
      </c>
      <c r="E184" s="202">
        <v>1389997314</v>
      </c>
      <c r="F184" s="202">
        <v>1325918200</v>
      </c>
      <c r="G184" s="202">
        <v>1325918200</v>
      </c>
      <c r="H184" s="202">
        <v>1113730468</v>
      </c>
      <c r="I184" s="259"/>
    </row>
    <row r="185" spans="1:9" ht="49.9" customHeight="1" outlineLevel="1" x14ac:dyDescent="0.25">
      <c r="A185" s="480"/>
      <c r="B185" s="482" t="s">
        <v>359</v>
      </c>
      <c r="C185" s="182" t="s">
        <v>362</v>
      </c>
      <c r="D185" s="201">
        <v>2007824000</v>
      </c>
      <c r="E185" s="201">
        <v>1964948316</v>
      </c>
      <c r="F185" s="202">
        <v>1674596499</v>
      </c>
      <c r="G185" s="202">
        <v>1674596499</v>
      </c>
      <c r="H185" s="202">
        <v>1218624163</v>
      </c>
      <c r="I185" s="259"/>
    </row>
    <row r="186" spans="1:9" ht="49.9" customHeight="1" outlineLevel="1" x14ac:dyDescent="0.25">
      <c r="A186" s="480"/>
      <c r="B186" s="482"/>
      <c r="C186" s="182" t="s">
        <v>363</v>
      </c>
      <c r="D186" s="201">
        <v>792348000</v>
      </c>
      <c r="E186" s="201">
        <v>792348000</v>
      </c>
      <c r="F186" s="202">
        <v>650343834</v>
      </c>
      <c r="G186" s="202">
        <v>650343834</v>
      </c>
      <c r="H186" s="202">
        <v>551153200</v>
      </c>
      <c r="I186" s="259"/>
    </row>
    <row r="187" spans="1:9" ht="49.9" customHeight="1" outlineLevel="1" x14ac:dyDescent="0.25">
      <c r="A187" s="480"/>
      <c r="B187" s="482"/>
      <c r="C187" s="182" t="s">
        <v>364</v>
      </c>
      <c r="D187" s="201">
        <v>173604000</v>
      </c>
      <c r="E187" s="201">
        <v>173604000</v>
      </c>
      <c r="F187" s="202">
        <v>0.01</v>
      </c>
      <c r="G187" s="202">
        <v>0</v>
      </c>
      <c r="H187" s="202">
        <v>0</v>
      </c>
      <c r="I187" s="259"/>
    </row>
    <row r="188" spans="1:9" ht="49.9" customHeight="1" outlineLevel="1" x14ac:dyDescent="0.25">
      <c r="A188" s="480"/>
      <c r="B188" s="482" t="s">
        <v>357</v>
      </c>
      <c r="C188" s="182" t="s">
        <v>362</v>
      </c>
      <c r="D188" s="201">
        <v>1180481000</v>
      </c>
      <c r="E188" s="201">
        <v>1287481000</v>
      </c>
      <c r="F188" s="202">
        <v>1219287834</v>
      </c>
      <c r="G188" s="202">
        <v>1219287834</v>
      </c>
      <c r="H188" s="202">
        <v>939227611</v>
      </c>
      <c r="I188" s="259"/>
    </row>
    <row r="189" spans="1:9" ht="49.9" customHeight="1" outlineLevel="1" x14ac:dyDescent="0.25">
      <c r="A189" s="480"/>
      <c r="B189" s="482"/>
      <c r="C189" s="182" t="s">
        <v>364</v>
      </c>
      <c r="D189" s="201">
        <v>300000000</v>
      </c>
      <c r="E189" s="201">
        <v>300000000</v>
      </c>
      <c r="F189" s="202">
        <v>300000000</v>
      </c>
      <c r="G189" s="202">
        <v>300000000</v>
      </c>
      <c r="H189" s="202">
        <v>0</v>
      </c>
      <c r="I189" s="259"/>
    </row>
    <row r="190" spans="1:9" ht="49.9" customHeight="1" outlineLevel="1" x14ac:dyDescent="0.25">
      <c r="A190" s="480"/>
      <c r="B190" s="255" t="s">
        <v>360</v>
      </c>
      <c r="C190" s="182" t="s">
        <v>362</v>
      </c>
      <c r="D190" s="201">
        <v>689070000</v>
      </c>
      <c r="E190" s="201">
        <v>749390000</v>
      </c>
      <c r="F190" s="202">
        <v>523621459</v>
      </c>
      <c r="G190" s="202">
        <v>523621459</v>
      </c>
      <c r="H190" s="202">
        <v>340211694</v>
      </c>
      <c r="I190" s="259"/>
    </row>
    <row r="191" spans="1:9" ht="49.9" customHeight="1" outlineLevel="1" x14ac:dyDescent="0.25">
      <c r="A191" s="480"/>
      <c r="B191" s="482" t="s">
        <v>355</v>
      </c>
      <c r="C191" s="182" t="s">
        <v>363</v>
      </c>
      <c r="D191" s="201">
        <v>1277236000</v>
      </c>
      <c r="E191" s="202">
        <v>1277236000</v>
      </c>
      <c r="F191" s="202">
        <v>1247264766</v>
      </c>
      <c r="G191" s="202">
        <v>1247264766</v>
      </c>
      <c r="H191" s="202">
        <v>990097101</v>
      </c>
      <c r="I191" s="259"/>
    </row>
    <row r="192" spans="1:9" ht="49.9" customHeight="1" outlineLevel="1" x14ac:dyDescent="0.25">
      <c r="A192" s="480"/>
      <c r="B192" s="482"/>
      <c r="C192" s="182" t="s">
        <v>364</v>
      </c>
      <c r="D192" s="201">
        <v>16912000</v>
      </c>
      <c r="E192" s="202">
        <v>16912000</v>
      </c>
      <c r="F192" s="202">
        <v>16912000</v>
      </c>
      <c r="G192" s="202">
        <v>16912000</v>
      </c>
      <c r="H192" s="202">
        <v>0</v>
      </c>
      <c r="I192" s="259"/>
    </row>
    <row r="193" spans="1:9" ht="49.9" customHeight="1" outlineLevel="1" x14ac:dyDescent="0.25">
      <c r="A193" s="481"/>
      <c r="B193" s="255" t="s">
        <v>352</v>
      </c>
      <c r="C193" s="182" t="s">
        <v>362</v>
      </c>
      <c r="D193" s="201">
        <v>691670000</v>
      </c>
      <c r="E193" s="201">
        <v>557942070</v>
      </c>
      <c r="F193" s="202">
        <v>556933365</v>
      </c>
      <c r="G193" s="202">
        <v>556933365</v>
      </c>
      <c r="H193" s="202">
        <v>457090167</v>
      </c>
      <c r="I193" s="259"/>
    </row>
    <row r="194" spans="1:9" ht="16.5" customHeight="1" outlineLevel="1" x14ac:dyDescent="0.25">
      <c r="A194" s="43" t="s">
        <v>133</v>
      </c>
      <c r="B194" s="540"/>
      <c r="C194" s="540"/>
      <c r="D194" s="540"/>
      <c r="E194" s="540"/>
      <c r="F194" s="540"/>
      <c r="G194" s="540"/>
      <c r="H194" s="540"/>
    </row>
    <row r="195" spans="1:9" ht="16.5" customHeight="1" x14ac:dyDescent="0.25"/>
    <row r="196" spans="1:9" ht="24.75" customHeight="1" x14ac:dyDescent="0.25">
      <c r="A196" s="498" t="s">
        <v>141</v>
      </c>
      <c r="B196" s="498"/>
      <c r="C196" s="498"/>
      <c r="D196" s="498"/>
      <c r="E196" s="498"/>
      <c r="F196" s="498"/>
      <c r="G196" s="498"/>
      <c r="H196" s="498"/>
    </row>
    <row r="197" spans="1:9" ht="25.5" customHeight="1" x14ac:dyDescent="0.25">
      <c r="A197" s="175" t="s">
        <v>61</v>
      </c>
      <c r="B197" s="42" t="s">
        <v>121</v>
      </c>
      <c r="C197" s="42" t="s">
        <v>122</v>
      </c>
      <c r="D197" s="42" t="s">
        <v>123</v>
      </c>
      <c r="E197" s="42" t="s">
        <v>124</v>
      </c>
      <c r="F197" s="42" t="s">
        <v>125</v>
      </c>
      <c r="G197" s="42" t="s">
        <v>126</v>
      </c>
      <c r="H197" s="42" t="s">
        <v>127</v>
      </c>
    </row>
    <row r="198" spans="1:9" ht="49.9" customHeight="1" x14ac:dyDescent="0.25">
      <c r="A198" s="479" t="s">
        <v>135</v>
      </c>
      <c r="B198" s="288" t="s">
        <v>352</v>
      </c>
      <c r="C198" s="288" t="s">
        <v>362</v>
      </c>
      <c r="D198" s="202">
        <v>588053000</v>
      </c>
      <c r="E198" s="202">
        <v>588053000</v>
      </c>
      <c r="F198" s="202">
        <v>585413000</v>
      </c>
      <c r="G198" s="202">
        <v>585413000</v>
      </c>
      <c r="H198" s="202">
        <v>0</v>
      </c>
    </row>
    <row r="199" spans="1:9" ht="49.9" customHeight="1" x14ac:dyDescent="0.25">
      <c r="A199" s="480"/>
      <c r="B199" s="288" t="s">
        <v>353</v>
      </c>
      <c r="C199" s="288" t="s">
        <v>362</v>
      </c>
      <c r="D199" s="202">
        <v>6219259000</v>
      </c>
      <c r="E199" s="202">
        <v>6219259000</v>
      </c>
      <c r="F199" s="202">
        <v>1835843000</v>
      </c>
      <c r="G199" s="202">
        <v>1835843000</v>
      </c>
      <c r="H199" s="202">
        <v>0</v>
      </c>
    </row>
    <row r="200" spans="1:9" ht="49.9" customHeight="1" x14ac:dyDescent="0.25">
      <c r="A200" s="480"/>
      <c r="B200" s="288" t="s">
        <v>357</v>
      </c>
      <c r="C200" s="288" t="s">
        <v>362</v>
      </c>
      <c r="D200" s="202">
        <v>1617058000</v>
      </c>
      <c r="E200" s="202">
        <v>1617058000</v>
      </c>
      <c r="F200" s="202">
        <v>1097940000</v>
      </c>
      <c r="G200" s="202">
        <v>1097940000</v>
      </c>
      <c r="H200" s="202">
        <v>0</v>
      </c>
    </row>
    <row r="201" spans="1:9" ht="49.9" customHeight="1" x14ac:dyDescent="0.25">
      <c r="A201" s="480"/>
      <c r="B201" s="507" t="s">
        <v>594</v>
      </c>
      <c r="C201" s="288" t="s">
        <v>362</v>
      </c>
      <c r="D201" s="202">
        <v>154846000</v>
      </c>
      <c r="E201" s="202">
        <v>154846000</v>
      </c>
      <c r="F201" s="202">
        <v>154249000</v>
      </c>
      <c r="G201" s="202">
        <v>154249000</v>
      </c>
      <c r="H201" s="202">
        <v>0</v>
      </c>
    </row>
    <row r="202" spans="1:9" ht="49.9" customHeight="1" x14ac:dyDescent="0.25">
      <c r="A202" s="480"/>
      <c r="B202" s="508"/>
      <c r="C202" s="288" t="s">
        <v>363</v>
      </c>
      <c r="D202" s="202">
        <v>117874000</v>
      </c>
      <c r="E202" s="202">
        <v>117874000</v>
      </c>
      <c r="F202" s="202">
        <v>0</v>
      </c>
      <c r="G202" s="202">
        <v>0</v>
      </c>
      <c r="H202" s="202">
        <v>0</v>
      </c>
    </row>
    <row r="203" spans="1:9" ht="49.9" customHeight="1" x14ac:dyDescent="0.25">
      <c r="A203" s="480"/>
      <c r="B203" s="508"/>
      <c r="C203" s="288" t="s">
        <v>364</v>
      </c>
      <c r="D203" s="202">
        <v>1336995000</v>
      </c>
      <c r="E203" s="202">
        <v>1336995000</v>
      </c>
      <c r="F203" s="202">
        <v>1333569000</v>
      </c>
      <c r="G203" s="202">
        <v>1333569000</v>
      </c>
      <c r="H203" s="202">
        <v>0</v>
      </c>
    </row>
    <row r="204" spans="1:9" ht="49.9" customHeight="1" x14ac:dyDescent="0.25">
      <c r="A204" s="480"/>
      <c r="B204" s="509"/>
      <c r="C204" s="288" t="s">
        <v>595</v>
      </c>
      <c r="D204" s="202">
        <v>7278000</v>
      </c>
      <c r="E204" s="202">
        <v>7278000</v>
      </c>
      <c r="F204" s="202">
        <v>0</v>
      </c>
      <c r="G204" s="202">
        <v>0</v>
      </c>
      <c r="H204" s="202">
        <v>0</v>
      </c>
    </row>
    <row r="205" spans="1:9" ht="49.9" customHeight="1" x14ac:dyDescent="0.25">
      <c r="A205" s="480"/>
      <c r="B205" s="507" t="s">
        <v>359</v>
      </c>
      <c r="C205" s="288" t="s">
        <v>362</v>
      </c>
      <c r="D205" s="202">
        <v>679700000</v>
      </c>
      <c r="E205" s="202">
        <v>679700000</v>
      </c>
      <c r="F205" s="202">
        <v>652012000</v>
      </c>
      <c r="G205" s="202">
        <v>652012000</v>
      </c>
      <c r="H205" s="202">
        <v>0</v>
      </c>
    </row>
    <row r="206" spans="1:9" ht="49.9" customHeight="1" x14ac:dyDescent="0.25">
      <c r="A206" s="480"/>
      <c r="B206" s="508"/>
      <c r="C206" s="288" t="s">
        <v>363</v>
      </c>
      <c r="D206" s="202">
        <v>871058000</v>
      </c>
      <c r="E206" s="202">
        <v>871058000</v>
      </c>
      <c r="F206" s="202">
        <v>446731908</v>
      </c>
      <c r="G206" s="202">
        <v>446731908</v>
      </c>
      <c r="H206" s="202">
        <v>0</v>
      </c>
    </row>
    <row r="207" spans="1:9" ht="49.9" customHeight="1" x14ac:dyDescent="0.25">
      <c r="A207" s="480"/>
      <c r="B207" s="509"/>
      <c r="C207" s="288" t="s">
        <v>364</v>
      </c>
      <c r="D207" s="202">
        <v>1813479000</v>
      </c>
      <c r="E207" s="202">
        <v>1813479000</v>
      </c>
      <c r="F207" s="202">
        <v>1435895000</v>
      </c>
      <c r="G207" s="202">
        <v>1435895000</v>
      </c>
      <c r="H207" s="202">
        <v>0</v>
      </c>
    </row>
    <row r="208" spans="1:9" ht="49.9" customHeight="1" x14ac:dyDescent="0.25">
      <c r="A208" s="480"/>
      <c r="B208" s="288" t="s">
        <v>360</v>
      </c>
      <c r="C208" s="288" t="s">
        <v>362</v>
      </c>
      <c r="D208" s="202">
        <v>843232000</v>
      </c>
      <c r="E208" s="202">
        <v>843232000</v>
      </c>
      <c r="F208" s="202">
        <v>455184000</v>
      </c>
      <c r="G208" s="202">
        <v>455184000</v>
      </c>
      <c r="H208" s="202">
        <v>0</v>
      </c>
    </row>
    <row r="209" spans="1:8" ht="49.9" customHeight="1" x14ac:dyDescent="0.25">
      <c r="A209" s="480"/>
      <c r="B209" s="507" t="s">
        <v>361</v>
      </c>
      <c r="C209" s="288" t="s">
        <v>362</v>
      </c>
      <c r="D209" s="202">
        <v>2180745000</v>
      </c>
      <c r="E209" s="202">
        <v>2180745000</v>
      </c>
      <c r="F209" s="202">
        <v>665963000</v>
      </c>
      <c r="G209" s="202">
        <v>665963000</v>
      </c>
      <c r="H209" s="202">
        <v>0</v>
      </c>
    </row>
    <row r="210" spans="1:8" ht="49.9" customHeight="1" x14ac:dyDescent="0.25">
      <c r="A210" s="481"/>
      <c r="B210" s="509"/>
      <c r="C210" s="288" t="s">
        <v>363</v>
      </c>
      <c r="D210" s="202">
        <v>38864000</v>
      </c>
      <c r="E210" s="202">
        <v>38864000</v>
      </c>
      <c r="F210" s="202">
        <v>0</v>
      </c>
      <c r="G210" s="202">
        <v>0</v>
      </c>
      <c r="H210" s="202">
        <v>0</v>
      </c>
    </row>
    <row r="211" spans="1:8" ht="49.9" customHeight="1" x14ac:dyDescent="0.25">
      <c r="A211" s="479" t="s">
        <v>136</v>
      </c>
      <c r="B211" s="288" t="s">
        <v>352</v>
      </c>
      <c r="C211" s="288" t="s">
        <v>362</v>
      </c>
      <c r="D211" s="202">
        <v>588053000</v>
      </c>
      <c r="E211" s="202">
        <v>588053000</v>
      </c>
      <c r="F211" s="202">
        <v>585413000</v>
      </c>
      <c r="G211" s="202">
        <v>585413000</v>
      </c>
      <c r="H211" s="202">
        <v>0</v>
      </c>
    </row>
    <row r="212" spans="1:8" ht="49.9" customHeight="1" x14ac:dyDescent="0.25">
      <c r="A212" s="480"/>
      <c r="B212" s="288" t="s">
        <v>353</v>
      </c>
      <c r="C212" s="288" t="s">
        <v>362</v>
      </c>
      <c r="D212" s="202">
        <v>6219259000</v>
      </c>
      <c r="E212" s="202">
        <v>6219259000</v>
      </c>
      <c r="F212" s="202">
        <v>1835843000</v>
      </c>
      <c r="G212" s="202">
        <v>1835843000</v>
      </c>
      <c r="H212" s="202">
        <v>0</v>
      </c>
    </row>
    <row r="213" spans="1:8" ht="49.9" customHeight="1" x14ac:dyDescent="0.25">
      <c r="A213" s="480"/>
      <c r="B213" s="288" t="s">
        <v>357</v>
      </c>
      <c r="C213" s="288" t="s">
        <v>362</v>
      </c>
      <c r="D213" s="202">
        <v>1617058000</v>
      </c>
      <c r="E213" s="202">
        <v>1617058000</v>
      </c>
      <c r="F213" s="202">
        <v>1097940000</v>
      </c>
      <c r="G213" s="202">
        <v>1097940000</v>
      </c>
      <c r="H213" s="202">
        <v>0</v>
      </c>
    </row>
    <row r="214" spans="1:8" ht="49.9" customHeight="1" x14ac:dyDescent="0.25">
      <c r="A214" s="480"/>
      <c r="B214" s="507" t="s">
        <v>594</v>
      </c>
      <c r="C214" s="288" t="s">
        <v>362</v>
      </c>
      <c r="D214" s="202">
        <v>154846000</v>
      </c>
      <c r="E214" s="202">
        <v>154846000</v>
      </c>
      <c r="F214" s="202">
        <v>154249000</v>
      </c>
      <c r="G214" s="202">
        <v>154249000</v>
      </c>
      <c r="H214" s="202">
        <v>0</v>
      </c>
    </row>
    <row r="215" spans="1:8" ht="49.9" customHeight="1" x14ac:dyDescent="0.25">
      <c r="A215" s="480"/>
      <c r="B215" s="508"/>
      <c r="C215" s="288" t="s">
        <v>363</v>
      </c>
      <c r="D215" s="202">
        <v>117874000</v>
      </c>
      <c r="E215" s="202">
        <v>117874000</v>
      </c>
      <c r="F215" s="202">
        <v>0</v>
      </c>
      <c r="G215" s="202">
        <v>0</v>
      </c>
      <c r="H215" s="202">
        <v>0</v>
      </c>
    </row>
    <row r="216" spans="1:8" ht="49.9" customHeight="1" x14ac:dyDescent="0.25">
      <c r="A216" s="480"/>
      <c r="B216" s="508"/>
      <c r="C216" s="288" t="s">
        <v>364</v>
      </c>
      <c r="D216" s="202">
        <v>1336995000</v>
      </c>
      <c r="E216" s="202">
        <v>1336995000</v>
      </c>
      <c r="F216" s="202">
        <v>1333569000</v>
      </c>
      <c r="G216" s="202">
        <v>1333569000</v>
      </c>
      <c r="H216" s="202">
        <v>0</v>
      </c>
    </row>
    <row r="217" spans="1:8" ht="49.9" customHeight="1" x14ac:dyDescent="0.25">
      <c r="A217" s="480"/>
      <c r="B217" s="509"/>
      <c r="C217" s="288" t="s">
        <v>595</v>
      </c>
      <c r="D217" s="202">
        <v>7278000</v>
      </c>
      <c r="E217" s="202">
        <v>7278000</v>
      </c>
      <c r="F217" s="202">
        <v>0</v>
      </c>
      <c r="G217" s="202">
        <v>0</v>
      </c>
      <c r="H217" s="202">
        <v>0</v>
      </c>
    </row>
    <row r="218" spans="1:8" ht="49.9" customHeight="1" x14ac:dyDescent="0.25">
      <c r="A218" s="480"/>
      <c r="B218" s="507" t="s">
        <v>359</v>
      </c>
      <c r="C218" s="288" t="s">
        <v>362</v>
      </c>
      <c r="D218" s="202">
        <v>679700000</v>
      </c>
      <c r="E218" s="202">
        <v>679700000</v>
      </c>
      <c r="F218" s="202">
        <v>652012000</v>
      </c>
      <c r="G218" s="202">
        <v>652012000</v>
      </c>
      <c r="H218" s="202">
        <v>0</v>
      </c>
    </row>
    <row r="219" spans="1:8" ht="49.9" customHeight="1" x14ac:dyDescent="0.25">
      <c r="A219" s="480"/>
      <c r="B219" s="508"/>
      <c r="C219" s="288" t="s">
        <v>363</v>
      </c>
      <c r="D219" s="202">
        <v>871058000</v>
      </c>
      <c r="E219" s="202">
        <v>871058000</v>
      </c>
      <c r="F219" s="202">
        <v>446731908</v>
      </c>
      <c r="G219" s="202">
        <v>446731908</v>
      </c>
      <c r="H219" s="202">
        <v>0</v>
      </c>
    </row>
    <row r="220" spans="1:8" ht="49.9" customHeight="1" x14ac:dyDescent="0.25">
      <c r="A220" s="480"/>
      <c r="B220" s="509"/>
      <c r="C220" s="288" t="s">
        <v>364</v>
      </c>
      <c r="D220" s="202">
        <v>1813479000</v>
      </c>
      <c r="E220" s="202">
        <v>1813479000</v>
      </c>
      <c r="F220" s="202">
        <v>1435895000</v>
      </c>
      <c r="G220" s="202">
        <v>1435895000</v>
      </c>
      <c r="H220" s="202">
        <v>0</v>
      </c>
    </row>
    <row r="221" spans="1:8" ht="49.9" customHeight="1" x14ac:dyDescent="0.25">
      <c r="A221" s="480"/>
      <c r="B221" s="288" t="s">
        <v>360</v>
      </c>
      <c r="C221" s="288" t="s">
        <v>362</v>
      </c>
      <c r="D221" s="202">
        <v>843232000</v>
      </c>
      <c r="E221" s="202">
        <v>843232000</v>
      </c>
      <c r="F221" s="202">
        <v>455184000</v>
      </c>
      <c r="G221" s="202">
        <v>455184000</v>
      </c>
      <c r="H221" s="202">
        <v>0</v>
      </c>
    </row>
    <row r="222" spans="1:8" ht="49.9" customHeight="1" x14ac:dyDescent="0.25">
      <c r="A222" s="480"/>
      <c r="B222" s="507" t="s">
        <v>361</v>
      </c>
      <c r="C222" s="288" t="s">
        <v>362</v>
      </c>
      <c r="D222" s="202">
        <v>2180745000</v>
      </c>
      <c r="E222" s="202">
        <v>2180745000</v>
      </c>
      <c r="F222" s="202">
        <v>665963000</v>
      </c>
      <c r="G222" s="202">
        <v>665963000</v>
      </c>
      <c r="H222" s="202">
        <v>0</v>
      </c>
    </row>
    <row r="223" spans="1:8" ht="49.9" customHeight="1" x14ac:dyDescent="0.25">
      <c r="A223" s="481"/>
      <c r="B223" s="509"/>
      <c r="C223" s="288" t="s">
        <v>363</v>
      </c>
      <c r="D223" s="202">
        <v>38864000</v>
      </c>
      <c r="E223" s="202">
        <v>38864000</v>
      </c>
      <c r="F223" s="202">
        <v>0</v>
      </c>
      <c r="G223" s="202">
        <v>0</v>
      </c>
      <c r="H223" s="202">
        <v>0</v>
      </c>
    </row>
    <row r="224" spans="1:8" ht="49.9" customHeight="1" x14ac:dyDescent="0.25">
      <c r="A224" s="479" t="s">
        <v>137</v>
      </c>
      <c r="B224" s="317" t="s">
        <v>352</v>
      </c>
      <c r="C224" s="288" t="s">
        <v>362</v>
      </c>
      <c r="D224" s="202">
        <v>588053000</v>
      </c>
      <c r="E224" s="202">
        <v>588053000</v>
      </c>
      <c r="F224" s="202">
        <v>585413000</v>
      </c>
      <c r="G224" s="202">
        <v>585413000</v>
      </c>
      <c r="H224" s="202">
        <v>57329600</v>
      </c>
    </row>
    <row r="225" spans="1:8" ht="49.9" customHeight="1" x14ac:dyDescent="0.25">
      <c r="A225" s="480"/>
      <c r="B225" s="317" t="s">
        <v>353</v>
      </c>
      <c r="C225" s="288" t="s">
        <v>362</v>
      </c>
      <c r="D225" s="202">
        <v>6219259000</v>
      </c>
      <c r="E225" s="202">
        <v>6219259000</v>
      </c>
      <c r="F225" s="202">
        <v>1835843000</v>
      </c>
      <c r="G225" s="202">
        <v>1835843000</v>
      </c>
      <c r="H225" s="202">
        <v>172264769</v>
      </c>
    </row>
    <row r="226" spans="1:8" ht="49.9" customHeight="1" x14ac:dyDescent="0.25">
      <c r="A226" s="480"/>
      <c r="B226" s="317" t="s">
        <v>357</v>
      </c>
      <c r="C226" s="288" t="s">
        <v>362</v>
      </c>
      <c r="D226" s="202">
        <v>1617058000</v>
      </c>
      <c r="E226" s="202">
        <v>1617058000</v>
      </c>
      <c r="F226" s="202">
        <v>1097940000</v>
      </c>
      <c r="G226" s="202">
        <v>1097940000</v>
      </c>
      <c r="H226" s="202">
        <v>140877801</v>
      </c>
    </row>
    <row r="227" spans="1:8" ht="49.9" customHeight="1" x14ac:dyDescent="0.25">
      <c r="A227" s="480"/>
      <c r="B227" s="510" t="s">
        <v>594</v>
      </c>
      <c r="C227" s="288" t="s">
        <v>362</v>
      </c>
      <c r="D227" s="202">
        <v>154846000</v>
      </c>
      <c r="E227" s="202">
        <v>154846000</v>
      </c>
      <c r="F227" s="202">
        <v>154249000</v>
      </c>
      <c r="G227" s="202">
        <v>154249000</v>
      </c>
      <c r="H227" s="202">
        <v>10089534</v>
      </c>
    </row>
    <row r="228" spans="1:8" ht="49.9" customHeight="1" x14ac:dyDescent="0.25">
      <c r="A228" s="480"/>
      <c r="B228" s="511"/>
      <c r="C228" s="288" t="s">
        <v>363</v>
      </c>
      <c r="D228" s="202">
        <v>117874000</v>
      </c>
      <c r="E228" s="202">
        <v>117874000</v>
      </c>
      <c r="F228" s="202">
        <v>0</v>
      </c>
      <c r="G228" s="202">
        <v>0</v>
      </c>
      <c r="H228" s="202">
        <v>0</v>
      </c>
    </row>
    <row r="229" spans="1:8" ht="49.9" customHeight="1" x14ac:dyDescent="0.25">
      <c r="A229" s="480"/>
      <c r="B229" s="511"/>
      <c r="C229" s="288" t="s">
        <v>364</v>
      </c>
      <c r="D229" s="202">
        <v>1336995000</v>
      </c>
      <c r="E229" s="202">
        <v>1336995000</v>
      </c>
      <c r="F229" s="202">
        <v>1333569000</v>
      </c>
      <c r="G229" s="202">
        <v>1333569000</v>
      </c>
      <c r="H229" s="202">
        <v>124189766</v>
      </c>
    </row>
    <row r="230" spans="1:8" ht="49.9" customHeight="1" x14ac:dyDescent="0.25">
      <c r="A230" s="480"/>
      <c r="B230" s="512"/>
      <c r="C230" s="288" t="s">
        <v>595</v>
      </c>
      <c r="D230" s="202">
        <v>7278000</v>
      </c>
      <c r="E230" s="202">
        <v>7278000</v>
      </c>
      <c r="F230" s="202">
        <v>0</v>
      </c>
      <c r="G230" s="202">
        <v>0</v>
      </c>
      <c r="H230" s="202">
        <v>0</v>
      </c>
    </row>
    <row r="231" spans="1:8" ht="49.9" customHeight="1" x14ac:dyDescent="0.25">
      <c r="A231" s="480"/>
      <c r="B231" s="510" t="s">
        <v>359</v>
      </c>
      <c r="C231" s="288" t="s">
        <v>362</v>
      </c>
      <c r="D231" s="202">
        <v>679700000</v>
      </c>
      <c r="E231" s="202">
        <v>679700000</v>
      </c>
      <c r="F231" s="202">
        <v>672552000</v>
      </c>
      <c r="G231" s="202">
        <v>672552000</v>
      </c>
      <c r="H231" s="202">
        <v>74474333</v>
      </c>
    </row>
    <row r="232" spans="1:8" ht="49.9" customHeight="1" x14ac:dyDescent="0.25">
      <c r="A232" s="480"/>
      <c r="B232" s="511"/>
      <c r="C232" s="288" t="s">
        <v>363</v>
      </c>
      <c r="D232" s="202">
        <v>871058000</v>
      </c>
      <c r="E232" s="202">
        <v>871058000</v>
      </c>
      <c r="F232" s="202">
        <v>446731908</v>
      </c>
      <c r="G232" s="202">
        <v>446731908</v>
      </c>
      <c r="H232" s="202">
        <v>0</v>
      </c>
    </row>
    <row r="233" spans="1:8" ht="49.9" customHeight="1" x14ac:dyDescent="0.25">
      <c r="A233" s="480"/>
      <c r="B233" s="512"/>
      <c r="C233" s="288" t="s">
        <v>364</v>
      </c>
      <c r="D233" s="202">
        <v>1813479000</v>
      </c>
      <c r="E233" s="202">
        <v>1813479000</v>
      </c>
      <c r="F233" s="202">
        <v>1465355000</v>
      </c>
      <c r="G233" s="202">
        <v>1465355000</v>
      </c>
      <c r="H233" s="202">
        <v>146878736</v>
      </c>
    </row>
    <row r="234" spans="1:8" ht="49.9" customHeight="1" x14ac:dyDescent="0.25">
      <c r="A234" s="480"/>
      <c r="B234" s="317" t="s">
        <v>360</v>
      </c>
      <c r="C234" s="288" t="s">
        <v>362</v>
      </c>
      <c r="D234" s="202">
        <v>843232000</v>
      </c>
      <c r="E234" s="202">
        <v>843232000</v>
      </c>
      <c r="F234" s="202">
        <v>455184000</v>
      </c>
      <c r="G234" s="202">
        <v>455184000</v>
      </c>
      <c r="H234" s="202">
        <v>52318753</v>
      </c>
    </row>
    <row r="235" spans="1:8" ht="49.9" customHeight="1" x14ac:dyDescent="0.25">
      <c r="A235" s="480"/>
      <c r="B235" s="510" t="s">
        <v>361</v>
      </c>
      <c r="C235" s="288" t="s">
        <v>362</v>
      </c>
      <c r="D235" s="202">
        <v>2180745000</v>
      </c>
      <c r="E235" s="202">
        <v>2180745000</v>
      </c>
      <c r="F235" s="202">
        <v>665963000</v>
      </c>
      <c r="G235" s="202">
        <v>665963000</v>
      </c>
      <c r="H235" s="202">
        <v>83226899</v>
      </c>
    </row>
    <row r="236" spans="1:8" ht="49.9" customHeight="1" x14ac:dyDescent="0.25">
      <c r="A236" s="480"/>
      <c r="B236" s="512"/>
      <c r="C236" s="288" t="s">
        <v>363</v>
      </c>
      <c r="D236" s="202">
        <v>38864000</v>
      </c>
      <c r="E236" s="202">
        <v>38864000</v>
      </c>
      <c r="F236" s="202">
        <v>0</v>
      </c>
      <c r="G236" s="202">
        <v>0</v>
      </c>
      <c r="H236" s="202">
        <v>0</v>
      </c>
    </row>
    <row r="237" spans="1:8" ht="16.5" customHeight="1" x14ac:dyDescent="0.25">
      <c r="A237" s="43" t="s">
        <v>138</v>
      </c>
      <c r="B237" s="43"/>
      <c r="C237" s="43"/>
      <c r="D237" s="43"/>
      <c r="E237" s="43"/>
      <c r="F237" s="43"/>
      <c r="G237" s="43"/>
      <c r="H237" s="43" t="e">
        <f t="shared" ref="H237:H245" si="1">G237/E237</f>
        <v>#DIV/0!</v>
      </c>
    </row>
    <row r="238" spans="1:8" ht="16.5" customHeight="1" x14ac:dyDescent="0.25">
      <c r="A238" s="43" t="s">
        <v>139</v>
      </c>
      <c r="B238" s="43"/>
      <c r="C238" s="43"/>
      <c r="D238" s="43"/>
      <c r="E238" s="43"/>
      <c r="F238" s="43"/>
      <c r="G238" s="43"/>
      <c r="H238" s="43" t="e">
        <f t="shared" si="1"/>
        <v>#DIV/0!</v>
      </c>
    </row>
    <row r="239" spans="1:8" ht="16.5" customHeight="1" x14ac:dyDescent="0.25">
      <c r="A239" s="43" t="s">
        <v>140</v>
      </c>
      <c r="B239" s="43"/>
      <c r="C239" s="43"/>
      <c r="D239" s="43"/>
      <c r="E239" s="43"/>
      <c r="F239" s="43"/>
      <c r="G239" s="43"/>
      <c r="H239" s="43" t="e">
        <f t="shared" si="1"/>
        <v>#DIV/0!</v>
      </c>
    </row>
    <row r="240" spans="1:8" ht="16.5" customHeight="1" x14ac:dyDescent="0.25">
      <c r="A240" s="43" t="s">
        <v>128</v>
      </c>
      <c r="B240" s="43"/>
      <c r="C240" s="43"/>
      <c r="D240" s="43"/>
      <c r="E240" s="43"/>
      <c r="F240" s="43"/>
      <c r="G240" s="43"/>
      <c r="H240" s="43" t="e">
        <f t="shared" si="1"/>
        <v>#DIV/0!</v>
      </c>
    </row>
    <row r="241" spans="1:8" ht="16.5" customHeight="1" x14ac:dyDescent="0.25">
      <c r="A241" s="43" t="s">
        <v>129</v>
      </c>
      <c r="B241" s="43"/>
      <c r="C241" s="43"/>
      <c r="D241" s="43"/>
      <c r="E241" s="43"/>
      <c r="F241" s="43"/>
      <c r="G241" s="43"/>
      <c r="H241" s="43" t="e">
        <f t="shared" si="1"/>
        <v>#DIV/0!</v>
      </c>
    </row>
    <row r="242" spans="1:8" ht="16.5" customHeight="1" x14ac:dyDescent="0.25">
      <c r="A242" s="43" t="s">
        <v>130</v>
      </c>
      <c r="B242" s="43"/>
      <c r="C242" s="43"/>
      <c r="D242" s="43"/>
      <c r="E242" s="43"/>
      <c r="F242" s="43"/>
      <c r="G242" s="43"/>
      <c r="H242" s="43" t="e">
        <f t="shared" si="1"/>
        <v>#DIV/0!</v>
      </c>
    </row>
    <row r="243" spans="1:8" ht="16.5" customHeight="1" x14ac:dyDescent="0.25">
      <c r="A243" s="43" t="s">
        <v>131</v>
      </c>
      <c r="B243" s="43"/>
      <c r="C243" s="43"/>
      <c r="D243" s="43"/>
      <c r="E243" s="43"/>
      <c r="F243" s="43"/>
      <c r="G243" s="43"/>
      <c r="H243" s="43" t="e">
        <f t="shared" si="1"/>
        <v>#DIV/0!</v>
      </c>
    </row>
    <row r="244" spans="1:8" ht="16.5" customHeight="1" x14ac:dyDescent="0.25">
      <c r="A244" s="43" t="s">
        <v>132</v>
      </c>
      <c r="B244" s="43"/>
      <c r="C244" s="43"/>
      <c r="D244" s="43"/>
      <c r="E244" s="43"/>
      <c r="F244" s="43"/>
      <c r="G244" s="43"/>
      <c r="H244" s="43" t="e">
        <f t="shared" si="1"/>
        <v>#DIV/0!</v>
      </c>
    </row>
    <row r="245" spans="1:8" ht="16.5" customHeight="1" x14ac:dyDescent="0.25">
      <c r="A245" s="43" t="s">
        <v>133</v>
      </c>
      <c r="B245" s="43"/>
      <c r="C245" s="43"/>
      <c r="D245" s="43"/>
      <c r="E245" s="43"/>
      <c r="F245" s="43"/>
      <c r="G245" s="43"/>
      <c r="H245" s="43" t="e">
        <f t="shared" si="1"/>
        <v>#DIV/0!</v>
      </c>
    </row>
    <row r="246" spans="1:8" ht="16.5" customHeight="1" x14ac:dyDescent="0.25"/>
    <row r="247" spans="1:8" ht="27.75" hidden="1" customHeight="1" x14ac:dyDescent="0.25">
      <c r="A247" s="498" t="s">
        <v>142</v>
      </c>
      <c r="B247" s="498"/>
      <c r="C247" s="498"/>
      <c r="D247" s="498"/>
      <c r="E247" s="498"/>
      <c r="F247" s="498"/>
      <c r="G247" s="498"/>
      <c r="H247" s="498"/>
    </row>
    <row r="248" spans="1:8" ht="25.5" hidden="1" customHeight="1" x14ac:dyDescent="0.25">
      <c r="A248" s="175" t="s">
        <v>62</v>
      </c>
      <c r="B248" s="42" t="s">
        <v>121</v>
      </c>
      <c r="C248" s="42" t="s">
        <v>122</v>
      </c>
      <c r="D248" s="42" t="s">
        <v>123</v>
      </c>
      <c r="E248" s="42" t="s">
        <v>124</v>
      </c>
      <c r="F248" s="42" t="s">
        <v>125</v>
      </c>
      <c r="G248" s="42" t="s">
        <v>126</v>
      </c>
      <c r="H248" s="42" t="s">
        <v>127</v>
      </c>
    </row>
    <row r="249" spans="1:8" ht="16.5" hidden="1" customHeight="1" x14ac:dyDescent="0.25">
      <c r="A249" s="43" t="s">
        <v>135</v>
      </c>
      <c r="B249" s="43"/>
      <c r="C249" s="43"/>
      <c r="D249" s="43"/>
      <c r="E249" s="43"/>
      <c r="F249" s="43"/>
      <c r="G249" s="43"/>
      <c r="H249" s="43" t="e">
        <f>G249/E249</f>
        <v>#DIV/0!</v>
      </c>
    </row>
    <row r="250" spans="1:8" ht="16.5" hidden="1" customHeight="1" x14ac:dyDescent="0.25">
      <c r="A250" s="43" t="s">
        <v>136</v>
      </c>
      <c r="B250" s="43"/>
      <c r="C250" s="43"/>
      <c r="D250" s="43"/>
      <c r="E250" s="43"/>
      <c r="F250" s="43"/>
      <c r="G250" s="43"/>
      <c r="H250" s="43" t="e">
        <f t="shared" ref="H250:H260" si="2">G250/E250</f>
        <v>#DIV/0!</v>
      </c>
    </row>
    <row r="251" spans="1:8" ht="16.5" hidden="1" customHeight="1" x14ac:dyDescent="0.25">
      <c r="A251" s="43" t="s">
        <v>137</v>
      </c>
      <c r="B251" s="43"/>
      <c r="C251" s="43"/>
      <c r="D251" s="43"/>
      <c r="E251" s="43"/>
      <c r="F251" s="43"/>
      <c r="G251" s="43"/>
      <c r="H251" s="43" t="e">
        <f t="shared" si="2"/>
        <v>#DIV/0!</v>
      </c>
    </row>
    <row r="252" spans="1:8" ht="16.5" hidden="1" customHeight="1" x14ac:dyDescent="0.25">
      <c r="A252" s="43" t="s">
        <v>138</v>
      </c>
      <c r="B252" s="43"/>
      <c r="C252" s="43"/>
      <c r="D252" s="43"/>
      <c r="E252" s="43"/>
      <c r="F252" s="43"/>
      <c r="G252" s="43"/>
      <c r="H252" s="43" t="e">
        <f t="shared" si="2"/>
        <v>#DIV/0!</v>
      </c>
    </row>
    <row r="253" spans="1:8" ht="16.5" hidden="1" customHeight="1" x14ac:dyDescent="0.25">
      <c r="A253" s="43" t="s">
        <v>139</v>
      </c>
      <c r="B253" s="43"/>
      <c r="C253" s="43"/>
      <c r="D253" s="43"/>
      <c r="E253" s="43"/>
      <c r="F253" s="43"/>
      <c r="G253" s="43"/>
      <c r="H253" s="43" t="e">
        <f t="shared" si="2"/>
        <v>#DIV/0!</v>
      </c>
    </row>
    <row r="254" spans="1:8" ht="16.5" hidden="1" customHeight="1" x14ac:dyDescent="0.25">
      <c r="A254" s="43" t="s">
        <v>140</v>
      </c>
      <c r="B254" s="43"/>
      <c r="C254" s="43"/>
      <c r="D254" s="43"/>
      <c r="E254" s="43"/>
      <c r="F254" s="43"/>
      <c r="G254" s="43"/>
      <c r="H254" s="43" t="e">
        <f t="shared" si="2"/>
        <v>#DIV/0!</v>
      </c>
    </row>
    <row r="255" spans="1:8" ht="16.5" hidden="1" customHeight="1" x14ac:dyDescent="0.25">
      <c r="A255" s="43" t="s">
        <v>128</v>
      </c>
      <c r="B255" s="43"/>
      <c r="C255" s="43"/>
      <c r="D255" s="43"/>
      <c r="E255" s="43"/>
      <c r="F255" s="43"/>
      <c r="G255" s="43"/>
      <c r="H255" s="43" t="e">
        <f t="shared" si="2"/>
        <v>#DIV/0!</v>
      </c>
    </row>
    <row r="256" spans="1:8" ht="16.5" hidden="1" customHeight="1" x14ac:dyDescent="0.25">
      <c r="A256" s="43" t="s">
        <v>129</v>
      </c>
      <c r="B256" s="43"/>
      <c r="C256" s="43"/>
      <c r="D256" s="43"/>
      <c r="E256" s="43"/>
      <c r="F256" s="43"/>
      <c r="G256" s="43"/>
      <c r="H256" s="43" t="e">
        <f t="shared" si="2"/>
        <v>#DIV/0!</v>
      </c>
    </row>
    <row r="257" spans="1:8" ht="16.5" hidden="1" customHeight="1" x14ac:dyDescent="0.25">
      <c r="A257" s="43" t="s">
        <v>130</v>
      </c>
      <c r="B257" s="43"/>
      <c r="C257" s="43"/>
      <c r="D257" s="43"/>
      <c r="E257" s="43"/>
      <c r="F257" s="43"/>
      <c r="G257" s="43"/>
      <c r="H257" s="43" t="e">
        <f t="shared" si="2"/>
        <v>#DIV/0!</v>
      </c>
    </row>
    <row r="258" spans="1:8" ht="16.5" hidden="1" customHeight="1" x14ac:dyDescent="0.25">
      <c r="A258" s="43" t="s">
        <v>131</v>
      </c>
      <c r="B258" s="43"/>
      <c r="C258" s="43"/>
      <c r="D258" s="43"/>
      <c r="E258" s="43"/>
      <c r="F258" s="43"/>
      <c r="G258" s="43"/>
      <c r="H258" s="43" t="e">
        <f t="shared" si="2"/>
        <v>#DIV/0!</v>
      </c>
    </row>
    <row r="259" spans="1:8" ht="16.5" hidden="1" customHeight="1" x14ac:dyDescent="0.25">
      <c r="A259" s="43" t="s">
        <v>132</v>
      </c>
      <c r="B259" s="43"/>
      <c r="C259" s="43"/>
      <c r="D259" s="43"/>
      <c r="E259" s="43"/>
      <c r="F259" s="43"/>
      <c r="G259" s="43"/>
      <c r="H259" s="43" t="e">
        <f t="shared" si="2"/>
        <v>#DIV/0!</v>
      </c>
    </row>
    <row r="260" spans="1:8" ht="16.5" hidden="1" customHeight="1" x14ac:dyDescent="0.25">
      <c r="A260" s="43" t="s">
        <v>133</v>
      </c>
      <c r="B260" s="43"/>
      <c r="C260" s="43"/>
      <c r="D260" s="43"/>
      <c r="E260" s="43"/>
      <c r="F260" s="43"/>
      <c r="G260" s="43"/>
      <c r="H260" s="43" t="e">
        <f t="shared" si="2"/>
        <v>#DIV/0!</v>
      </c>
    </row>
    <row r="261" spans="1:8" ht="16.5" hidden="1" customHeight="1" x14ac:dyDescent="0.25"/>
    <row r="262" spans="1:8" ht="23.25" hidden="1" customHeight="1" x14ac:dyDescent="0.25">
      <c r="A262" s="498" t="s">
        <v>143</v>
      </c>
      <c r="B262" s="498"/>
      <c r="C262" s="498"/>
      <c r="D262" s="498"/>
      <c r="E262" s="498"/>
      <c r="F262" s="498"/>
      <c r="G262" s="498"/>
      <c r="H262" s="498"/>
    </row>
    <row r="263" spans="1:8" ht="25.5" hidden="1" customHeight="1" x14ac:dyDescent="0.25">
      <c r="A263" s="175" t="s">
        <v>63</v>
      </c>
      <c r="B263" s="42" t="s">
        <v>121</v>
      </c>
      <c r="C263" s="42" t="s">
        <v>122</v>
      </c>
      <c r="D263" s="42" t="s">
        <v>123</v>
      </c>
      <c r="E263" s="42" t="s">
        <v>124</v>
      </c>
      <c r="F263" s="42" t="s">
        <v>125</v>
      </c>
      <c r="G263" s="42" t="s">
        <v>126</v>
      </c>
      <c r="H263" s="42" t="s">
        <v>127</v>
      </c>
    </row>
    <row r="264" spans="1:8" ht="16.5" hidden="1" customHeight="1" x14ac:dyDescent="0.25">
      <c r="A264" s="43" t="s">
        <v>135</v>
      </c>
      <c r="B264" s="43"/>
      <c r="C264" s="43"/>
      <c r="D264" s="43"/>
      <c r="E264" s="43"/>
      <c r="F264" s="43"/>
      <c r="G264" s="43"/>
      <c r="H264" s="43" t="e">
        <f>G264/E264</f>
        <v>#DIV/0!</v>
      </c>
    </row>
    <row r="265" spans="1:8" ht="16.5" hidden="1" customHeight="1" x14ac:dyDescent="0.25">
      <c r="A265" s="43" t="s">
        <v>136</v>
      </c>
      <c r="B265" s="43"/>
      <c r="C265" s="43"/>
      <c r="D265" s="43"/>
      <c r="E265" s="43"/>
      <c r="F265" s="43"/>
      <c r="G265" s="43"/>
      <c r="H265" s="43" t="e">
        <f t="shared" ref="H265:H275" si="3">G265/E265</f>
        <v>#DIV/0!</v>
      </c>
    </row>
    <row r="266" spans="1:8" ht="16.5" hidden="1" customHeight="1" x14ac:dyDescent="0.25">
      <c r="A266" s="43" t="s">
        <v>137</v>
      </c>
      <c r="B266" s="43"/>
      <c r="C266" s="43"/>
      <c r="D266" s="43"/>
      <c r="E266" s="43"/>
      <c r="F266" s="43"/>
      <c r="G266" s="43"/>
      <c r="H266" s="43" t="e">
        <f t="shared" si="3"/>
        <v>#DIV/0!</v>
      </c>
    </row>
    <row r="267" spans="1:8" ht="16.5" hidden="1" customHeight="1" x14ac:dyDescent="0.25">
      <c r="A267" s="43" t="s">
        <v>138</v>
      </c>
      <c r="B267" s="43"/>
      <c r="C267" s="43"/>
      <c r="D267" s="43"/>
      <c r="E267" s="43"/>
      <c r="F267" s="43"/>
      <c r="G267" s="43"/>
      <c r="H267" s="43" t="e">
        <f t="shared" si="3"/>
        <v>#DIV/0!</v>
      </c>
    </row>
    <row r="268" spans="1:8" ht="16.5" hidden="1" customHeight="1" x14ac:dyDescent="0.25">
      <c r="A268" s="43" t="s">
        <v>139</v>
      </c>
      <c r="B268" s="43"/>
      <c r="C268" s="43"/>
      <c r="D268" s="43"/>
      <c r="E268" s="43"/>
      <c r="F268" s="43"/>
      <c r="G268" s="43"/>
      <c r="H268" s="43" t="e">
        <f t="shared" si="3"/>
        <v>#DIV/0!</v>
      </c>
    </row>
    <row r="269" spans="1:8" ht="16.5" hidden="1" customHeight="1" x14ac:dyDescent="0.25">
      <c r="A269" s="43" t="s">
        <v>140</v>
      </c>
      <c r="B269" s="43"/>
      <c r="C269" s="43"/>
      <c r="D269" s="43"/>
      <c r="E269" s="43"/>
      <c r="F269" s="43"/>
      <c r="G269" s="43"/>
      <c r="H269" s="43" t="e">
        <f t="shared" si="3"/>
        <v>#DIV/0!</v>
      </c>
    </row>
    <row r="270" spans="1:8" ht="16.5" hidden="1" customHeight="1" x14ac:dyDescent="0.25">
      <c r="A270" s="43" t="s">
        <v>128</v>
      </c>
      <c r="B270" s="43"/>
      <c r="C270" s="43"/>
      <c r="D270" s="43"/>
      <c r="E270" s="43"/>
      <c r="F270" s="43"/>
      <c r="G270" s="43"/>
      <c r="H270" s="43" t="e">
        <f t="shared" si="3"/>
        <v>#DIV/0!</v>
      </c>
    </row>
    <row r="271" spans="1:8" ht="16.5" hidden="1" customHeight="1" x14ac:dyDescent="0.25">
      <c r="A271" s="43" t="s">
        <v>129</v>
      </c>
      <c r="B271" s="43"/>
      <c r="C271" s="43"/>
      <c r="D271" s="43"/>
      <c r="E271" s="43"/>
      <c r="F271" s="43"/>
      <c r="G271" s="43"/>
      <c r="H271" s="43" t="e">
        <f t="shared" si="3"/>
        <v>#DIV/0!</v>
      </c>
    </row>
    <row r="272" spans="1:8" ht="16.5" hidden="1" customHeight="1" x14ac:dyDescent="0.25">
      <c r="A272" s="43" t="s">
        <v>130</v>
      </c>
      <c r="B272" s="43"/>
      <c r="C272" s="43"/>
      <c r="D272" s="43"/>
      <c r="E272" s="43"/>
      <c r="F272" s="43"/>
      <c r="G272" s="43"/>
      <c r="H272" s="43" t="e">
        <f t="shared" si="3"/>
        <v>#DIV/0!</v>
      </c>
    </row>
    <row r="273" spans="1:12" ht="16.5" hidden="1" customHeight="1" x14ac:dyDescent="0.25">
      <c r="A273" s="43" t="s">
        <v>131</v>
      </c>
      <c r="B273" s="43"/>
      <c r="C273" s="43"/>
      <c r="D273" s="43"/>
      <c r="E273" s="43"/>
      <c r="F273" s="43"/>
      <c r="G273" s="43"/>
      <c r="H273" s="43" t="e">
        <f t="shared" si="3"/>
        <v>#DIV/0!</v>
      </c>
    </row>
    <row r="274" spans="1:12" ht="16.5" hidden="1" customHeight="1" x14ac:dyDescent="0.25">
      <c r="A274" s="43" t="s">
        <v>132</v>
      </c>
      <c r="B274" s="43"/>
      <c r="C274" s="43"/>
      <c r="D274" s="43"/>
      <c r="E274" s="43"/>
      <c r="F274" s="43"/>
      <c r="G274" s="43"/>
      <c r="H274" s="43" t="e">
        <f t="shared" si="3"/>
        <v>#DIV/0!</v>
      </c>
    </row>
    <row r="275" spans="1:12" ht="16.5" hidden="1" customHeight="1" x14ac:dyDescent="0.25">
      <c r="A275" s="43" t="s">
        <v>133</v>
      </c>
      <c r="B275" s="43"/>
      <c r="C275" s="43"/>
      <c r="D275" s="43"/>
      <c r="E275" s="43"/>
      <c r="F275" s="43"/>
      <c r="G275" s="43"/>
      <c r="H275" s="43" t="e">
        <f t="shared" si="3"/>
        <v>#DIV/0!</v>
      </c>
    </row>
    <row r="276" spans="1:12" ht="16.5" customHeight="1" x14ac:dyDescent="0.25"/>
    <row r="277" spans="1:12" s="48" customFormat="1" ht="31.15" customHeight="1" x14ac:dyDescent="0.25">
      <c r="A277" s="494" t="s">
        <v>144</v>
      </c>
      <c r="B277" s="495"/>
      <c r="C277" s="495"/>
      <c r="D277" s="495"/>
      <c r="E277" s="495"/>
      <c r="F277" s="495"/>
      <c r="G277" s="495"/>
      <c r="H277" s="495"/>
      <c r="I277" s="495"/>
      <c r="J277" s="495"/>
      <c r="K277" s="495"/>
      <c r="L277" s="496"/>
    </row>
    <row r="278" spans="1:12" s="48" customFormat="1" ht="44.25" customHeight="1" x14ac:dyDescent="0.25">
      <c r="A278" s="175" t="s">
        <v>48</v>
      </c>
      <c r="B278" s="42" t="s">
        <v>145</v>
      </c>
      <c r="C278" s="42" t="s">
        <v>146</v>
      </c>
      <c r="D278" s="42" t="s">
        <v>147</v>
      </c>
      <c r="E278" s="42" t="s">
        <v>148</v>
      </c>
      <c r="F278" s="42" t="s">
        <v>149</v>
      </c>
      <c r="G278" s="42" t="s">
        <v>150</v>
      </c>
      <c r="H278" s="42" t="s">
        <v>151</v>
      </c>
      <c r="I278" s="238" t="s">
        <v>152</v>
      </c>
      <c r="J278" s="42" t="s">
        <v>153</v>
      </c>
      <c r="K278" s="42" t="s">
        <v>154</v>
      </c>
      <c r="L278" s="42" t="s">
        <v>155</v>
      </c>
    </row>
    <row r="279" spans="1:12" s="186" customFormat="1" ht="49.9" customHeight="1" outlineLevel="1" x14ac:dyDescent="0.25">
      <c r="A279" s="482" t="s">
        <v>128</v>
      </c>
      <c r="B279" s="482" t="s">
        <v>365</v>
      </c>
      <c r="C279" s="482" t="s">
        <v>366</v>
      </c>
      <c r="D279" s="482" t="s">
        <v>367</v>
      </c>
      <c r="E279" s="482" t="s">
        <v>368</v>
      </c>
      <c r="F279" s="478">
        <v>0.45</v>
      </c>
      <c r="G279" s="177" t="s">
        <v>319</v>
      </c>
      <c r="H279" s="185">
        <v>1</v>
      </c>
      <c r="I279" s="239">
        <v>0</v>
      </c>
      <c r="J279" s="177">
        <v>0</v>
      </c>
      <c r="K279" s="177" t="e">
        <f>J279/I279</f>
        <v>#DIV/0!</v>
      </c>
      <c r="L279" s="177" t="s">
        <v>369</v>
      </c>
    </row>
    <row r="280" spans="1:12" s="186" customFormat="1" ht="49.9" customHeight="1" outlineLevel="1" x14ac:dyDescent="0.25">
      <c r="A280" s="482"/>
      <c r="B280" s="482"/>
      <c r="C280" s="482"/>
      <c r="D280" s="482"/>
      <c r="E280" s="482"/>
      <c r="F280" s="478"/>
      <c r="G280" s="177" t="s">
        <v>332</v>
      </c>
      <c r="H280" s="187">
        <v>4</v>
      </c>
      <c r="I280" s="239">
        <v>0</v>
      </c>
      <c r="J280" s="177">
        <v>0</v>
      </c>
      <c r="K280" s="177" t="e">
        <f>J280/I280</f>
        <v>#DIV/0!</v>
      </c>
      <c r="L280" s="177" t="s">
        <v>370</v>
      </c>
    </row>
    <row r="281" spans="1:12" s="186" customFormat="1" ht="49.9" customHeight="1" outlineLevel="1" x14ac:dyDescent="0.25">
      <c r="A281" s="482"/>
      <c r="B281" s="482"/>
      <c r="C281" s="482"/>
      <c r="D281" s="482"/>
      <c r="E281" s="482"/>
      <c r="F281" s="478"/>
      <c r="G281" s="177" t="s">
        <v>333</v>
      </c>
      <c r="H281" s="187">
        <v>1</v>
      </c>
      <c r="I281" s="239">
        <v>0</v>
      </c>
      <c r="J281" s="177">
        <v>0</v>
      </c>
      <c r="K281" s="177" t="e">
        <f>J281/I281</f>
        <v>#DIV/0!</v>
      </c>
      <c r="L281" s="177" t="s">
        <v>371</v>
      </c>
    </row>
    <row r="282" spans="1:12" s="186" customFormat="1" ht="49.9" customHeight="1" outlineLevel="1" x14ac:dyDescent="0.25">
      <c r="A282" s="482"/>
      <c r="B282" s="177" t="s">
        <v>372</v>
      </c>
      <c r="C282" s="177" t="s">
        <v>373</v>
      </c>
      <c r="D282" s="177" t="s">
        <v>374</v>
      </c>
      <c r="E282" s="177" t="s">
        <v>265</v>
      </c>
      <c r="F282" s="185">
        <v>0.15</v>
      </c>
      <c r="G282" s="177" t="s">
        <v>267</v>
      </c>
      <c r="H282" s="188">
        <v>426</v>
      </c>
      <c r="I282" s="239">
        <v>0</v>
      </c>
      <c r="J282" s="177">
        <v>0</v>
      </c>
      <c r="K282" s="177" t="e">
        <f t="shared" ref="K282:K312" si="4">J282/I282</f>
        <v>#DIV/0!</v>
      </c>
      <c r="L282" s="177" t="s">
        <v>375</v>
      </c>
    </row>
    <row r="283" spans="1:12" s="186" customFormat="1" ht="49.9" customHeight="1" outlineLevel="1" x14ac:dyDescent="0.25">
      <c r="A283" s="482"/>
      <c r="B283" s="177" t="s">
        <v>376</v>
      </c>
      <c r="C283" s="177" t="s">
        <v>377</v>
      </c>
      <c r="D283" s="177" t="s">
        <v>378</v>
      </c>
      <c r="E283" s="177" t="s">
        <v>265</v>
      </c>
      <c r="F283" s="185">
        <v>0.15</v>
      </c>
      <c r="G283" s="177" t="s">
        <v>268</v>
      </c>
      <c r="H283" s="185">
        <v>1</v>
      </c>
      <c r="I283" s="239">
        <v>0</v>
      </c>
      <c r="J283" s="177">
        <v>0</v>
      </c>
      <c r="K283" s="177" t="e">
        <f t="shared" si="4"/>
        <v>#DIV/0!</v>
      </c>
      <c r="L283" s="177" t="s">
        <v>379</v>
      </c>
    </row>
    <row r="284" spans="1:12" s="186" customFormat="1" ht="49.9" customHeight="1" outlineLevel="1" x14ac:dyDescent="0.25">
      <c r="A284" s="482"/>
      <c r="B284" s="482" t="s">
        <v>380</v>
      </c>
      <c r="C284" s="482" t="s">
        <v>381</v>
      </c>
      <c r="D284" s="482" t="s">
        <v>382</v>
      </c>
      <c r="E284" s="482" t="s">
        <v>368</v>
      </c>
      <c r="F284" s="478">
        <v>0.25</v>
      </c>
      <c r="G284" s="177" t="s">
        <v>263</v>
      </c>
      <c r="H284" s="188">
        <v>234</v>
      </c>
      <c r="I284" s="239">
        <v>0</v>
      </c>
      <c r="J284" s="177">
        <v>0</v>
      </c>
      <c r="K284" s="177" t="e">
        <f>J284/I284</f>
        <v>#DIV/0!</v>
      </c>
      <c r="L284" s="177" t="s">
        <v>383</v>
      </c>
    </row>
    <row r="285" spans="1:12" s="186" customFormat="1" ht="49.9" customHeight="1" outlineLevel="1" x14ac:dyDescent="0.25">
      <c r="A285" s="482"/>
      <c r="B285" s="482"/>
      <c r="C285" s="482"/>
      <c r="D285" s="482"/>
      <c r="E285" s="482"/>
      <c r="F285" s="478"/>
      <c r="G285" s="177" t="s">
        <v>325</v>
      </c>
      <c r="H285" s="185">
        <v>1</v>
      </c>
      <c r="I285" s="239">
        <v>0</v>
      </c>
      <c r="J285" s="177">
        <v>0</v>
      </c>
      <c r="K285" s="177" t="e">
        <f>J285/I285</f>
        <v>#DIV/0!</v>
      </c>
      <c r="L285" s="177" t="s">
        <v>384</v>
      </c>
    </row>
    <row r="286" spans="1:12" s="190" customFormat="1" ht="49.9" customHeight="1" outlineLevel="1" x14ac:dyDescent="0.2">
      <c r="A286" s="486" t="s">
        <v>129</v>
      </c>
      <c r="B286" s="482" t="s">
        <v>365</v>
      </c>
      <c r="C286" s="482" t="s">
        <v>366</v>
      </c>
      <c r="D286" s="482" t="s">
        <v>367</v>
      </c>
      <c r="E286" s="482" t="s">
        <v>368</v>
      </c>
      <c r="F286" s="478">
        <v>0.45</v>
      </c>
      <c r="G286" s="177" t="s">
        <v>319</v>
      </c>
      <c r="H286" s="185">
        <v>1</v>
      </c>
      <c r="I286" s="240">
        <v>0</v>
      </c>
      <c r="J286" s="174">
        <v>0</v>
      </c>
      <c r="K286" s="177" t="e">
        <f>J286/I286</f>
        <v>#DIV/0!</v>
      </c>
      <c r="L286" s="189" t="s">
        <v>385</v>
      </c>
    </row>
    <row r="287" spans="1:12" s="190" customFormat="1" ht="49.9" customHeight="1" outlineLevel="1" x14ac:dyDescent="0.2">
      <c r="A287" s="486"/>
      <c r="B287" s="482"/>
      <c r="C287" s="482"/>
      <c r="D287" s="482"/>
      <c r="E287" s="482"/>
      <c r="F287" s="478"/>
      <c r="G287" s="177" t="s">
        <v>332</v>
      </c>
      <c r="H287" s="187">
        <v>4</v>
      </c>
      <c r="I287" s="240">
        <v>0</v>
      </c>
      <c r="J287" s="174">
        <v>0</v>
      </c>
      <c r="K287" s="177" t="e">
        <f>J287/I287</f>
        <v>#DIV/0!</v>
      </c>
      <c r="L287" s="189" t="s">
        <v>386</v>
      </c>
    </row>
    <row r="288" spans="1:12" s="190" customFormat="1" ht="49.9" customHeight="1" outlineLevel="1" x14ac:dyDescent="0.2">
      <c r="A288" s="486"/>
      <c r="B288" s="482"/>
      <c r="C288" s="482"/>
      <c r="D288" s="482"/>
      <c r="E288" s="482"/>
      <c r="F288" s="478"/>
      <c r="G288" s="177" t="s">
        <v>333</v>
      </c>
      <c r="H288" s="187">
        <v>1</v>
      </c>
      <c r="I288" s="240">
        <v>0</v>
      </c>
      <c r="J288" s="174">
        <v>0</v>
      </c>
      <c r="K288" s="177" t="e">
        <f>J288/I288</f>
        <v>#DIV/0!</v>
      </c>
      <c r="L288" s="189" t="s">
        <v>387</v>
      </c>
    </row>
    <row r="289" spans="1:12" s="190" customFormat="1" ht="49.9" customHeight="1" outlineLevel="1" x14ac:dyDescent="0.2">
      <c r="A289" s="486"/>
      <c r="B289" s="177" t="s">
        <v>372</v>
      </c>
      <c r="C289" s="177" t="s">
        <v>373</v>
      </c>
      <c r="D289" s="177" t="s">
        <v>374</v>
      </c>
      <c r="E289" s="177" t="s">
        <v>265</v>
      </c>
      <c r="F289" s="185">
        <v>0.15</v>
      </c>
      <c r="G289" s="177" t="s">
        <v>267</v>
      </c>
      <c r="H289" s="188">
        <v>426</v>
      </c>
      <c r="I289" s="240">
        <v>0</v>
      </c>
      <c r="J289" s="174">
        <v>0</v>
      </c>
      <c r="K289" s="177" t="e">
        <f t="shared" si="4"/>
        <v>#DIV/0!</v>
      </c>
      <c r="L289" s="189" t="s">
        <v>388</v>
      </c>
    </row>
    <row r="290" spans="1:12" s="190" customFormat="1" ht="49.9" customHeight="1" outlineLevel="1" x14ac:dyDescent="0.2">
      <c r="A290" s="486"/>
      <c r="B290" s="177" t="s">
        <v>376</v>
      </c>
      <c r="C290" s="177" t="s">
        <v>377</v>
      </c>
      <c r="D290" s="177" t="s">
        <v>378</v>
      </c>
      <c r="E290" s="177" t="s">
        <v>265</v>
      </c>
      <c r="F290" s="185">
        <v>0.15</v>
      </c>
      <c r="G290" s="177" t="s">
        <v>268</v>
      </c>
      <c r="H290" s="185">
        <v>1</v>
      </c>
      <c r="I290" s="240">
        <v>0</v>
      </c>
      <c r="J290" s="174">
        <v>0</v>
      </c>
      <c r="K290" s="177" t="e">
        <f t="shared" si="4"/>
        <v>#DIV/0!</v>
      </c>
      <c r="L290" s="189" t="s">
        <v>389</v>
      </c>
    </row>
    <row r="291" spans="1:12" s="190" customFormat="1" ht="49.9" customHeight="1" outlineLevel="1" x14ac:dyDescent="0.2">
      <c r="A291" s="486"/>
      <c r="B291" s="482" t="s">
        <v>380</v>
      </c>
      <c r="C291" s="482" t="s">
        <v>381</v>
      </c>
      <c r="D291" s="482" t="s">
        <v>382</v>
      </c>
      <c r="E291" s="482" t="s">
        <v>368</v>
      </c>
      <c r="F291" s="478">
        <v>0.25</v>
      </c>
      <c r="G291" s="177" t="s">
        <v>263</v>
      </c>
      <c r="H291" s="188">
        <v>234</v>
      </c>
      <c r="I291" s="240">
        <v>0</v>
      </c>
      <c r="J291" s="174">
        <v>0</v>
      </c>
      <c r="K291" s="177" t="e">
        <f>J291/I291</f>
        <v>#DIV/0!</v>
      </c>
      <c r="L291" s="189" t="s">
        <v>390</v>
      </c>
    </row>
    <row r="292" spans="1:12" s="190" customFormat="1" ht="49.9" customHeight="1" outlineLevel="1" x14ac:dyDescent="0.2">
      <c r="A292" s="486"/>
      <c r="B292" s="482"/>
      <c r="C292" s="482"/>
      <c r="D292" s="482"/>
      <c r="E292" s="482"/>
      <c r="F292" s="478"/>
      <c r="G292" s="177" t="s">
        <v>325</v>
      </c>
      <c r="H292" s="185">
        <v>1</v>
      </c>
      <c r="I292" s="240">
        <v>0</v>
      </c>
      <c r="J292" s="174">
        <v>0</v>
      </c>
      <c r="K292" s="177" t="e">
        <f>J292/I292</f>
        <v>#DIV/0!</v>
      </c>
      <c r="L292" s="189" t="s">
        <v>391</v>
      </c>
    </row>
    <row r="293" spans="1:12" s="190" customFormat="1" ht="49.9" customHeight="1" outlineLevel="1" x14ac:dyDescent="0.2">
      <c r="A293" s="486" t="s">
        <v>130</v>
      </c>
      <c r="B293" s="482" t="s">
        <v>365</v>
      </c>
      <c r="C293" s="482" t="s">
        <v>366</v>
      </c>
      <c r="D293" s="482" t="s">
        <v>367</v>
      </c>
      <c r="E293" s="482" t="s">
        <v>368</v>
      </c>
      <c r="F293" s="478">
        <v>0.45</v>
      </c>
      <c r="G293" s="177" t="s">
        <v>319</v>
      </c>
      <c r="H293" s="185">
        <v>1</v>
      </c>
      <c r="I293" s="240">
        <v>0</v>
      </c>
      <c r="J293" s="174">
        <v>0</v>
      </c>
      <c r="K293" s="177" t="e">
        <f>J293/I293</f>
        <v>#DIV/0!</v>
      </c>
      <c r="L293" s="189" t="s">
        <v>392</v>
      </c>
    </row>
    <row r="294" spans="1:12" s="190" customFormat="1" ht="49.9" customHeight="1" outlineLevel="1" x14ac:dyDescent="0.2">
      <c r="A294" s="486"/>
      <c r="B294" s="482"/>
      <c r="C294" s="482"/>
      <c r="D294" s="482"/>
      <c r="E294" s="482"/>
      <c r="F294" s="478"/>
      <c r="G294" s="177" t="s">
        <v>332</v>
      </c>
      <c r="H294" s="187">
        <v>4</v>
      </c>
      <c r="I294" s="240">
        <v>0</v>
      </c>
      <c r="J294" s="174">
        <v>0</v>
      </c>
      <c r="K294" s="177" t="e">
        <f>J294/I294</f>
        <v>#DIV/0!</v>
      </c>
      <c r="L294" s="189" t="s">
        <v>393</v>
      </c>
    </row>
    <row r="295" spans="1:12" s="190" customFormat="1" ht="49.9" customHeight="1" outlineLevel="1" x14ac:dyDescent="0.2">
      <c r="A295" s="486"/>
      <c r="B295" s="482"/>
      <c r="C295" s="482"/>
      <c r="D295" s="482"/>
      <c r="E295" s="482"/>
      <c r="F295" s="478"/>
      <c r="G295" s="177" t="s">
        <v>333</v>
      </c>
      <c r="H295" s="187">
        <v>1</v>
      </c>
      <c r="I295" s="240">
        <v>0</v>
      </c>
      <c r="J295" s="174">
        <v>0</v>
      </c>
      <c r="K295" s="177" t="e">
        <f>J295/I295</f>
        <v>#DIV/0!</v>
      </c>
      <c r="L295" s="189" t="s">
        <v>394</v>
      </c>
    </row>
    <row r="296" spans="1:12" s="190" customFormat="1" ht="49.9" customHeight="1" outlineLevel="1" x14ac:dyDescent="0.2">
      <c r="A296" s="486"/>
      <c r="B296" s="177" t="s">
        <v>372</v>
      </c>
      <c r="C296" s="177" t="s">
        <v>373</v>
      </c>
      <c r="D296" s="177" t="s">
        <v>374</v>
      </c>
      <c r="E296" s="177" t="s">
        <v>265</v>
      </c>
      <c r="F296" s="185">
        <v>0.15</v>
      </c>
      <c r="G296" s="177" t="s">
        <v>267</v>
      </c>
      <c r="H296" s="188">
        <v>426</v>
      </c>
      <c r="I296" s="240">
        <v>0</v>
      </c>
      <c r="J296" s="174">
        <v>0</v>
      </c>
      <c r="K296" s="177" t="e">
        <f t="shared" si="4"/>
        <v>#DIV/0!</v>
      </c>
      <c r="L296" s="189" t="s">
        <v>395</v>
      </c>
    </row>
    <row r="297" spans="1:12" s="190" customFormat="1" ht="49.9" customHeight="1" outlineLevel="1" x14ac:dyDescent="0.2">
      <c r="A297" s="486"/>
      <c r="B297" s="177" t="s">
        <v>376</v>
      </c>
      <c r="C297" s="177" t="s">
        <v>377</v>
      </c>
      <c r="D297" s="177" t="s">
        <v>378</v>
      </c>
      <c r="E297" s="177" t="s">
        <v>265</v>
      </c>
      <c r="F297" s="185">
        <v>0.15</v>
      </c>
      <c r="G297" s="177" t="s">
        <v>268</v>
      </c>
      <c r="H297" s="185">
        <v>1</v>
      </c>
      <c r="I297" s="240">
        <v>0</v>
      </c>
      <c r="J297" s="174">
        <v>0</v>
      </c>
      <c r="K297" s="177" t="e">
        <f t="shared" si="4"/>
        <v>#DIV/0!</v>
      </c>
      <c r="L297" s="189" t="s">
        <v>396</v>
      </c>
    </row>
    <row r="298" spans="1:12" s="190" customFormat="1" ht="49.9" customHeight="1" outlineLevel="1" x14ac:dyDescent="0.2">
      <c r="A298" s="486"/>
      <c r="B298" s="482" t="s">
        <v>380</v>
      </c>
      <c r="C298" s="482" t="s">
        <v>381</v>
      </c>
      <c r="D298" s="482" t="s">
        <v>382</v>
      </c>
      <c r="E298" s="482" t="s">
        <v>368</v>
      </c>
      <c r="F298" s="478">
        <v>0.25</v>
      </c>
      <c r="G298" s="177" t="s">
        <v>263</v>
      </c>
      <c r="H298" s="188">
        <v>234</v>
      </c>
      <c r="I298" s="240">
        <v>0</v>
      </c>
      <c r="J298" s="174">
        <v>0</v>
      </c>
      <c r="K298" s="177" t="e">
        <f>J298/I298</f>
        <v>#DIV/0!</v>
      </c>
      <c r="L298" s="189" t="s">
        <v>397</v>
      </c>
    </row>
    <row r="299" spans="1:12" s="190" customFormat="1" ht="49.9" customHeight="1" outlineLevel="1" x14ac:dyDescent="0.2">
      <c r="A299" s="486"/>
      <c r="B299" s="482"/>
      <c r="C299" s="482"/>
      <c r="D299" s="482"/>
      <c r="E299" s="482"/>
      <c r="F299" s="478"/>
      <c r="G299" s="177" t="s">
        <v>325</v>
      </c>
      <c r="H299" s="185">
        <v>1</v>
      </c>
      <c r="I299" s="240">
        <v>0</v>
      </c>
      <c r="J299" s="174">
        <v>0</v>
      </c>
      <c r="K299" s="177" t="e">
        <f>J299/I299</f>
        <v>#DIV/0!</v>
      </c>
      <c r="L299" s="189" t="s">
        <v>398</v>
      </c>
    </row>
    <row r="300" spans="1:12" s="190" customFormat="1" ht="49.9" customHeight="1" outlineLevel="1" x14ac:dyDescent="0.2">
      <c r="A300" s="486" t="s">
        <v>131</v>
      </c>
      <c r="B300" s="482" t="s">
        <v>365</v>
      </c>
      <c r="C300" s="482" t="s">
        <v>366</v>
      </c>
      <c r="D300" s="482" t="s">
        <v>367</v>
      </c>
      <c r="E300" s="482" t="s">
        <v>368</v>
      </c>
      <c r="F300" s="478">
        <v>0.45</v>
      </c>
      <c r="G300" s="177" t="s">
        <v>319</v>
      </c>
      <c r="H300" s="185">
        <v>1</v>
      </c>
      <c r="I300" s="240">
        <v>0</v>
      </c>
      <c r="J300" s="174">
        <v>0</v>
      </c>
      <c r="K300" s="177" t="e">
        <f>J300/I300</f>
        <v>#DIV/0!</v>
      </c>
      <c r="L300" s="189" t="s">
        <v>427</v>
      </c>
    </row>
    <row r="301" spans="1:12" s="190" customFormat="1" ht="49.9" customHeight="1" outlineLevel="1" x14ac:dyDescent="0.2">
      <c r="A301" s="486"/>
      <c r="B301" s="482"/>
      <c r="C301" s="482"/>
      <c r="D301" s="482"/>
      <c r="E301" s="482"/>
      <c r="F301" s="478"/>
      <c r="G301" s="177" t="s">
        <v>332</v>
      </c>
      <c r="H301" s="187">
        <v>4</v>
      </c>
      <c r="I301" s="240">
        <v>0</v>
      </c>
      <c r="J301" s="174">
        <v>0</v>
      </c>
      <c r="K301" s="177" t="e">
        <f>J301/I301</f>
        <v>#DIV/0!</v>
      </c>
      <c r="L301" s="189" t="s">
        <v>428</v>
      </c>
    </row>
    <row r="302" spans="1:12" s="190" customFormat="1" ht="49.9" customHeight="1" outlineLevel="1" x14ac:dyDescent="0.2">
      <c r="A302" s="486"/>
      <c r="B302" s="482"/>
      <c r="C302" s="482"/>
      <c r="D302" s="482"/>
      <c r="E302" s="482"/>
      <c r="F302" s="478"/>
      <c r="G302" s="177" t="s">
        <v>333</v>
      </c>
      <c r="H302" s="187">
        <v>1</v>
      </c>
      <c r="I302" s="240">
        <v>0</v>
      </c>
      <c r="J302" s="174">
        <v>0</v>
      </c>
      <c r="K302" s="177" t="e">
        <f>J302/I302</f>
        <v>#DIV/0!</v>
      </c>
      <c r="L302" s="189" t="s">
        <v>429</v>
      </c>
    </row>
    <row r="303" spans="1:12" s="190" customFormat="1" ht="49.9" customHeight="1" outlineLevel="1" x14ac:dyDescent="0.2">
      <c r="A303" s="486"/>
      <c r="B303" s="177" t="s">
        <v>372</v>
      </c>
      <c r="C303" s="177" t="s">
        <v>373</v>
      </c>
      <c r="D303" s="177" t="s">
        <v>374</v>
      </c>
      <c r="E303" s="177" t="s">
        <v>265</v>
      </c>
      <c r="F303" s="185">
        <v>0.15</v>
      </c>
      <c r="G303" s="177" t="s">
        <v>267</v>
      </c>
      <c r="H303" s="188">
        <v>426</v>
      </c>
      <c r="I303" s="240">
        <v>0</v>
      </c>
      <c r="J303" s="174">
        <v>0</v>
      </c>
      <c r="K303" s="177" t="e">
        <f t="shared" si="4"/>
        <v>#DIV/0!</v>
      </c>
      <c r="L303" s="189" t="s">
        <v>430</v>
      </c>
    </row>
    <row r="304" spans="1:12" s="190" customFormat="1" ht="49.9" customHeight="1" outlineLevel="1" x14ac:dyDescent="0.2">
      <c r="A304" s="486"/>
      <c r="B304" s="177" t="s">
        <v>376</v>
      </c>
      <c r="C304" s="177" t="s">
        <v>377</v>
      </c>
      <c r="D304" s="177" t="s">
        <v>378</v>
      </c>
      <c r="E304" s="177" t="s">
        <v>265</v>
      </c>
      <c r="F304" s="185">
        <v>0.15</v>
      </c>
      <c r="G304" s="177" t="s">
        <v>268</v>
      </c>
      <c r="H304" s="185">
        <v>1</v>
      </c>
      <c r="I304" s="240">
        <v>0</v>
      </c>
      <c r="J304" s="174">
        <v>0</v>
      </c>
      <c r="K304" s="177" t="e">
        <f t="shared" si="4"/>
        <v>#DIV/0!</v>
      </c>
      <c r="L304" s="189" t="s">
        <v>431</v>
      </c>
    </row>
    <row r="305" spans="1:12" s="190" customFormat="1" ht="49.9" customHeight="1" outlineLevel="1" x14ac:dyDescent="0.2">
      <c r="A305" s="486"/>
      <c r="B305" s="482" t="s">
        <v>380</v>
      </c>
      <c r="C305" s="482" t="s">
        <v>381</v>
      </c>
      <c r="D305" s="482" t="s">
        <v>382</v>
      </c>
      <c r="E305" s="482" t="s">
        <v>368</v>
      </c>
      <c r="F305" s="478">
        <v>0.25</v>
      </c>
      <c r="G305" s="177" t="s">
        <v>263</v>
      </c>
      <c r="H305" s="188">
        <v>234</v>
      </c>
      <c r="I305" s="240">
        <v>0</v>
      </c>
      <c r="J305" s="174">
        <v>0</v>
      </c>
      <c r="K305" s="177" t="e">
        <f t="shared" si="4"/>
        <v>#DIV/0!</v>
      </c>
      <c r="L305" s="189" t="s">
        <v>432</v>
      </c>
    </row>
    <row r="306" spans="1:12" s="190" customFormat="1" ht="49.9" customHeight="1" outlineLevel="1" x14ac:dyDescent="0.2">
      <c r="A306" s="486"/>
      <c r="B306" s="482"/>
      <c r="C306" s="482"/>
      <c r="D306" s="482"/>
      <c r="E306" s="482"/>
      <c r="F306" s="478"/>
      <c r="G306" s="177" t="s">
        <v>325</v>
      </c>
      <c r="H306" s="185">
        <v>1</v>
      </c>
      <c r="I306" s="240">
        <v>0</v>
      </c>
      <c r="J306" s="174">
        <v>0</v>
      </c>
      <c r="K306" s="177" t="e">
        <f t="shared" si="4"/>
        <v>#DIV/0!</v>
      </c>
      <c r="L306" s="189" t="s">
        <v>433</v>
      </c>
    </row>
    <row r="307" spans="1:12" s="190" customFormat="1" ht="49.9" customHeight="1" outlineLevel="1" x14ac:dyDescent="0.2">
      <c r="A307" s="486" t="s">
        <v>132</v>
      </c>
      <c r="B307" s="482" t="s">
        <v>365</v>
      </c>
      <c r="C307" s="482" t="s">
        <v>366</v>
      </c>
      <c r="D307" s="482" t="s">
        <v>367</v>
      </c>
      <c r="E307" s="482" t="s">
        <v>368</v>
      </c>
      <c r="F307" s="478">
        <v>0.45</v>
      </c>
      <c r="G307" s="177" t="s">
        <v>319</v>
      </c>
      <c r="H307" s="185">
        <v>1</v>
      </c>
      <c r="I307" s="240">
        <v>0</v>
      </c>
      <c r="J307" s="174">
        <v>0</v>
      </c>
      <c r="K307" s="177" t="e">
        <f t="shared" si="4"/>
        <v>#DIV/0!</v>
      </c>
      <c r="L307" s="189" t="s">
        <v>399</v>
      </c>
    </row>
    <row r="308" spans="1:12" s="190" customFormat="1" ht="49.9" customHeight="1" outlineLevel="1" x14ac:dyDescent="0.2">
      <c r="A308" s="486"/>
      <c r="B308" s="482"/>
      <c r="C308" s="482"/>
      <c r="D308" s="482"/>
      <c r="E308" s="482"/>
      <c r="F308" s="478"/>
      <c r="G308" s="177" t="s">
        <v>332</v>
      </c>
      <c r="H308" s="191">
        <v>4</v>
      </c>
      <c r="I308" s="240">
        <v>0</v>
      </c>
      <c r="J308" s="174">
        <v>0</v>
      </c>
      <c r="K308" s="177" t="e">
        <f t="shared" si="4"/>
        <v>#DIV/0!</v>
      </c>
      <c r="L308" s="189" t="s">
        <v>400</v>
      </c>
    </row>
    <row r="309" spans="1:12" s="190" customFormat="1" ht="49.9" customHeight="1" outlineLevel="1" x14ac:dyDescent="0.2">
      <c r="A309" s="486"/>
      <c r="B309" s="482"/>
      <c r="C309" s="482"/>
      <c r="D309" s="482"/>
      <c r="E309" s="482"/>
      <c r="F309" s="478"/>
      <c r="G309" s="177" t="s">
        <v>333</v>
      </c>
      <c r="H309" s="185">
        <v>1</v>
      </c>
      <c r="I309" s="240">
        <v>0</v>
      </c>
      <c r="J309" s="174">
        <v>0</v>
      </c>
      <c r="K309" s="177" t="e">
        <f t="shared" si="4"/>
        <v>#DIV/0!</v>
      </c>
      <c r="L309" s="189" t="s">
        <v>401</v>
      </c>
    </row>
    <row r="310" spans="1:12" s="190" customFormat="1" ht="49.9" customHeight="1" outlineLevel="1" x14ac:dyDescent="0.2">
      <c r="A310" s="486"/>
      <c r="B310" s="177" t="s">
        <v>372</v>
      </c>
      <c r="C310" s="177" t="s">
        <v>373</v>
      </c>
      <c r="D310" s="177" t="s">
        <v>374</v>
      </c>
      <c r="E310" s="177" t="s">
        <v>265</v>
      </c>
      <c r="F310" s="185">
        <v>0.15</v>
      </c>
      <c r="G310" s="177" t="s">
        <v>267</v>
      </c>
      <c r="H310" s="191">
        <v>426</v>
      </c>
      <c r="I310" s="240">
        <v>0</v>
      </c>
      <c r="J310" s="174">
        <v>0</v>
      </c>
      <c r="K310" s="177" t="e">
        <f t="shared" si="4"/>
        <v>#DIV/0!</v>
      </c>
      <c r="L310" s="189" t="s">
        <v>402</v>
      </c>
    </row>
    <row r="311" spans="1:12" s="190" customFormat="1" ht="49.9" customHeight="1" outlineLevel="1" x14ac:dyDescent="0.2">
      <c r="A311" s="486"/>
      <c r="B311" s="177" t="s">
        <v>376</v>
      </c>
      <c r="C311" s="177" t="s">
        <v>377</v>
      </c>
      <c r="D311" s="177" t="s">
        <v>378</v>
      </c>
      <c r="E311" s="177" t="s">
        <v>265</v>
      </c>
      <c r="F311" s="185">
        <v>0.15</v>
      </c>
      <c r="G311" s="177" t="s">
        <v>268</v>
      </c>
      <c r="H311" s="185">
        <v>1</v>
      </c>
      <c r="I311" s="240">
        <v>0</v>
      </c>
      <c r="J311" s="174">
        <v>0</v>
      </c>
      <c r="K311" s="177" t="e">
        <f t="shared" si="4"/>
        <v>#DIV/0!</v>
      </c>
      <c r="L311" s="189" t="s">
        <v>403</v>
      </c>
    </row>
    <row r="312" spans="1:12" s="190" customFormat="1" ht="49.9" customHeight="1" outlineLevel="1" x14ac:dyDescent="0.2">
      <c r="A312" s="486"/>
      <c r="B312" s="482" t="s">
        <v>380</v>
      </c>
      <c r="C312" s="482" t="s">
        <v>381</v>
      </c>
      <c r="D312" s="482" t="s">
        <v>382</v>
      </c>
      <c r="E312" s="482" t="s">
        <v>368</v>
      </c>
      <c r="F312" s="478">
        <v>0.25</v>
      </c>
      <c r="G312" s="177" t="s">
        <v>263</v>
      </c>
      <c r="H312" s="191">
        <v>234</v>
      </c>
      <c r="I312" s="240">
        <v>0</v>
      </c>
      <c r="J312" s="174">
        <v>0</v>
      </c>
      <c r="K312" s="177" t="e">
        <f t="shared" si="4"/>
        <v>#DIV/0!</v>
      </c>
      <c r="L312" s="189" t="s">
        <v>404</v>
      </c>
    </row>
    <row r="313" spans="1:12" s="190" customFormat="1" ht="49.9" customHeight="1" outlineLevel="1" x14ac:dyDescent="0.2">
      <c r="A313" s="486"/>
      <c r="B313" s="482"/>
      <c r="C313" s="482"/>
      <c r="D313" s="482"/>
      <c r="E313" s="482"/>
      <c r="F313" s="478"/>
      <c r="G313" s="177" t="s">
        <v>325</v>
      </c>
      <c r="H313" s="185">
        <v>1</v>
      </c>
      <c r="I313" s="240">
        <v>0</v>
      </c>
      <c r="J313" s="174">
        <v>0</v>
      </c>
      <c r="K313" s="177" t="e">
        <f>J313/I313</f>
        <v>#DIV/0!</v>
      </c>
      <c r="L313" s="189" t="s">
        <v>405</v>
      </c>
    </row>
    <row r="314" spans="1:12" s="190" customFormat="1" ht="55.15" customHeight="1" outlineLevel="1" x14ac:dyDescent="0.2">
      <c r="A314" s="487" t="s">
        <v>133</v>
      </c>
      <c r="B314" s="482" t="s">
        <v>365</v>
      </c>
      <c r="C314" s="482" t="s">
        <v>366</v>
      </c>
      <c r="D314" s="482" t="s">
        <v>367</v>
      </c>
      <c r="E314" s="482" t="s">
        <v>368</v>
      </c>
      <c r="F314" s="478">
        <v>0.45</v>
      </c>
      <c r="G314" s="177" t="s">
        <v>319</v>
      </c>
      <c r="H314" s="185">
        <v>1</v>
      </c>
      <c r="I314" s="240">
        <v>0</v>
      </c>
      <c r="J314" s="174">
        <v>0</v>
      </c>
      <c r="K314" s="177" t="e">
        <f t="shared" ref="K314:K319" si="5">J314/I314</f>
        <v>#DIV/0!</v>
      </c>
      <c r="L314" s="189" t="s">
        <v>406</v>
      </c>
    </row>
    <row r="315" spans="1:12" s="190" customFormat="1" ht="55.15" customHeight="1" outlineLevel="1" x14ac:dyDescent="0.2">
      <c r="A315" s="488"/>
      <c r="B315" s="482"/>
      <c r="C315" s="482"/>
      <c r="D315" s="482"/>
      <c r="E315" s="482"/>
      <c r="F315" s="478"/>
      <c r="G315" s="177" t="s">
        <v>332</v>
      </c>
      <c r="H315" s="191">
        <v>4</v>
      </c>
      <c r="I315" s="240">
        <v>0</v>
      </c>
      <c r="J315" s="174">
        <v>0</v>
      </c>
      <c r="K315" s="177" t="e">
        <f t="shared" si="5"/>
        <v>#DIV/0!</v>
      </c>
      <c r="L315" s="189" t="s">
        <v>407</v>
      </c>
    </row>
    <row r="316" spans="1:12" s="190" customFormat="1" ht="55.15" customHeight="1" outlineLevel="1" x14ac:dyDescent="0.2">
      <c r="A316" s="488"/>
      <c r="B316" s="482"/>
      <c r="C316" s="482"/>
      <c r="D316" s="482"/>
      <c r="E316" s="482"/>
      <c r="F316" s="478"/>
      <c r="G316" s="177" t="s">
        <v>333</v>
      </c>
      <c r="H316" s="185">
        <v>1</v>
      </c>
      <c r="I316" s="240">
        <v>0</v>
      </c>
      <c r="J316" s="174">
        <v>0</v>
      </c>
      <c r="K316" s="177" t="e">
        <f t="shared" si="5"/>
        <v>#DIV/0!</v>
      </c>
      <c r="L316" s="189" t="s">
        <v>408</v>
      </c>
    </row>
    <row r="317" spans="1:12" s="190" customFormat="1" ht="55.15" customHeight="1" outlineLevel="1" x14ac:dyDescent="0.2">
      <c r="A317" s="488"/>
      <c r="B317" s="177" t="s">
        <v>372</v>
      </c>
      <c r="C317" s="177" t="s">
        <v>373</v>
      </c>
      <c r="D317" s="177" t="s">
        <v>374</v>
      </c>
      <c r="E317" s="177" t="s">
        <v>265</v>
      </c>
      <c r="F317" s="185">
        <v>0.15</v>
      </c>
      <c r="G317" s="177" t="s">
        <v>267</v>
      </c>
      <c r="H317" s="191">
        <v>491</v>
      </c>
      <c r="I317" s="240">
        <v>0</v>
      </c>
      <c r="J317" s="174">
        <v>0</v>
      </c>
      <c r="K317" s="177" t="e">
        <f t="shared" si="5"/>
        <v>#DIV/0!</v>
      </c>
      <c r="L317" s="189" t="s">
        <v>409</v>
      </c>
    </row>
    <row r="318" spans="1:12" s="190" customFormat="1" ht="55.15" customHeight="1" outlineLevel="1" x14ac:dyDescent="0.2">
      <c r="A318" s="488"/>
      <c r="B318" s="177" t="s">
        <v>376</v>
      </c>
      <c r="C318" s="177" t="s">
        <v>377</v>
      </c>
      <c r="D318" s="177" t="s">
        <v>378</v>
      </c>
      <c r="E318" s="177" t="s">
        <v>265</v>
      </c>
      <c r="F318" s="185">
        <v>0.15</v>
      </c>
      <c r="G318" s="177" t="s">
        <v>268</v>
      </c>
      <c r="H318" s="185">
        <v>1</v>
      </c>
      <c r="I318" s="240">
        <v>0</v>
      </c>
      <c r="J318" s="174">
        <v>0</v>
      </c>
      <c r="K318" s="177" t="e">
        <f t="shared" si="5"/>
        <v>#DIV/0!</v>
      </c>
      <c r="L318" s="189" t="s">
        <v>410</v>
      </c>
    </row>
    <row r="319" spans="1:12" s="190" customFormat="1" ht="55.15" customHeight="1" outlineLevel="1" x14ac:dyDescent="0.2">
      <c r="A319" s="488"/>
      <c r="B319" s="482" t="s">
        <v>380</v>
      </c>
      <c r="C319" s="482" t="s">
        <v>381</v>
      </c>
      <c r="D319" s="482" t="s">
        <v>382</v>
      </c>
      <c r="E319" s="482" t="s">
        <v>368</v>
      </c>
      <c r="F319" s="478">
        <v>0.25</v>
      </c>
      <c r="G319" s="177" t="s">
        <v>263</v>
      </c>
      <c r="H319" s="191">
        <v>1292</v>
      </c>
      <c r="I319" s="240">
        <v>0</v>
      </c>
      <c r="J319" s="174">
        <v>0</v>
      </c>
      <c r="K319" s="177" t="e">
        <f t="shared" si="5"/>
        <v>#DIV/0!</v>
      </c>
      <c r="L319" s="189" t="s">
        <v>411</v>
      </c>
    </row>
    <row r="320" spans="1:12" s="190" customFormat="1" ht="55.15" customHeight="1" outlineLevel="1" x14ac:dyDescent="0.2">
      <c r="A320" s="489"/>
      <c r="B320" s="482"/>
      <c r="C320" s="482"/>
      <c r="D320" s="482"/>
      <c r="E320" s="482"/>
      <c r="F320" s="478"/>
      <c r="G320" s="177" t="s">
        <v>325</v>
      </c>
      <c r="H320" s="185">
        <v>1</v>
      </c>
      <c r="I320" s="240">
        <v>0</v>
      </c>
      <c r="J320" s="174">
        <v>0</v>
      </c>
      <c r="K320" s="177" t="e">
        <f>J320/I320</f>
        <v>#DIV/0!</v>
      </c>
      <c r="L320" s="189" t="s">
        <v>412</v>
      </c>
    </row>
    <row r="322" spans="1:13" ht="19.899999999999999" customHeight="1" x14ac:dyDescent="0.25">
      <c r="A322" s="494" t="s">
        <v>200</v>
      </c>
      <c r="B322" s="495"/>
      <c r="C322" s="495"/>
      <c r="D322" s="495"/>
      <c r="E322" s="495"/>
      <c r="F322" s="495"/>
      <c r="G322" s="495"/>
      <c r="H322" s="495"/>
      <c r="I322" s="495"/>
      <c r="J322" s="495"/>
      <c r="K322" s="495"/>
      <c r="L322" s="496"/>
    </row>
    <row r="323" spans="1:13" ht="44.25" customHeight="1" x14ac:dyDescent="0.25">
      <c r="A323" s="175" t="s">
        <v>49</v>
      </c>
      <c r="B323" s="42" t="s">
        <v>145</v>
      </c>
      <c r="C323" s="42" t="s">
        <v>146</v>
      </c>
      <c r="D323" s="42" t="s">
        <v>147</v>
      </c>
      <c r="E323" s="42" t="s">
        <v>148</v>
      </c>
      <c r="F323" s="42" t="s">
        <v>156</v>
      </c>
      <c r="G323" s="42" t="s">
        <v>150</v>
      </c>
      <c r="H323" s="42" t="s">
        <v>157</v>
      </c>
      <c r="I323" s="238" t="s">
        <v>152</v>
      </c>
      <c r="J323" s="42" t="s">
        <v>153</v>
      </c>
      <c r="K323" s="42" t="s">
        <v>154</v>
      </c>
      <c r="L323" s="42" t="s">
        <v>155</v>
      </c>
    </row>
    <row r="324" spans="1:13" ht="49.9" customHeight="1" outlineLevel="1" x14ac:dyDescent="0.25">
      <c r="A324" s="479" t="s">
        <v>135</v>
      </c>
      <c r="B324" s="482" t="s">
        <v>365</v>
      </c>
      <c r="C324" s="482" t="s">
        <v>366</v>
      </c>
      <c r="D324" s="482" t="s">
        <v>367</v>
      </c>
      <c r="E324" s="482" t="s">
        <v>368</v>
      </c>
      <c r="F324" s="478">
        <v>0.45</v>
      </c>
      <c r="G324" s="177" t="s">
        <v>319</v>
      </c>
      <c r="H324" s="185">
        <v>1</v>
      </c>
      <c r="I324" s="240">
        <v>0</v>
      </c>
      <c r="J324" s="174">
        <v>0</v>
      </c>
      <c r="K324" s="177" t="e">
        <f>J324/I324</f>
        <v>#DIV/0!</v>
      </c>
      <c r="L324" s="192" t="s">
        <v>406</v>
      </c>
      <c r="M324" s="193"/>
    </row>
    <row r="325" spans="1:13" ht="49.9" customHeight="1" outlineLevel="1" x14ac:dyDescent="0.25">
      <c r="A325" s="480"/>
      <c r="B325" s="482"/>
      <c r="C325" s="482"/>
      <c r="D325" s="482"/>
      <c r="E325" s="482"/>
      <c r="F325" s="478"/>
      <c r="G325" s="177" t="s">
        <v>332</v>
      </c>
      <c r="H325" s="191">
        <v>8</v>
      </c>
      <c r="I325" s="240">
        <v>0</v>
      </c>
      <c r="J325" s="174">
        <v>0</v>
      </c>
      <c r="K325" s="177" t="e">
        <f t="shared" ref="K325:K329" si="6">J325/I325</f>
        <v>#DIV/0!</v>
      </c>
      <c r="L325" s="192" t="s">
        <v>407</v>
      </c>
      <c r="M325" s="193"/>
    </row>
    <row r="326" spans="1:13" ht="49.9" customHeight="1" outlineLevel="1" x14ac:dyDescent="0.25">
      <c r="A326" s="480"/>
      <c r="B326" s="482"/>
      <c r="C326" s="482"/>
      <c r="D326" s="482"/>
      <c r="E326" s="482"/>
      <c r="F326" s="478"/>
      <c r="G326" s="177" t="s">
        <v>333</v>
      </c>
      <c r="H326" s="191">
        <v>2</v>
      </c>
      <c r="I326" s="240">
        <v>0</v>
      </c>
      <c r="J326" s="174">
        <v>0</v>
      </c>
      <c r="K326" s="177" t="e">
        <f t="shared" si="6"/>
        <v>#DIV/0!</v>
      </c>
      <c r="L326" s="192" t="s">
        <v>408</v>
      </c>
      <c r="M326" s="193"/>
    </row>
    <row r="327" spans="1:13" ht="49.9" customHeight="1" outlineLevel="1" x14ac:dyDescent="0.25">
      <c r="A327" s="480"/>
      <c r="B327" s="177" t="s">
        <v>372</v>
      </c>
      <c r="C327" s="177" t="s">
        <v>373</v>
      </c>
      <c r="D327" s="177" t="s">
        <v>374</v>
      </c>
      <c r="E327" s="177" t="s">
        <v>265</v>
      </c>
      <c r="F327" s="185">
        <v>0.15</v>
      </c>
      <c r="G327" s="177" t="s">
        <v>267</v>
      </c>
      <c r="H327" s="191">
        <v>893</v>
      </c>
      <c r="I327" s="240">
        <v>0</v>
      </c>
      <c r="J327" s="174">
        <v>0</v>
      </c>
      <c r="K327" s="177" t="e">
        <f t="shared" si="6"/>
        <v>#DIV/0!</v>
      </c>
      <c r="L327" s="192" t="s">
        <v>409</v>
      </c>
      <c r="M327" s="193"/>
    </row>
    <row r="328" spans="1:13" ht="49.9" customHeight="1" outlineLevel="1" x14ac:dyDescent="0.25">
      <c r="A328" s="480"/>
      <c r="B328" s="177" t="s">
        <v>376</v>
      </c>
      <c r="C328" s="177" t="s">
        <v>377</v>
      </c>
      <c r="D328" s="177" t="s">
        <v>378</v>
      </c>
      <c r="E328" s="177" t="s">
        <v>265</v>
      </c>
      <c r="F328" s="185">
        <v>0.15</v>
      </c>
      <c r="G328" s="177" t="s">
        <v>268</v>
      </c>
      <c r="H328" s="185">
        <v>1</v>
      </c>
      <c r="I328" s="240">
        <v>0</v>
      </c>
      <c r="J328" s="174">
        <v>0</v>
      </c>
      <c r="K328" s="177" t="e">
        <f t="shared" si="6"/>
        <v>#DIV/0!</v>
      </c>
      <c r="L328" s="192" t="s">
        <v>410</v>
      </c>
      <c r="M328" s="193"/>
    </row>
    <row r="329" spans="1:13" ht="49.9" customHeight="1" outlineLevel="1" x14ac:dyDescent="0.25">
      <c r="A329" s="480"/>
      <c r="B329" s="482" t="s">
        <v>380</v>
      </c>
      <c r="C329" s="482" t="s">
        <v>381</v>
      </c>
      <c r="D329" s="482" t="s">
        <v>382</v>
      </c>
      <c r="E329" s="482" t="s">
        <v>368</v>
      </c>
      <c r="F329" s="478">
        <v>0.25</v>
      </c>
      <c r="G329" s="177" t="s">
        <v>263</v>
      </c>
      <c r="H329" s="191">
        <v>759</v>
      </c>
      <c r="I329" s="240">
        <v>0</v>
      </c>
      <c r="J329" s="174">
        <v>0</v>
      </c>
      <c r="K329" s="177" t="e">
        <f t="shared" si="6"/>
        <v>#DIV/0!</v>
      </c>
      <c r="L329" s="192" t="s">
        <v>411</v>
      </c>
      <c r="M329" s="193"/>
    </row>
    <row r="330" spans="1:13" ht="49.9" customHeight="1" outlineLevel="1" x14ac:dyDescent="0.25">
      <c r="A330" s="481"/>
      <c r="B330" s="482"/>
      <c r="C330" s="482"/>
      <c r="D330" s="482"/>
      <c r="E330" s="482"/>
      <c r="F330" s="478"/>
      <c r="G330" s="177" t="s">
        <v>325</v>
      </c>
      <c r="H330" s="185">
        <v>1</v>
      </c>
      <c r="I330" s="240">
        <v>0</v>
      </c>
      <c r="J330" s="174">
        <v>0</v>
      </c>
      <c r="K330" s="177" t="e">
        <f>J330/I330</f>
        <v>#DIV/0!</v>
      </c>
      <c r="L330" s="192" t="s">
        <v>412</v>
      </c>
      <c r="M330" s="193"/>
    </row>
    <row r="331" spans="1:13" ht="49.9" customHeight="1" outlineLevel="1" x14ac:dyDescent="0.25">
      <c r="A331" s="479" t="s">
        <v>136</v>
      </c>
      <c r="B331" s="482" t="s">
        <v>365</v>
      </c>
      <c r="C331" s="482" t="s">
        <v>366</v>
      </c>
      <c r="D331" s="482" t="s">
        <v>367</v>
      </c>
      <c r="E331" s="482" t="s">
        <v>368</v>
      </c>
      <c r="F331" s="478">
        <v>0.45</v>
      </c>
      <c r="G331" s="177" t="s">
        <v>319</v>
      </c>
      <c r="H331" s="185">
        <v>1</v>
      </c>
      <c r="I331" s="240">
        <v>0</v>
      </c>
      <c r="J331" s="174">
        <v>0</v>
      </c>
      <c r="K331" s="177" t="e">
        <f>J331/I331</f>
        <v>#DIV/0!</v>
      </c>
      <c r="L331" s="194" t="s">
        <v>413</v>
      </c>
    </row>
    <row r="332" spans="1:13" ht="49.9" customHeight="1" outlineLevel="1" x14ac:dyDescent="0.25">
      <c r="A332" s="480"/>
      <c r="B332" s="482"/>
      <c r="C332" s="482"/>
      <c r="D332" s="482"/>
      <c r="E332" s="482"/>
      <c r="F332" s="478"/>
      <c r="G332" s="177" t="s">
        <v>332</v>
      </c>
      <c r="H332" s="191">
        <v>8</v>
      </c>
      <c r="I332" s="240">
        <v>0</v>
      </c>
      <c r="J332" s="174">
        <v>0</v>
      </c>
      <c r="K332" s="177" t="e">
        <f t="shared" ref="K332:K336" si="7">J332/I332</f>
        <v>#DIV/0!</v>
      </c>
      <c r="L332" s="194" t="s">
        <v>414</v>
      </c>
    </row>
    <row r="333" spans="1:13" ht="49.9" customHeight="1" outlineLevel="1" x14ac:dyDescent="0.25">
      <c r="A333" s="480"/>
      <c r="B333" s="482"/>
      <c r="C333" s="482"/>
      <c r="D333" s="482"/>
      <c r="E333" s="482"/>
      <c r="F333" s="478"/>
      <c r="G333" s="177" t="s">
        <v>333</v>
      </c>
      <c r="H333" s="191">
        <v>2</v>
      </c>
      <c r="I333" s="240">
        <v>0</v>
      </c>
      <c r="J333" s="174">
        <v>0</v>
      </c>
      <c r="K333" s="177" t="e">
        <f t="shared" si="7"/>
        <v>#DIV/0!</v>
      </c>
      <c r="L333" s="194" t="s">
        <v>415</v>
      </c>
    </row>
    <row r="334" spans="1:13" ht="49.9" customHeight="1" outlineLevel="1" x14ac:dyDescent="0.25">
      <c r="A334" s="480"/>
      <c r="B334" s="177" t="s">
        <v>372</v>
      </c>
      <c r="C334" s="177" t="s">
        <v>373</v>
      </c>
      <c r="D334" s="177" t="s">
        <v>374</v>
      </c>
      <c r="E334" s="177" t="s">
        <v>265</v>
      </c>
      <c r="F334" s="185">
        <v>0.15</v>
      </c>
      <c r="G334" s="177" t="s">
        <v>267</v>
      </c>
      <c r="H334" s="191">
        <v>893</v>
      </c>
      <c r="I334" s="240">
        <v>0</v>
      </c>
      <c r="J334" s="174">
        <v>0</v>
      </c>
      <c r="K334" s="177" t="e">
        <f t="shared" si="7"/>
        <v>#DIV/0!</v>
      </c>
      <c r="L334" s="194" t="s">
        <v>416</v>
      </c>
    </row>
    <row r="335" spans="1:13" ht="49.9" customHeight="1" outlineLevel="1" x14ac:dyDescent="0.25">
      <c r="A335" s="480"/>
      <c r="B335" s="177" t="s">
        <v>376</v>
      </c>
      <c r="C335" s="177" t="s">
        <v>377</v>
      </c>
      <c r="D335" s="177" t="s">
        <v>378</v>
      </c>
      <c r="E335" s="177" t="s">
        <v>265</v>
      </c>
      <c r="F335" s="185">
        <v>0.15</v>
      </c>
      <c r="G335" s="177" t="s">
        <v>268</v>
      </c>
      <c r="H335" s="185">
        <v>1</v>
      </c>
      <c r="I335" s="240">
        <v>0</v>
      </c>
      <c r="J335" s="174">
        <v>0</v>
      </c>
      <c r="K335" s="177" t="e">
        <f t="shared" si="7"/>
        <v>#DIV/0!</v>
      </c>
      <c r="L335" s="194" t="s">
        <v>417</v>
      </c>
    </row>
    <row r="336" spans="1:13" ht="49.9" customHeight="1" outlineLevel="1" x14ac:dyDescent="0.25">
      <c r="A336" s="480"/>
      <c r="B336" s="482" t="s">
        <v>380</v>
      </c>
      <c r="C336" s="482" t="s">
        <v>381</v>
      </c>
      <c r="D336" s="482" t="s">
        <v>382</v>
      </c>
      <c r="E336" s="482" t="s">
        <v>368</v>
      </c>
      <c r="F336" s="478">
        <v>0.25</v>
      </c>
      <c r="G336" s="177" t="s">
        <v>263</v>
      </c>
      <c r="H336" s="191">
        <v>759</v>
      </c>
      <c r="I336" s="240">
        <v>0</v>
      </c>
      <c r="J336" s="174">
        <v>0</v>
      </c>
      <c r="K336" s="177" t="e">
        <f t="shared" si="7"/>
        <v>#DIV/0!</v>
      </c>
      <c r="L336" s="194" t="s">
        <v>418</v>
      </c>
    </row>
    <row r="337" spans="1:12" ht="49.9" customHeight="1" outlineLevel="1" x14ac:dyDescent="0.25">
      <c r="A337" s="481"/>
      <c r="B337" s="482"/>
      <c r="C337" s="482"/>
      <c r="D337" s="482"/>
      <c r="E337" s="482"/>
      <c r="F337" s="478"/>
      <c r="G337" s="177" t="s">
        <v>325</v>
      </c>
      <c r="H337" s="185">
        <v>1</v>
      </c>
      <c r="I337" s="240">
        <v>0</v>
      </c>
      <c r="J337" s="174">
        <v>0</v>
      </c>
      <c r="K337" s="177" t="e">
        <f>J337/I337</f>
        <v>#DIV/0!</v>
      </c>
      <c r="L337" s="194" t="s">
        <v>419</v>
      </c>
    </row>
    <row r="338" spans="1:12" ht="49.9" customHeight="1" outlineLevel="1" x14ac:dyDescent="0.25">
      <c r="A338" s="479" t="s">
        <v>137</v>
      </c>
      <c r="B338" s="482" t="s">
        <v>365</v>
      </c>
      <c r="C338" s="482" t="s">
        <v>366</v>
      </c>
      <c r="D338" s="482" t="s">
        <v>367</v>
      </c>
      <c r="E338" s="482" t="s">
        <v>368</v>
      </c>
      <c r="F338" s="478">
        <v>0.45</v>
      </c>
      <c r="G338" s="177" t="s">
        <v>319</v>
      </c>
      <c r="H338" s="185">
        <v>1</v>
      </c>
      <c r="I338" s="240">
        <v>0</v>
      </c>
      <c r="J338" s="174">
        <v>0</v>
      </c>
      <c r="K338" s="177" t="e">
        <f>J338/I338</f>
        <v>#DIV/0!</v>
      </c>
      <c r="L338" s="194" t="s">
        <v>420</v>
      </c>
    </row>
    <row r="339" spans="1:12" ht="49.9" customHeight="1" outlineLevel="1" x14ac:dyDescent="0.25">
      <c r="A339" s="480"/>
      <c r="B339" s="482"/>
      <c r="C339" s="482"/>
      <c r="D339" s="482"/>
      <c r="E339" s="482"/>
      <c r="F339" s="478"/>
      <c r="G339" s="177" t="s">
        <v>332</v>
      </c>
      <c r="H339" s="191">
        <v>8</v>
      </c>
      <c r="I339" s="240">
        <v>0</v>
      </c>
      <c r="J339" s="174">
        <v>0</v>
      </c>
      <c r="K339" s="177" t="e">
        <f t="shared" ref="K339:K343" si="8">J339/I339</f>
        <v>#DIV/0!</v>
      </c>
      <c r="L339" s="194" t="s">
        <v>421</v>
      </c>
    </row>
    <row r="340" spans="1:12" ht="49.9" customHeight="1" outlineLevel="1" x14ac:dyDescent="0.25">
      <c r="A340" s="480"/>
      <c r="B340" s="482"/>
      <c r="C340" s="482"/>
      <c r="D340" s="482"/>
      <c r="E340" s="482"/>
      <c r="F340" s="478"/>
      <c r="G340" s="177" t="s">
        <v>333</v>
      </c>
      <c r="H340" s="191">
        <v>2</v>
      </c>
      <c r="I340" s="240">
        <v>0</v>
      </c>
      <c r="J340" s="174">
        <v>0</v>
      </c>
      <c r="K340" s="177" t="e">
        <f t="shared" si="8"/>
        <v>#DIV/0!</v>
      </c>
      <c r="L340" s="194" t="s">
        <v>422</v>
      </c>
    </row>
    <row r="341" spans="1:12" ht="49.9" customHeight="1" outlineLevel="1" x14ac:dyDescent="0.25">
      <c r="A341" s="480"/>
      <c r="B341" s="177" t="s">
        <v>372</v>
      </c>
      <c r="C341" s="177" t="s">
        <v>373</v>
      </c>
      <c r="D341" s="177" t="s">
        <v>374</v>
      </c>
      <c r="E341" s="177" t="s">
        <v>265</v>
      </c>
      <c r="F341" s="185">
        <v>0.15</v>
      </c>
      <c r="G341" s="177" t="s">
        <v>267</v>
      </c>
      <c r="H341" s="191">
        <v>893</v>
      </c>
      <c r="I341" s="240">
        <v>0</v>
      </c>
      <c r="J341" s="174">
        <v>0</v>
      </c>
      <c r="K341" s="177" t="e">
        <f t="shared" si="8"/>
        <v>#DIV/0!</v>
      </c>
      <c r="L341" s="194" t="s">
        <v>423</v>
      </c>
    </row>
    <row r="342" spans="1:12" ht="49.9" customHeight="1" outlineLevel="1" x14ac:dyDescent="0.25">
      <c r="A342" s="480"/>
      <c r="B342" s="177" t="s">
        <v>376</v>
      </c>
      <c r="C342" s="177" t="s">
        <v>377</v>
      </c>
      <c r="D342" s="177" t="s">
        <v>378</v>
      </c>
      <c r="E342" s="177" t="s">
        <v>265</v>
      </c>
      <c r="F342" s="185">
        <v>0.15</v>
      </c>
      <c r="G342" s="177" t="s">
        <v>268</v>
      </c>
      <c r="H342" s="185">
        <v>1</v>
      </c>
      <c r="I342" s="240">
        <v>0</v>
      </c>
      <c r="J342" s="174">
        <v>0</v>
      </c>
      <c r="K342" s="177" t="e">
        <f t="shared" si="8"/>
        <v>#DIV/0!</v>
      </c>
      <c r="L342" s="194" t="s">
        <v>424</v>
      </c>
    </row>
    <row r="343" spans="1:12" ht="49.9" customHeight="1" outlineLevel="1" x14ac:dyDescent="0.25">
      <c r="A343" s="480"/>
      <c r="B343" s="482" t="s">
        <v>380</v>
      </c>
      <c r="C343" s="482" t="s">
        <v>381</v>
      </c>
      <c r="D343" s="482" t="s">
        <v>382</v>
      </c>
      <c r="E343" s="482" t="s">
        <v>368</v>
      </c>
      <c r="F343" s="478">
        <v>0.25</v>
      </c>
      <c r="G343" s="177" t="s">
        <v>263</v>
      </c>
      <c r="H343" s="191">
        <v>4707</v>
      </c>
      <c r="I343" s="240">
        <v>0</v>
      </c>
      <c r="J343" s="174">
        <v>0</v>
      </c>
      <c r="K343" s="177" t="e">
        <f t="shared" si="8"/>
        <v>#DIV/0!</v>
      </c>
      <c r="L343" s="194" t="s">
        <v>425</v>
      </c>
    </row>
    <row r="344" spans="1:12" ht="49.9" customHeight="1" outlineLevel="1" x14ac:dyDescent="0.25">
      <c r="A344" s="481"/>
      <c r="B344" s="482"/>
      <c r="C344" s="482"/>
      <c r="D344" s="482"/>
      <c r="E344" s="482"/>
      <c r="F344" s="478"/>
      <c r="G344" s="177" t="s">
        <v>325</v>
      </c>
      <c r="H344" s="185">
        <v>1</v>
      </c>
      <c r="I344" s="240">
        <v>0</v>
      </c>
      <c r="J344" s="174">
        <v>0</v>
      </c>
      <c r="K344" s="177" t="e">
        <f>J344/I344</f>
        <v>#DIV/0!</v>
      </c>
      <c r="L344" s="194" t="s">
        <v>426</v>
      </c>
    </row>
    <row r="345" spans="1:12" ht="49.9" customHeight="1" outlineLevel="1" x14ac:dyDescent="0.25">
      <c r="A345" s="479" t="s">
        <v>138</v>
      </c>
      <c r="B345" s="482" t="s">
        <v>365</v>
      </c>
      <c r="C345" s="482" t="s">
        <v>366</v>
      </c>
      <c r="D345" s="482" t="s">
        <v>367</v>
      </c>
      <c r="E345" s="482" t="s">
        <v>368</v>
      </c>
      <c r="F345" s="478">
        <v>0.45</v>
      </c>
      <c r="G345" s="177" t="s">
        <v>319</v>
      </c>
      <c r="H345" s="185">
        <v>1</v>
      </c>
      <c r="I345" s="240">
        <v>0</v>
      </c>
      <c r="J345" s="174">
        <v>0</v>
      </c>
      <c r="K345" s="177" t="e">
        <f>J345/I345</f>
        <v>#DIV/0!</v>
      </c>
      <c r="L345" s="195" t="s">
        <v>427</v>
      </c>
    </row>
    <row r="346" spans="1:12" ht="49.9" customHeight="1" outlineLevel="1" x14ac:dyDescent="0.25">
      <c r="A346" s="480"/>
      <c r="B346" s="482"/>
      <c r="C346" s="482"/>
      <c r="D346" s="482"/>
      <c r="E346" s="482"/>
      <c r="F346" s="478"/>
      <c r="G346" s="177" t="s">
        <v>332</v>
      </c>
      <c r="H346" s="191">
        <v>6</v>
      </c>
      <c r="I346" s="240">
        <v>0</v>
      </c>
      <c r="J346" s="174">
        <v>0</v>
      </c>
      <c r="K346" s="177" t="e">
        <f t="shared" ref="K346:K350" si="9">J346/I346</f>
        <v>#DIV/0!</v>
      </c>
      <c r="L346" s="195" t="s">
        <v>428</v>
      </c>
    </row>
    <row r="347" spans="1:12" ht="49.9" customHeight="1" outlineLevel="1" x14ac:dyDescent="0.25">
      <c r="A347" s="480"/>
      <c r="B347" s="482"/>
      <c r="C347" s="482"/>
      <c r="D347" s="482"/>
      <c r="E347" s="482"/>
      <c r="F347" s="478"/>
      <c r="G347" s="177" t="s">
        <v>333</v>
      </c>
      <c r="H347" s="191">
        <v>1</v>
      </c>
      <c r="I347" s="240">
        <v>0</v>
      </c>
      <c r="J347" s="174">
        <v>0</v>
      </c>
      <c r="K347" s="177" t="e">
        <f t="shared" si="9"/>
        <v>#DIV/0!</v>
      </c>
      <c r="L347" s="195" t="s">
        <v>429</v>
      </c>
    </row>
    <row r="348" spans="1:12" ht="49.9" customHeight="1" outlineLevel="1" x14ac:dyDescent="0.25">
      <c r="A348" s="480"/>
      <c r="B348" s="177" t="s">
        <v>372</v>
      </c>
      <c r="C348" s="177" t="s">
        <v>373</v>
      </c>
      <c r="D348" s="177" t="s">
        <v>374</v>
      </c>
      <c r="E348" s="177" t="s">
        <v>265</v>
      </c>
      <c r="F348" s="185">
        <v>0.15</v>
      </c>
      <c r="G348" s="177" t="s">
        <v>267</v>
      </c>
      <c r="H348" s="191">
        <v>705</v>
      </c>
      <c r="I348" s="240">
        <v>0</v>
      </c>
      <c r="J348" s="174">
        <v>0</v>
      </c>
      <c r="K348" s="177" t="e">
        <f t="shared" si="9"/>
        <v>#DIV/0!</v>
      </c>
      <c r="L348" s="195" t="s">
        <v>430</v>
      </c>
    </row>
    <row r="349" spans="1:12" ht="49.9" customHeight="1" outlineLevel="1" x14ac:dyDescent="0.25">
      <c r="A349" s="480"/>
      <c r="B349" s="177" t="s">
        <v>376</v>
      </c>
      <c r="C349" s="177" t="s">
        <v>377</v>
      </c>
      <c r="D349" s="177" t="s">
        <v>378</v>
      </c>
      <c r="E349" s="177" t="s">
        <v>265</v>
      </c>
      <c r="F349" s="185">
        <v>0.15</v>
      </c>
      <c r="G349" s="177" t="s">
        <v>268</v>
      </c>
      <c r="H349" s="185">
        <v>1</v>
      </c>
      <c r="I349" s="240">
        <v>0</v>
      </c>
      <c r="J349" s="174">
        <v>0</v>
      </c>
      <c r="K349" s="177" t="e">
        <f t="shared" si="9"/>
        <v>#DIV/0!</v>
      </c>
      <c r="L349" s="195" t="s">
        <v>431</v>
      </c>
    </row>
    <row r="350" spans="1:12" ht="49.9" customHeight="1" outlineLevel="1" x14ac:dyDescent="0.25">
      <c r="A350" s="480"/>
      <c r="B350" s="482" t="s">
        <v>380</v>
      </c>
      <c r="C350" s="482" t="s">
        <v>381</v>
      </c>
      <c r="D350" s="482" t="s">
        <v>382</v>
      </c>
      <c r="E350" s="482" t="s">
        <v>368</v>
      </c>
      <c r="F350" s="478">
        <v>0.25</v>
      </c>
      <c r="G350" s="177" t="s">
        <v>263</v>
      </c>
      <c r="H350" s="191">
        <v>4707</v>
      </c>
      <c r="I350" s="240">
        <v>0</v>
      </c>
      <c r="J350" s="174">
        <v>0</v>
      </c>
      <c r="K350" s="177" t="e">
        <f t="shared" si="9"/>
        <v>#DIV/0!</v>
      </c>
      <c r="L350" s="195" t="s">
        <v>432</v>
      </c>
    </row>
    <row r="351" spans="1:12" ht="49.9" customHeight="1" outlineLevel="1" x14ac:dyDescent="0.25">
      <c r="A351" s="481"/>
      <c r="B351" s="482"/>
      <c r="C351" s="482"/>
      <c r="D351" s="482"/>
      <c r="E351" s="482"/>
      <c r="F351" s="478"/>
      <c r="G351" s="177" t="s">
        <v>325</v>
      </c>
      <c r="H351" s="211">
        <v>1</v>
      </c>
      <c r="I351" s="240">
        <v>0</v>
      </c>
      <c r="J351" s="174">
        <v>0</v>
      </c>
      <c r="K351" s="177" t="e">
        <f>J351/I351</f>
        <v>#DIV/0!</v>
      </c>
      <c r="L351" s="195" t="s">
        <v>433</v>
      </c>
    </row>
    <row r="352" spans="1:12" ht="49.9" customHeight="1" outlineLevel="1" x14ac:dyDescent="0.25">
      <c r="A352" s="479" t="s">
        <v>139</v>
      </c>
      <c r="B352" s="482" t="s">
        <v>365</v>
      </c>
      <c r="C352" s="482" t="s">
        <v>366</v>
      </c>
      <c r="D352" s="482" t="s">
        <v>367</v>
      </c>
      <c r="E352" s="482" t="s">
        <v>368</v>
      </c>
      <c r="F352" s="478">
        <v>0.45</v>
      </c>
      <c r="G352" s="177" t="s">
        <v>319</v>
      </c>
      <c r="H352" s="211">
        <f>+INVERSIÓN!BD10</f>
        <v>1</v>
      </c>
      <c r="I352" s="240">
        <v>0</v>
      </c>
      <c r="J352" s="174">
        <v>0</v>
      </c>
      <c r="K352" s="43" t="e">
        <f t="shared" ref="K352:K365" si="10">J352/I352</f>
        <v>#DIV/0!</v>
      </c>
      <c r="L352" s="195" t="s">
        <v>456</v>
      </c>
    </row>
    <row r="353" spans="1:14" ht="49.9" customHeight="1" outlineLevel="1" x14ac:dyDescent="0.25">
      <c r="A353" s="480"/>
      <c r="B353" s="482"/>
      <c r="C353" s="482"/>
      <c r="D353" s="482"/>
      <c r="E353" s="482"/>
      <c r="F353" s="478"/>
      <c r="G353" s="177" t="s">
        <v>332</v>
      </c>
      <c r="H353" s="210">
        <f>+INVERSIÓN!BD17</f>
        <v>7.9999999999999991</v>
      </c>
      <c r="I353" s="240">
        <v>0</v>
      </c>
      <c r="J353" s="174">
        <v>0</v>
      </c>
      <c r="K353" s="43" t="e">
        <f t="shared" si="10"/>
        <v>#DIV/0!</v>
      </c>
      <c r="L353" s="195" t="s">
        <v>457</v>
      </c>
    </row>
    <row r="354" spans="1:14" ht="49.9" customHeight="1" outlineLevel="1" x14ac:dyDescent="0.25">
      <c r="A354" s="480"/>
      <c r="B354" s="482"/>
      <c r="C354" s="482"/>
      <c r="D354" s="482"/>
      <c r="E354" s="482"/>
      <c r="F354" s="478"/>
      <c r="G354" s="177" t="s">
        <v>333</v>
      </c>
      <c r="H354" s="210">
        <f>+INVERSIÓN!BD24</f>
        <v>1.9999999999999998</v>
      </c>
      <c r="I354" s="240">
        <v>0</v>
      </c>
      <c r="J354" s="174">
        <v>0</v>
      </c>
      <c r="K354" s="43" t="e">
        <f t="shared" si="10"/>
        <v>#DIV/0!</v>
      </c>
      <c r="L354" s="195" t="s">
        <v>458</v>
      </c>
    </row>
    <row r="355" spans="1:14" ht="49.9" customHeight="1" outlineLevel="1" x14ac:dyDescent="0.25">
      <c r="A355" s="480"/>
      <c r="B355" s="177" t="s">
        <v>372</v>
      </c>
      <c r="C355" s="177" t="s">
        <v>373</v>
      </c>
      <c r="D355" s="177" t="s">
        <v>374</v>
      </c>
      <c r="E355" s="177" t="s">
        <v>265</v>
      </c>
      <c r="F355" s="185">
        <v>0.15</v>
      </c>
      <c r="G355" s="177" t="s">
        <v>267</v>
      </c>
      <c r="H355" s="210">
        <f>+INVERSIÓN!BD31</f>
        <v>897</v>
      </c>
      <c r="I355" s="240">
        <v>0</v>
      </c>
      <c r="J355" s="174">
        <v>0</v>
      </c>
      <c r="K355" s="43" t="e">
        <f t="shared" si="10"/>
        <v>#DIV/0!</v>
      </c>
      <c r="L355" s="195" t="s">
        <v>459</v>
      </c>
    </row>
    <row r="356" spans="1:14" ht="49.9" customHeight="1" outlineLevel="1" x14ac:dyDescent="0.25">
      <c r="A356" s="480"/>
      <c r="B356" s="177" t="s">
        <v>376</v>
      </c>
      <c r="C356" s="177" t="s">
        <v>377</v>
      </c>
      <c r="D356" s="177" t="s">
        <v>378</v>
      </c>
      <c r="E356" s="177" t="s">
        <v>265</v>
      </c>
      <c r="F356" s="185">
        <v>0.15</v>
      </c>
      <c r="G356" s="177" t="s">
        <v>268</v>
      </c>
      <c r="H356" s="211">
        <f>+INVERSIÓN!BD38</f>
        <v>1</v>
      </c>
      <c r="I356" s="240">
        <v>0</v>
      </c>
      <c r="J356" s="174">
        <v>0</v>
      </c>
      <c r="K356" s="43" t="e">
        <f t="shared" si="10"/>
        <v>#DIV/0!</v>
      </c>
      <c r="L356" s="195" t="s">
        <v>460</v>
      </c>
    </row>
    <row r="357" spans="1:14" ht="49.9" customHeight="1" outlineLevel="1" x14ac:dyDescent="0.25">
      <c r="A357" s="480"/>
      <c r="B357" s="482" t="s">
        <v>380</v>
      </c>
      <c r="C357" s="482" t="s">
        <v>381</v>
      </c>
      <c r="D357" s="482" t="s">
        <v>382</v>
      </c>
      <c r="E357" s="482" t="s">
        <v>368</v>
      </c>
      <c r="F357" s="478">
        <v>0.25</v>
      </c>
      <c r="G357" s="177" t="s">
        <v>263</v>
      </c>
      <c r="H357" s="210">
        <f>+INVERSIÓN!BD45</f>
        <v>4950</v>
      </c>
      <c r="I357" s="240">
        <v>0</v>
      </c>
      <c r="J357" s="174">
        <v>0</v>
      </c>
      <c r="K357" s="43" t="e">
        <f t="shared" si="10"/>
        <v>#DIV/0!</v>
      </c>
      <c r="L357" s="195" t="s">
        <v>461</v>
      </c>
    </row>
    <row r="358" spans="1:14" ht="49.9" customHeight="1" outlineLevel="1" x14ac:dyDescent="0.25">
      <c r="A358" s="481"/>
      <c r="B358" s="482"/>
      <c r="C358" s="482"/>
      <c r="D358" s="482"/>
      <c r="E358" s="482"/>
      <c r="F358" s="478"/>
      <c r="G358" s="177" t="s">
        <v>325</v>
      </c>
      <c r="H358" s="211">
        <f>+INVERSIÓN!BD52</f>
        <v>1</v>
      </c>
      <c r="I358" s="240">
        <v>0</v>
      </c>
      <c r="J358" s="174">
        <v>0</v>
      </c>
      <c r="K358" s="43" t="e">
        <f t="shared" si="10"/>
        <v>#DIV/0!</v>
      </c>
      <c r="L358" s="195" t="s">
        <v>462</v>
      </c>
    </row>
    <row r="359" spans="1:14" ht="49.9" customHeight="1" outlineLevel="1" x14ac:dyDescent="0.25">
      <c r="A359" s="479" t="s">
        <v>140</v>
      </c>
      <c r="B359" s="482" t="s">
        <v>365</v>
      </c>
      <c r="C359" s="482" t="s">
        <v>366</v>
      </c>
      <c r="D359" s="482" t="s">
        <v>367</v>
      </c>
      <c r="E359" s="482" t="s">
        <v>368</v>
      </c>
      <c r="F359" s="478">
        <v>0.45</v>
      </c>
      <c r="G359" s="177" t="s">
        <v>319</v>
      </c>
      <c r="H359" s="211">
        <f>+INVERSIÓN!BD10</f>
        <v>1</v>
      </c>
      <c r="I359" s="240">
        <v>0</v>
      </c>
      <c r="J359" s="174">
        <v>0</v>
      </c>
      <c r="K359" s="43" t="e">
        <f t="shared" si="10"/>
        <v>#DIV/0!</v>
      </c>
      <c r="L359" s="195" t="s">
        <v>469</v>
      </c>
    </row>
    <row r="360" spans="1:14" ht="49.9" customHeight="1" outlineLevel="1" x14ac:dyDescent="0.25">
      <c r="A360" s="480"/>
      <c r="B360" s="482"/>
      <c r="C360" s="482"/>
      <c r="D360" s="482"/>
      <c r="E360" s="482"/>
      <c r="F360" s="478"/>
      <c r="G360" s="177" t="s">
        <v>332</v>
      </c>
      <c r="H360" s="210">
        <f>+INVERSIÓN!BD17</f>
        <v>7.9999999999999991</v>
      </c>
      <c r="I360" s="240">
        <v>0</v>
      </c>
      <c r="J360" s="174">
        <v>0</v>
      </c>
      <c r="K360" s="43" t="e">
        <f t="shared" si="10"/>
        <v>#DIV/0!</v>
      </c>
      <c r="L360" s="195" t="s">
        <v>348</v>
      </c>
    </row>
    <row r="361" spans="1:14" ht="49.9" customHeight="1" outlineLevel="1" x14ac:dyDescent="0.25">
      <c r="A361" s="480"/>
      <c r="B361" s="482"/>
      <c r="C361" s="482"/>
      <c r="D361" s="482"/>
      <c r="E361" s="482"/>
      <c r="F361" s="478"/>
      <c r="G361" s="177" t="s">
        <v>333</v>
      </c>
      <c r="H361" s="210">
        <f>+INVERSIÓN!BD24</f>
        <v>1.9999999999999998</v>
      </c>
      <c r="I361" s="240">
        <v>0</v>
      </c>
      <c r="J361" s="174">
        <v>0</v>
      </c>
      <c r="K361" s="43" t="e">
        <f t="shared" si="10"/>
        <v>#DIV/0!</v>
      </c>
      <c r="L361" s="195" t="s">
        <v>470</v>
      </c>
    </row>
    <row r="362" spans="1:14" ht="49.9" customHeight="1" outlineLevel="1" x14ac:dyDescent="0.25">
      <c r="A362" s="480"/>
      <c r="B362" s="177" t="s">
        <v>372</v>
      </c>
      <c r="C362" s="177" t="s">
        <v>373</v>
      </c>
      <c r="D362" s="177" t="s">
        <v>374</v>
      </c>
      <c r="E362" s="177" t="s">
        <v>265</v>
      </c>
      <c r="F362" s="185">
        <v>0.15</v>
      </c>
      <c r="G362" s="177" t="s">
        <v>267</v>
      </c>
      <c r="H362" s="210">
        <f>+INVERSIÓN!BD31</f>
        <v>897</v>
      </c>
      <c r="I362" s="240">
        <v>0</v>
      </c>
      <c r="J362" s="174">
        <v>0</v>
      </c>
      <c r="K362" s="43" t="e">
        <f t="shared" si="10"/>
        <v>#DIV/0!</v>
      </c>
      <c r="L362" s="195" t="s">
        <v>471</v>
      </c>
    </row>
    <row r="363" spans="1:14" ht="49.9" customHeight="1" outlineLevel="1" x14ac:dyDescent="0.25">
      <c r="A363" s="480"/>
      <c r="B363" s="177" t="s">
        <v>376</v>
      </c>
      <c r="C363" s="177" t="s">
        <v>377</v>
      </c>
      <c r="D363" s="177" t="s">
        <v>378</v>
      </c>
      <c r="E363" s="177" t="s">
        <v>265</v>
      </c>
      <c r="F363" s="185">
        <v>0.15</v>
      </c>
      <c r="G363" s="177" t="s">
        <v>268</v>
      </c>
      <c r="H363" s="211">
        <f>+INVERSIÓN!BD38</f>
        <v>1</v>
      </c>
      <c r="I363" s="240">
        <v>0</v>
      </c>
      <c r="J363" s="174">
        <v>0</v>
      </c>
      <c r="K363" s="43" t="e">
        <f t="shared" si="10"/>
        <v>#DIV/0!</v>
      </c>
      <c r="L363" s="195" t="s">
        <v>472</v>
      </c>
    </row>
    <row r="364" spans="1:14" ht="49.9" customHeight="1" outlineLevel="1" x14ac:dyDescent="0.25">
      <c r="A364" s="480"/>
      <c r="B364" s="482" t="s">
        <v>380</v>
      </c>
      <c r="C364" s="482" t="s">
        <v>381</v>
      </c>
      <c r="D364" s="482" t="s">
        <v>382</v>
      </c>
      <c r="E364" s="482" t="s">
        <v>368</v>
      </c>
      <c r="F364" s="478">
        <v>0.25</v>
      </c>
      <c r="G364" s="177" t="s">
        <v>263</v>
      </c>
      <c r="H364" s="191">
        <f>+INVERSIÓN!BD45</f>
        <v>4950</v>
      </c>
      <c r="I364" s="240">
        <v>0</v>
      </c>
      <c r="J364" s="174">
        <v>0</v>
      </c>
      <c r="K364" s="43" t="e">
        <f t="shared" si="10"/>
        <v>#DIV/0!</v>
      </c>
      <c r="L364" s="195" t="s">
        <v>473</v>
      </c>
    </row>
    <row r="365" spans="1:14" ht="49.9" customHeight="1" outlineLevel="1" x14ac:dyDescent="0.25">
      <c r="A365" s="481"/>
      <c r="B365" s="482"/>
      <c r="C365" s="482"/>
      <c r="D365" s="482"/>
      <c r="E365" s="482"/>
      <c r="F365" s="478"/>
      <c r="G365" s="177" t="s">
        <v>325</v>
      </c>
      <c r="H365" s="185">
        <f>+INVERSIÓN!BD52</f>
        <v>1</v>
      </c>
      <c r="I365" s="240">
        <v>0</v>
      </c>
      <c r="J365" s="174">
        <v>0</v>
      </c>
      <c r="K365" s="43" t="e">
        <f t="shared" si="10"/>
        <v>#DIV/0!</v>
      </c>
      <c r="L365" s="195" t="s">
        <v>474</v>
      </c>
    </row>
    <row r="366" spans="1:14" ht="49.9" customHeight="1" outlineLevel="1" x14ac:dyDescent="0.25">
      <c r="A366" s="490" t="s">
        <v>128</v>
      </c>
      <c r="B366" s="482" t="s">
        <v>365</v>
      </c>
      <c r="C366" s="482" t="s">
        <v>366</v>
      </c>
      <c r="D366" s="482" t="s">
        <v>367</v>
      </c>
      <c r="E366" s="482" t="s">
        <v>368</v>
      </c>
      <c r="F366" s="478">
        <v>0.45</v>
      </c>
      <c r="G366" s="205" t="s">
        <v>319</v>
      </c>
      <c r="H366" s="206">
        <f>+INVERSIÓN!BD10</f>
        <v>1</v>
      </c>
      <c r="I366" s="240">
        <v>0</v>
      </c>
      <c r="J366" s="204">
        <v>0</v>
      </c>
      <c r="K366" s="43" t="e">
        <f t="shared" ref="K366:K372" si="11">J366/I366</f>
        <v>#DIV/0!</v>
      </c>
      <c r="L366" s="213" t="s">
        <v>523</v>
      </c>
      <c r="N366" s="212"/>
    </row>
    <row r="367" spans="1:14" ht="49.9" customHeight="1" outlineLevel="1" x14ac:dyDescent="0.25">
      <c r="A367" s="490"/>
      <c r="B367" s="482"/>
      <c r="C367" s="482"/>
      <c r="D367" s="482"/>
      <c r="E367" s="482"/>
      <c r="F367" s="478"/>
      <c r="G367" s="205" t="s">
        <v>332</v>
      </c>
      <c r="H367" s="210">
        <f>+INVERSIÓN!BD17</f>
        <v>7.9999999999999991</v>
      </c>
      <c r="I367" s="240">
        <v>0</v>
      </c>
      <c r="J367" s="204">
        <v>0</v>
      </c>
      <c r="K367" s="43" t="e">
        <f t="shared" si="11"/>
        <v>#DIV/0!</v>
      </c>
      <c r="L367" s="213" t="s">
        <v>524</v>
      </c>
      <c r="N367" s="212"/>
    </row>
    <row r="368" spans="1:14" ht="49.9" customHeight="1" outlineLevel="1" x14ac:dyDescent="0.25">
      <c r="A368" s="490"/>
      <c r="B368" s="482"/>
      <c r="C368" s="482"/>
      <c r="D368" s="482"/>
      <c r="E368" s="482"/>
      <c r="F368" s="478"/>
      <c r="G368" s="205" t="s">
        <v>333</v>
      </c>
      <c r="H368" s="210">
        <f>+INVERSIÓN!BD24</f>
        <v>1.9999999999999998</v>
      </c>
      <c r="I368" s="240">
        <v>0</v>
      </c>
      <c r="J368" s="204">
        <v>0</v>
      </c>
      <c r="K368" s="43" t="e">
        <f t="shared" si="11"/>
        <v>#DIV/0!</v>
      </c>
      <c r="L368" s="213" t="s">
        <v>525</v>
      </c>
      <c r="N368" s="212"/>
    </row>
    <row r="369" spans="1:14" ht="49.9" customHeight="1" outlineLevel="1" x14ac:dyDescent="0.25">
      <c r="A369" s="490"/>
      <c r="B369" s="205" t="s">
        <v>372</v>
      </c>
      <c r="C369" s="205" t="s">
        <v>373</v>
      </c>
      <c r="D369" s="205" t="s">
        <v>374</v>
      </c>
      <c r="E369" s="205" t="s">
        <v>265</v>
      </c>
      <c r="F369" s="206">
        <v>0.15</v>
      </c>
      <c r="G369" s="205" t="s">
        <v>267</v>
      </c>
      <c r="H369" s="210">
        <f>+INVERSIÓN!BD31</f>
        <v>897</v>
      </c>
      <c r="I369" s="240">
        <v>0</v>
      </c>
      <c r="J369" s="204">
        <v>0</v>
      </c>
      <c r="K369" s="43" t="e">
        <f t="shared" si="11"/>
        <v>#DIV/0!</v>
      </c>
      <c r="L369" s="213" t="s">
        <v>529</v>
      </c>
      <c r="N369" s="212"/>
    </row>
    <row r="370" spans="1:14" ht="49.9" customHeight="1" outlineLevel="1" x14ac:dyDescent="0.25">
      <c r="A370" s="490"/>
      <c r="B370" s="205" t="s">
        <v>376</v>
      </c>
      <c r="C370" s="205" t="s">
        <v>377</v>
      </c>
      <c r="D370" s="205" t="s">
        <v>378</v>
      </c>
      <c r="E370" s="205" t="s">
        <v>265</v>
      </c>
      <c r="F370" s="206">
        <v>0.15</v>
      </c>
      <c r="G370" s="205" t="s">
        <v>268</v>
      </c>
      <c r="H370" s="211">
        <f>+INVERSIÓN!BD38</f>
        <v>1</v>
      </c>
      <c r="I370" s="240">
        <v>0</v>
      </c>
      <c r="J370" s="204">
        <v>0</v>
      </c>
      <c r="K370" s="43" t="e">
        <f t="shared" si="11"/>
        <v>#DIV/0!</v>
      </c>
      <c r="L370" s="213" t="s">
        <v>526</v>
      </c>
      <c r="N370" s="212"/>
    </row>
    <row r="371" spans="1:14" ht="49.9" customHeight="1" outlineLevel="1" x14ac:dyDescent="0.25">
      <c r="A371" s="490"/>
      <c r="B371" s="482" t="s">
        <v>380</v>
      </c>
      <c r="C371" s="482" t="s">
        <v>381</v>
      </c>
      <c r="D371" s="482" t="s">
        <v>382</v>
      </c>
      <c r="E371" s="482" t="s">
        <v>368</v>
      </c>
      <c r="F371" s="478">
        <v>0.25</v>
      </c>
      <c r="G371" s="205" t="s">
        <v>263</v>
      </c>
      <c r="H371" s="210">
        <f>+INVERSIÓN!BD45</f>
        <v>4950</v>
      </c>
      <c r="I371" s="240">
        <v>0</v>
      </c>
      <c r="J371" s="204">
        <v>0</v>
      </c>
      <c r="K371" s="43" t="e">
        <f t="shared" si="11"/>
        <v>#DIV/0!</v>
      </c>
      <c r="L371" s="213" t="s">
        <v>527</v>
      </c>
      <c r="N371" s="212"/>
    </row>
    <row r="372" spans="1:14" ht="49.9" customHeight="1" outlineLevel="1" x14ac:dyDescent="0.25">
      <c r="A372" s="490"/>
      <c r="B372" s="482"/>
      <c r="C372" s="482"/>
      <c r="D372" s="482"/>
      <c r="E372" s="482"/>
      <c r="F372" s="478"/>
      <c r="G372" s="205" t="s">
        <v>325</v>
      </c>
      <c r="H372" s="211">
        <f>+INVERSIÓN!BD52</f>
        <v>1</v>
      </c>
      <c r="I372" s="240">
        <v>0</v>
      </c>
      <c r="J372" s="204">
        <v>0</v>
      </c>
      <c r="K372" s="43" t="e">
        <f t="shared" si="11"/>
        <v>#DIV/0!</v>
      </c>
      <c r="L372" s="213" t="s">
        <v>528</v>
      </c>
      <c r="N372" s="212"/>
    </row>
    <row r="373" spans="1:14" ht="49.9" customHeight="1" outlineLevel="1" x14ac:dyDescent="0.25">
      <c r="A373" s="479" t="s">
        <v>129</v>
      </c>
      <c r="B373" s="482" t="s">
        <v>365</v>
      </c>
      <c r="C373" s="482" t="s">
        <v>366</v>
      </c>
      <c r="D373" s="482" t="s">
        <v>367</v>
      </c>
      <c r="E373" s="482" t="s">
        <v>368</v>
      </c>
      <c r="F373" s="478">
        <v>0.45</v>
      </c>
      <c r="G373" s="229" t="s">
        <v>319</v>
      </c>
      <c r="H373" s="230">
        <f>+INVERSIÓN!BD10</f>
        <v>1</v>
      </c>
      <c r="I373" s="240">
        <v>0</v>
      </c>
      <c r="J373" s="228">
        <v>0</v>
      </c>
      <c r="K373" s="43" t="e">
        <f t="shared" ref="K373:K379" si="12">J373/I373</f>
        <v>#DIV/0!</v>
      </c>
      <c r="L373" s="195" t="s">
        <v>535</v>
      </c>
    </row>
    <row r="374" spans="1:14" ht="49.9" customHeight="1" outlineLevel="1" x14ac:dyDescent="0.25">
      <c r="A374" s="480"/>
      <c r="B374" s="482"/>
      <c r="C374" s="482"/>
      <c r="D374" s="482"/>
      <c r="E374" s="482"/>
      <c r="F374" s="478"/>
      <c r="G374" s="229" t="s">
        <v>332</v>
      </c>
      <c r="H374" s="210">
        <f>+INVERSIÓN!BD17</f>
        <v>7.9999999999999991</v>
      </c>
      <c r="I374" s="240">
        <v>0</v>
      </c>
      <c r="J374" s="228">
        <v>0</v>
      </c>
      <c r="K374" s="43" t="e">
        <f t="shared" si="12"/>
        <v>#DIV/0!</v>
      </c>
      <c r="L374" s="195" t="s">
        <v>534</v>
      </c>
    </row>
    <row r="375" spans="1:14" ht="49.9" customHeight="1" outlineLevel="1" x14ac:dyDescent="0.25">
      <c r="A375" s="480"/>
      <c r="B375" s="482"/>
      <c r="C375" s="482"/>
      <c r="D375" s="482"/>
      <c r="E375" s="482"/>
      <c r="F375" s="478"/>
      <c r="G375" s="229" t="s">
        <v>333</v>
      </c>
      <c r="H375" s="210">
        <f>+INVERSIÓN!BD24</f>
        <v>1.9999999999999998</v>
      </c>
      <c r="I375" s="240">
        <v>0</v>
      </c>
      <c r="J375" s="228">
        <v>0</v>
      </c>
      <c r="K375" s="43" t="e">
        <f t="shared" si="12"/>
        <v>#DIV/0!</v>
      </c>
      <c r="L375" s="195" t="s">
        <v>536</v>
      </c>
    </row>
    <row r="376" spans="1:14" ht="49.9" customHeight="1" outlineLevel="1" x14ac:dyDescent="0.25">
      <c r="A376" s="480"/>
      <c r="B376" s="229" t="s">
        <v>372</v>
      </c>
      <c r="C376" s="229" t="s">
        <v>373</v>
      </c>
      <c r="D376" s="229" t="s">
        <v>374</v>
      </c>
      <c r="E376" s="229" t="s">
        <v>265</v>
      </c>
      <c r="F376" s="230">
        <v>0.15</v>
      </c>
      <c r="G376" s="229" t="s">
        <v>267</v>
      </c>
      <c r="H376" s="210">
        <f>+INVERSIÓN!BD31</f>
        <v>897</v>
      </c>
      <c r="I376" s="240">
        <v>0</v>
      </c>
      <c r="J376" s="228">
        <v>0</v>
      </c>
      <c r="K376" s="43" t="e">
        <f t="shared" si="12"/>
        <v>#DIV/0!</v>
      </c>
      <c r="L376" s="195" t="s">
        <v>532</v>
      </c>
    </row>
    <row r="377" spans="1:14" ht="49.9" customHeight="1" outlineLevel="1" x14ac:dyDescent="0.25">
      <c r="A377" s="480"/>
      <c r="B377" s="229" t="s">
        <v>376</v>
      </c>
      <c r="C377" s="229" t="s">
        <v>377</v>
      </c>
      <c r="D377" s="229" t="s">
        <v>378</v>
      </c>
      <c r="E377" s="229" t="s">
        <v>265</v>
      </c>
      <c r="F377" s="230">
        <v>0.15</v>
      </c>
      <c r="G377" s="229" t="s">
        <v>268</v>
      </c>
      <c r="H377" s="211">
        <f>+INVERSIÓN!BD38</f>
        <v>1</v>
      </c>
      <c r="I377" s="240">
        <v>0</v>
      </c>
      <c r="J377" s="228">
        <v>0</v>
      </c>
      <c r="K377" s="43" t="e">
        <f t="shared" si="12"/>
        <v>#DIV/0!</v>
      </c>
      <c r="L377" s="195" t="s">
        <v>533</v>
      </c>
    </row>
    <row r="378" spans="1:14" ht="49.9" customHeight="1" outlineLevel="1" x14ac:dyDescent="0.25">
      <c r="A378" s="480"/>
      <c r="B378" s="482" t="s">
        <v>380</v>
      </c>
      <c r="C378" s="482" t="s">
        <v>381</v>
      </c>
      <c r="D378" s="482" t="s">
        <v>382</v>
      </c>
      <c r="E378" s="482" t="s">
        <v>368</v>
      </c>
      <c r="F378" s="478">
        <v>0.25</v>
      </c>
      <c r="G378" s="229" t="s">
        <v>263</v>
      </c>
      <c r="H378" s="210">
        <f>+INVERSIÓN!BD45</f>
        <v>4950</v>
      </c>
      <c r="I378" s="240">
        <v>0</v>
      </c>
      <c r="J378" s="228">
        <v>0</v>
      </c>
      <c r="K378" s="43" t="e">
        <f t="shared" si="12"/>
        <v>#DIV/0!</v>
      </c>
      <c r="L378" s="195" t="s">
        <v>531</v>
      </c>
    </row>
    <row r="379" spans="1:14" ht="49.9" customHeight="1" outlineLevel="1" x14ac:dyDescent="0.25">
      <c r="A379" s="481"/>
      <c r="B379" s="482"/>
      <c r="C379" s="482"/>
      <c r="D379" s="482"/>
      <c r="E379" s="482"/>
      <c r="F379" s="478"/>
      <c r="G379" s="229" t="s">
        <v>325</v>
      </c>
      <c r="H379" s="211">
        <f>+INVERSIÓN!BD52</f>
        <v>1</v>
      </c>
      <c r="I379" s="240">
        <v>0</v>
      </c>
      <c r="J379" s="228">
        <v>0</v>
      </c>
      <c r="K379" s="43" t="e">
        <f t="shared" si="12"/>
        <v>#DIV/0!</v>
      </c>
      <c r="L379" s="195" t="s">
        <v>537</v>
      </c>
    </row>
    <row r="380" spans="1:14" ht="49.9" customHeight="1" outlineLevel="1" x14ac:dyDescent="0.25">
      <c r="A380" s="479" t="s">
        <v>130</v>
      </c>
      <c r="B380" s="482" t="s">
        <v>365</v>
      </c>
      <c r="C380" s="482" t="s">
        <v>366</v>
      </c>
      <c r="D380" s="482" t="s">
        <v>367</v>
      </c>
      <c r="E380" s="482" t="s">
        <v>368</v>
      </c>
      <c r="F380" s="478">
        <v>0.45</v>
      </c>
      <c r="G380" s="232" t="s">
        <v>319</v>
      </c>
      <c r="H380" s="231">
        <f>+INVERSIÓN!BD10</f>
        <v>1</v>
      </c>
      <c r="I380" s="241">
        <v>0</v>
      </c>
      <c r="J380" s="43">
        <v>0</v>
      </c>
      <c r="K380" s="43" t="e">
        <f t="shared" ref="K380:K401" si="13">J380/I380</f>
        <v>#DIV/0!</v>
      </c>
      <c r="L380" s="245" t="s">
        <v>543</v>
      </c>
      <c r="N380" s="244"/>
    </row>
    <row r="381" spans="1:14" ht="49.9" customHeight="1" outlineLevel="1" x14ac:dyDescent="0.25">
      <c r="A381" s="480"/>
      <c r="B381" s="482"/>
      <c r="C381" s="482"/>
      <c r="D381" s="482"/>
      <c r="E381" s="482"/>
      <c r="F381" s="478"/>
      <c r="G381" s="232" t="s">
        <v>332</v>
      </c>
      <c r="H381" s="210">
        <f>+INVERSIÓN!BD17</f>
        <v>7.9999999999999991</v>
      </c>
      <c r="I381" s="241">
        <v>0</v>
      </c>
      <c r="J381" s="43">
        <v>0</v>
      </c>
      <c r="K381" s="43" t="e">
        <f t="shared" si="13"/>
        <v>#DIV/0!</v>
      </c>
      <c r="L381" s="245" t="s">
        <v>541</v>
      </c>
      <c r="N381" s="244"/>
    </row>
    <row r="382" spans="1:14" ht="49.9" customHeight="1" outlineLevel="1" x14ac:dyDescent="0.25">
      <c r="A382" s="480"/>
      <c r="B382" s="482"/>
      <c r="C382" s="482"/>
      <c r="D382" s="482"/>
      <c r="E382" s="482"/>
      <c r="F382" s="478"/>
      <c r="G382" s="232" t="s">
        <v>333</v>
      </c>
      <c r="H382" s="210">
        <f>+INVERSIÓN!BD24</f>
        <v>1.9999999999999998</v>
      </c>
      <c r="I382" s="241">
        <v>0</v>
      </c>
      <c r="J382" s="43">
        <v>0</v>
      </c>
      <c r="K382" s="43" t="e">
        <f t="shared" si="13"/>
        <v>#DIV/0!</v>
      </c>
      <c r="L382" s="245" t="s">
        <v>542</v>
      </c>
      <c r="N382" s="244"/>
    </row>
    <row r="383" spans="1:14" ht="49.9" customHeight="1" outlineLevel="1" x14ac:dyDescent="0.25">
      <c r="A383" s="480"/>
      <c r="B383" s="232" t="s">
        <v>372</v>
      </c>
      <c r="C383" s="232" t="s">
        <v>373</v>
      </c>
      <c r="D383" s="232" t="s">
        <v>374</v>
      </c>
      <c r="E383" s="232" t="s">
        <v>265</v>
      </c>
      <c r="F383" s="231">
        <v>0.15</v>
      </c>
      <c r="G383" s="232" t="s">
        <v>267</v>
      </c>
      <c r="H383" s="210">
        <f>+INVERSIÓN!BD31</f>
        <v>897</v>
      </c>
      <c r="I383" s="241">
        <v>0</v>
      </c>
      <c r="J383" s="43">
        <v>0</v>
      </c>
      <c r="K383" s="43" t="e">
        <f t="shared" si="13"/>
        <v>#DIV/0!</v>
      </c>
      <c r="L383" s="245" t="s">
        <v>539</v>
      </c>
      <c r="N383" s="244"/>
    </row>
    <row r="384" spans="1:14" ht="49.9" customHeight="1" outlineLevel="1" x14ac:dyDescent="0.25">
      <c r="A384" s="480"/>
      <c r="B384" s="232" t="s">
        <v>376</v>
      </c>
      <c r="C384" s="232" t="s">
        <v>377</v>
      </c>
      <c r="D384" s="232" t="s">
        <v>378</v>
      </c>
      <c r="E384" s="232" t="s">
        <v>265</v>
      </c>
      <c r="F384" s="231">
        <v>0.15</v>
      </c>
      <c r="G384" s="232" t="s">
        <v>268</v>
      </c>
      <c r="H384" s="211">
        <f>+INVERSIÓN!BD38</f>
        <v>1</v>
      </c>
      <c r="I384" s="241">
        <v>0</v>
      </c>
      <c r="J384" s="43">
        <v>0</v>
      </c>
      <c r="K384" s="43" t="e">
        <f t="shared" si="13"/>
        <v>#DIV/0!</v>
      </c>
      <c r="L384" s="245" t="s">
        <v>540</v>
      </c>
      <c r="N384" s="244"/>
    </row>
    <row r="385" spans="1:14" ht="49.9" customHeight="1" outlineLevel="1" x14ac:dyDescent="0.25">
      <c r="A385" s="480"/>
      <c r="B385" s="482" t="s">
        <v>380</v>
      </c>
      <c r="C385" s="482" t="s">
        <v>381</v>
      </c>
      <c r="D385" s="482" t="s">
        <v>382</v>
      </c>
      <c r="E385" s="482" t="s">
        <v>368</v>
      </c>
      <c r="F385" s="478">
        <v>0.25</v>
      </c>
      <c r="G385" s="232" t="s">
        <v>263</v>
      </c>
      <c r="H385" s="210">
        <f>+INVERSIÓN!BD45</f>
        <v>4950</v>
      </c>
      <c r="I385" s="241">
        <v>0</v>
      </c>
      <c r="J385" s="43">
        <v>0</v>
      </c>
      <c r="K385" s="43" t="e">
        <f t="shared" si="13"/>
        <v>#DIV/0!</v>
      </c>
      <c r="L385" s="245" t="s">
        <v>538</v>
      </c>
      <c r="N385" s="244"/>
    </row>
    <row r="386" spans="1:14" ht="49.9" customHeight="1" outlineLevel="1" x14ac:dyDescent="0.25">
      <c r="A386" s="481"/>
      <c r="B386" s="482"/>
      <c r="C386" s="482"/>
      <c r="D386" s="482"/>
      <c r="E386" s="482"/>
      <c r="F386" s="478"/>
      <c r="G386" s="232" t="s">
        <v>325</v>
      </c>
      <c r="H386" s="211">
        <f>+INVERSIÓN!BD52</f>
        <v>1</v>
      </c>
      <c r="I386" s="241">
        <v>0</v>
      </c>
      <c r="J386" s="43">
        <v>0</v>
      </c>
      <c r="K386" s="43" t="e">
        <f t="shared" si="13"/>
        <v>#DIV/0!</v>
      </c>
      <c r="L386" s="245" t="s">
        <v>544</v>
      </c>
      <c r="N386" s="244"/>
    </row>
    <row r="387" spans="1:14" ht="49.9" customHeight="1" outlineLevel="1" x14ac:dyDescent="0.25">
      <c r="A387" s="479" t="s">
        <v>131</v>
      </c>
      <c r="B387" s="482" t="s">
        <v>365</v>
      </c>
      <c r="C387" s="482" t="s">
        <v>366</v>
      </c>
      <c r="D387" s="482" t="s">
        <v>367</v>
      </c>
      <c r="E387" s="482" t="s">
        <v>368</v>
      </c>
      <c r="F387" s="478">
        <v>0.45</v>
      </c>
      <c r="G387" s="250" t="s">
        <v>319</v>
      </c>
      <c r="H387" s="249">
        <f>+INVERSIÓN!BD10</f>
        <v>1</v>
      </c>
      <c r="I387" s="241">
        <v>0</v>
      </c>
      <c r="J387" s="43">
        <v>0</v>
      </c>
      <c r="K387" s="43" t="e">
        <f t="shared" ref="K387:K393" si="14">J387/I387</f>
        <v>#DIV/0!</v>
      </c>
      <c r="L387" s="245" t="s">
        <v>550</v>
      </c>
    </row>
    <row r="388" spans="1:14" ht="49.9" customHeight="1" outlineLevel="1" x14ac:dyDescent="0.25">
      <c r="A388" s="480"/>
      <c r="B388" s="482"/>
      <c r="C388" s="482"/>
      <c r="D388" s="482"/>
      <c r="E388" s="482"/>
      <c r="F388" s="478"/>
      <c r="G388" s="250" t="s">
        <v>332</v>
      </c>
      <c r="H388" s="210">
        <f>+INVERSIÓN!BD17</f>
        <v>7.9999999999999991</v>
      </c>
      <c r="I388" s="241">
        <v>0</v>
      </c>
      <c r="J388" s="43">
        <v>0</v>
      </c>
      <c r="K388" s="43" t="e">
        <f t="shared" si="14"/>
        <v>#DIV/0!</v>
      </c>
      <c r="L388" s="245" t="s">
        <v>548</v>
      </c>
    </row>
    <row r="389" spans="1:14" ht="49.9" customHeight="1" outlineLevel="1" x14ac:dyDescent="0.25">
      <c r="A389" s="480"/>
      <c r="B389" s="482"/>
      <c r="C389" s="482"/>
      <c r="D389" s="482"/>
      <c r="E389" s="482"/>
      <c r="F389" s="478"/>
      <c r="G389" s="250" t="s">
        <v>333</v>
      </c>
      <c r="H389" s="210">
        <f>+INVERSIÓN!BD24</f>
        <v>1.9999999999999998</v>
      </c>
      <c r="I389" s="241">
        <v>0</v>
      </c>
      <c r="J389" s="43">
        <v>0</v>
      </c>
      <c r="K389" s="43" t="e">
        <f t="shared" si="14"/>
        <v>#DIV/0!</v>
      </c>
      <c r="L389" s="245" t="s">
        <v>551</v>
      </c>
    </row>
    <row r="390" spans="1:14" ht="49.9" customHeight="1" outlineLevel="1" x14ac:dyDescent="0.25">
      <c r="A390" s="480"/>
      <c r="B390" s="250" t="s">
        <v>372</v>
      </c>
      <c r="C390" s="250" t="s">
        <v>373</v>
      </c>
      <c r="D390" s="250" t="s">
        <v>374</v>
      </c>
      <c r="E390" s="250" t="s">
        <v>265</v>
      </c>
      <c r="F390" s="249">
        <v>0.15</v>
      </c>
      <c r="G390" s="250" t="s">
        <v>267</v>
      </c>
      <c r="H390" s="210">
        <f>+INVERSIÓN!BD31</f>
        <v>897</v>
      </c>
      <c r="I390" s="241">
        <v>0</v>
      </c>
      <c r="J390" s="43">
        <v>0</v>
      </c>
      <c r="K390" s="43" t="e">
        <f t="shared" si="14"/>
        <v>#DIV/0!</v>
      </c>
      <c r="L390" s="245" t="s">
        <v>545</v>
      </c>
    </row>
    <row r="391" spans="1:14" ht="49.9" customHeight="1" outlineLevel="1" x14ac:dyDescent="0.25">
      <c r="A391" s="480"/>
      <c r="B391" s="250" t="s">
        <v>376</v>
      </c>
      <c r="C391" s="250" t="s">
        <v>377</v>
      </c>
      <c r="D391" s="250" t="s">
        <v>378</v>
      </c>
      <c r="E391" s="250" t="s">
        <v>265</v>
      </c>
      <c r="F391" s="249">
        <v>0.15</v>
      </c>
      <c r="G391" s="250" t="s">
        <v>268</v>
      </c>
      <c r="H391" s="211">
        <f>+INVERSIÓN!BD38</f>
        <v>1</v>
      </c>
      <c r="I391" s="241">
        <v>0</v>
      </c>
      <c r="J391" s="43">
        <v>0</v>
      </c>
      <c r="K391" s="43" t="e">
        <f t="shared" si="14"/>
        <v>#DIV/0!</v>
      </c>
      <c r="L391" s="245" t="s">
        <v>547</v>
      </c>
    </row>
    <row r="392" spans="1:14" ht="49.9" customHeight="1" outlineLevel="1" x14ac:dyDescent="0.25">
      <c r="A392" s="480"/>
      <c r="B392" s="482" t="s">
        <v>380</v>
      </c>
      <c r="C392" s="482" t="s">
        <v>381</v>
      </c>
      <c r="D392" s="482" t="s">
        <v>382</v>
      </c>
      <c r="E392" s="482" t="s">
        <v>368</v>
      </c>
      <c r="F392" s="478">
        <v>0.25</v>
      </c>
      <c r="G392" s="250" t="s">
        <v>263</v>
      </c>
      <c r="H392" s="210">
        <f>+INVERSIÓN!BD45</f>
        <v>4950</v>
      </c>
      <c r="I392" s="241">
        <v>0</v>
      </c>
      <c r="J392" s="43">
        <v>0</v>
      </c>
      <c r="K392" s="43" t="e">
        <f t="shared" si="14"/>
        <v>#DIV/0!</v>
      </c>
      <c r="L392" s="245" t="s">
        <v>552</v>
      </c>
    </row>
    <row r="393" spans="1:14" ht="49.9" customHeight="1" outlineLevel="1" x14ac:dyDescent="0.25">
      <c r="A393" s="481"/>
      <c r="B393" s="482"/>
      <c r="C393" s="482"/>
      <c r="D393" s="482"/>
      <c r="E393" s="482"/>
      <c r="F393" s="478"/>
      <c r="G393" s="250" t="s">
        <v>325</v>
      </c>
      <c r="H393" s="211">
        <f>+INVERSIÓN!BD52</f>
        <v>1</v>
      </c>
      <c r="I393" s="241">
        <v>0</v>
      </c>
      <c r="J393" s="43">
        <v>0</v>
      </c>
      <c r="K393" s="43" t="e">
        <f t="shared" si="14"/>
        <v>#DIV/0!</v>
      </c>
      <c r="L393" s="245" t="s">
        <v>549</v>
      </c>
    </row>
    <row r="394" spans="1:14" ht="49.9" customHeight="1" outlineLevel="1" x14ac:dyDescent="0.25">
      <c r="A394" s="479" t="s">
        <v>132</v>
      </c>
      <c r="B394" s="482" t="s">
        <v>365</v>
      </c>
      <c r="C394" s="482" t="s">
        <v>366</v>
      </c>
      <c r="D394" s="482" t="s">
        <v>367</v>
      </c>
      <c r="E394" s="482" t="s">
        <v>368</v>
      </c>
      <c r="F394" s="478">
        <v>0.45</v>
      </c>
      <c r="G394" s="255" t="s">
        <v>319</v>
      </c>
      <c r="H394" s="256">
        <f>+INVERSIÓN!BD10</f>
        <v>1</v>
      </c>
      <c r="I394" s="241">
        <v>0</v>
      </c>
      <c r="J394" s="43">
        <v>0</v>
      </c>
      <c r="K394" s="260" t="e">
        <f>J394/I394</f>
        <v>#DIV/0!</v>
      </c>
      <c r="L394" s="245" t="s">
        <v>567</v>
      </c>
    </row>
    <row r="395" spans="1:14" ht="49.9" customHeight="1" outlineLevel="1" x14ac:dyDescent="0.25">
      <c r="A395" s="480"/>
      <c r="B395" s="482"/>
      <c r="C395" s="482"/>
      <c r="D395" s="482"/>
      <c r="E395" s="482"/>
      <c r="F395" s="478"/>
      <c r="G395" s="255" t="s">
        <v>332</v>
      </c>
      <c r="H395" s="210">
        <f>+INVERSIÓN!BD17</f>
        <v>7.9999999999999991</v>
      </c>
      <c r="I395" s="241">
        <v>0</v>
      </c>
      <c r="J395" s="43">
        <v>0</v>
      </c>
      <c r="K395" s="43" t="e">
        <f t="shared" ref="K395:K400" si="15">J395/I395</f>
        <v>#DIV/0!</v>
      </c>
      <c r="L395" s="245" t="s">
        <v>564</v>
      </c>
    </row>
    <row r="396" spans="1:14" ht="49.9" customHeight="1" outlineLevel="1" x14ac:dyDescent="0.25">
      <c r="A396" s="480"/>
      <c r="B396" s="482"/>
      <c r="C396" s="482"/>
      <c r="D396" s="482"/>
      <c r="E396" s="482"/>
      <c r="F396" s="478"/>
      <c r="G396" s="255" t="s">
        <v>333</v>
      </c>
      <c r="H396" s="210">
        <f>+INVERSIÓN!BD24</f>
        <v>1.9999999999999998</v>
      </c>
      <c r="I396" s="241">
        <v>0</v>
      </c>
      <c r="J396" s="43">
        <v>0</v>
      </c>
      <c r="K396" s="43" t="e">
        <f t="shared" si="15"/>
        <v>#DIV/0!</v>
      </c>
      <c r="L396" s="245" t="s">
        <v>569</v>
      </c>
    </row>
    <row r="397" spans="1:14" ht="49.9" customHeight="1" outlineLevel="1" x14ac:dyDescent="0.25">
      <c r="A397" s="480"/>
      <c r="B397" s="255" t="s">
        <v>372</v>
      </c>
      <c r="C397" s="255" t="s">
        <v>373</v>
      </c>
      <c r="D397" s="255" t="s">
        <v>374</v>
      </c>
      <c r="E397" s="255" t="s">
        <v>265</v>
      </c>
      <c r="F397" s="256">
        <v>0.15</v>
      </c>
      <c r="G397" s="255" t="s">
        <v>267</v>
      </c>
      <c r="H397" s="210">
        <f>+INVERSIÓN!BD31</f>
        <v>897</v>
      </c>
      <c r="I397" s="241">
        <v>0</v>
      </c>
      <c r="J397" s="43">
        <v>0</v>
      </c>
      <c r="K397" s="43" t="e">
        <f t="shared" si="15"/>
        <v>#DIV/0!</v>
      </c>
      <c r="L397" s="245" t="s">
        <v>563</v>
      </c>
    </row>
    <row r="398" spans="1:14" ht="49.9" customHeight="1" outlineLevel="1" x14ac:dyDescent="0.25">
      <c r="A398" s="480"/>
      <c r="B398" s="255" t="s">
        <v>376</v>
      </c>
      <c r="C398" s="255" t="s">
        <v>377</v>
      </c>
      <c r="D398" s="255" t="s">
        <v>378</v>
      </c>
      <c r="E398" s="255" t="s">
        <v>265</v>
      </c>
      <c r="F398" s="256">
        <v>0.15</v>
      </c>
      <c r="G398" s="255" t="s">
        <v>268</v>
      </c>
      <c r="H398" s="211">
        <f>+INVERSIÓN!BD38</f>
        <v>1</v>
      </c>
      <c r="I398" s="241">
        <v>0</v>
      </c>
      <c r="J398" s="43">
        <v>0</v>
      </c>
      <c r="K398" s="43" t="e">
        <f t="shared" si="15"/>
        <v>#DIV/0!</v>
      </c>
      <c r="L398" s="245" t="s">
        <v>565</v>
      </c>
    </row>
    <row r="399" spans="1:14" ht="49.9" customHeight="1" outlineLevel="1" x14ac:dyDescent="0.25">
      <c r="A399" s="480"/>
      <c r="B399" s="482" t="s">
        <v>380</v>
      </c>
      <c r="C399" s="482" t="s">
        <v>381</v>
      </c>
      <c r="D399" s="482" t="s">
        <v>382</v>
      </c>
      <c r="E399" s="482" t="s">
        <v>368</v>
      </c>
      <c r="F399" s="478">
        <v>0.25</v>
      </c>
      <c r="G399" s="255" t="s">
        <v>263</v>
      </c>
      <c r="H399" s="210">
        <f>+INVERSIÓN!BD45</f>
        <v>4950</v>
      </c>
      <c r="I399" s="241">
        <v>0</v>
      </c>
      <c r="J399" s="43">
        <v>0</v>
      </c>
      <c r="K399" s="43" t="e">
        <f t="shared" si="15"/>
        <v>#DIV/0!</v>
      </c>
      <c r="L399" s="245" t="s">
        <v>568</v>
      </c>
    </row>
    <row r="400" spans="1:14" ht="49.9" customHeight="1" outlineLevel="1" x14ac:dyDescent="0.25">
      <c r="A400" s="481"/>
      <c r="B400" s="482"/>
      <c r="C400" s="482"/>
      <c r="D400" s="482"/>
      <c r="E400" s="482"/>
      <c r="F400" s="478"/>
      <c r="G400" s="255" t="s">
        <v>325</v>
      </c>
      <c r="H400" s="211">
        <f>+INVERSIÓN!BD52</f>
        <v>1</v>
      </c>
      <c r="I400" s="241">
        <v>0</v>
      </c>
      <c r="J400" s="43">
        <v>0</v>
      </c>
      <c r="K400" s="43" t="e">
        <f t="shared" si="15"/>
        <v>#DIV/0!</v>
      </c>
      <c r="L400" s="245" t="s">
        <v>566</v>
      </c>
    </row>
    <row r="401" spans="1:12" outlineLevel="1" x14ac:dyDescent="0.25">
      <c r="A401" s="540" t="s">
        <v>133</v>
      </c>
      <c r="B401" s="540"/>
      <c r="C401" s="540"/>
      <c r="D401" s="540"/>
      <c r="E401" s="540"/>
      <c r="F401" s="540"/>
      <c r="G401" s="540"/>
      <c r="H401" s="540"/>
      <c r="I401" s="541"/>
      <c r="J401" s="540"/>
      <c r="K401" s="540" t="e">
        <f t="shared" si="13"/>
        <v>#DIV/0!</v>
      </c>
      <c r="L401" s="540"/>
    </row>
    <row r="403" spans="1:12" ht="19.899999999999999" customHeight="1" x14ac:dyDescent="0.25">
      <c r="A403" s="494" t="s">
        <v>158</v>
      </c>
      <c r="B403" s="495"/>
      <c r="C403" s="495"/>
      <c r="D403" s="495"/>
      <c r="E403" s="495"/>
      <c r="F403" s="495"/>
      <c r="G403" s="495"/>
      <c r="H403" s="495"/>
      <c r="I403" s="495"/>
      <c r="J403" s="495"/>
      <c r="K403" s="495"/>
      <c r="L403" s="496"/>
    </row>
    <row r="404" spans="1:12" ht="44.25" customHeight="1" x14ac:dyDescent="0.25">
      <c r="A404" s="175" t="s">
        <v>61</v>
      </c>
      <c r="B404" s="42" t="s">
        <v>145</v>
      </c>
      <c r="C404" s="42" t="s">
        <v>146</v>
      </c>
      <c r="D404" s="42" t="s">
        <v>147</v>
      </c>
      <c r="E404" s="42" t="s">
        <v>148</v>
      </c>
      <c r="F404" s="42" t="s">
        <v>159</v>
      </c>
      <c r="G404" s="42" t="s">
        <v>150</v>
      </c>
      <c r="H404" s="42" t="s">
        <v>160</v>
      </c>
      <c r="I404" s="238" t="s">
        <v>152</v>
      </c>
      <c r="J404" s="42" t="s">
        <v>153</v>
      </c>
      <c r="K404" s="42" t="s">
        <v>154</v>
      </c>
      <c r="L404" s="42" t="s">
        <v>155</v>
      </c>
    </row>
    <row r="405" spans="1:12" ht="49.9" customHeight="1" x14ac:dyDescent="0.25">
      <c r="A405" s="479" t="s">
        <v>135</v>
      </c>
      <c r="B405" s="482" t="s">
        <v>365</v>
      </c>
      <c r="C405" s="482" t="s">
        <v>366</v>
      </c>
      <c r="D405" s="482" t="s">
        <v>367</v>
      </c>
      <c r="E405" s="482" t="s">
        <v>368</v>
      </c>
      <c r="F405" s="478">
        <v>0.45</v>
      </c>
      <c r="G405" s="274" t="s">
        <v>319</v>
      </c>
      <c r="H405" s="275">
        <f>+INVERSIÓN!$BF$10</f>
        <v>1</v>
      </c>
      <c r="I405" s="291">
        <v>0</v>
      </c>
      <c r="J405" s="291">
        <v>0</v>
      </c>
      <c r="K405" s="260" t="e">
        <f>J405/I405</f>
        <v>#DIV/0!</v>
      </c>
      <c r="L405" s="195" t="s">
        <v>580</v>
      </c>
    </row>
    <row r="406" spans="1:12" ht="49.9" customHeight="1" x14ac:dyDescent="0.25">
      <c r="A406" s="480"/>
      <c r="B406" s="482"/>
      <c r="C406" s="482"/>
      <c r="D406" s="482"/>
      <c r="E406" s="482"/>
      <c r="F406" s="478"/>
      <c r="G406" s="274" t="s">
        <v>332</v>
      </c>
      <c r="H406" s="210">
        <f>+INVERSIÓN!$BF$17</f>
        <v>6</v>
      </c>
      <c r="I406" s="210">
        <v>0</v>
      </c>
      <c r="J406" s="210">
        <v>0</v>
      </c>
      <c r="K406" s="260" t="e">
        <f t="shared" ref="K406:K411" si="16">J406/I406</f>
        <v>#DIV/0!</v>
      </c>
      <c r="L406" s="195" t="s">
        <v>581</v>
      </c>
    </row>
    <row r="407" spans="1:12" ht="49.9" customHeight="1" x14ac:dyDescent="0.25">
      <c r="A407" s="480"/>
      <c r="B407" s="482"/>
      <c r="C407" s="482"/>
      <c r="D407" s="482"/>
      <c r="E407" s="482"/>
      <c r="F407" s="478"/>
      <c r="G407" s="274" t="s">
        <v>333</v>
      </c>
      <c r="H407" s="210">
        <f>+INVERSIÓN!$BF$24</f>
        <v>2</v>
      </c>
      <c r="I407" s="210">
        <v>0</v>
      </c>
      <c r="J407" s="210">
        <v>0</v>
      </c>
      <c r="K407" s="260" t="e">
        <f t="shared" si="16"/>
        <v>#DIV/0!</v>
      </c>
      <c r="L407" s="195" t="s">
        <v>585</v>
      </c>
    </row>
    <row r="408" spans="1:12" ht="49.9" customHeight="1" x14ac:dyDescent="0.25">
      <c r="A408" s="480"/>
      <c r="B408" s="274" t="s">
        <v>372</v>
      </c>
      <c r="C408" s="274" t="s">
        <v>373</v>
      </c>
      <c r="D408" s="274" t="s">
        <v>374</v>
      </c>
      <c r="E408" s="274" t="s">
        <v>265</v>
      </c>
      <c r="F408" s="275">
        <v>0.15</v>
      </c>
      <c r="G408" s="274" t="s">
        <v>267</v>
      </c>
      <c r="H408" s="210">
        <f>+INVERSIÓN!$BF$31</f>
        <v>1272</v>
      </c>
      <c r="I408" s="210">
        <v>0</v>
      </c>
      <c r="J408" s="210">
        <v>0</v>
      </c>
      <c r="K408" s="260" t="e">
        <f t="shared" si="16"/>
        <v>#DIV/0!</v>
      </c>
      <c r="L408" s="195" t="s">
        <v>588</v>
      </c>
    </row>
    <row r="409" spans="1:12" ht="49.9" customHeight="1" x14ac:dyDescent="0.25">
      <c r="A409" s="480"/>
      <c r="B409" s="274" t="s">
        <v>376</v>
      </c>
      <c r="C409" s="274" t="s">
        <v>377</v>
      </c>
      <c r="D409" s="274" t="s">
        <v>378</v>
      </c>
      <c r="E409" s="274" t="s">
        <v>265</v>
      </c>
      <c r="F409" s="275">
        <v>0.15</v>
      </c>
      <c r="G409" s="274" t="s">
        <v>268</v>
      </c>
      <c r="H409" s="211">
        <f>+INVERSIÓN!$BF$38</f>
        <v>1</v>
      </c>
      <c r="I409" s="211">
        <v>0</v>
      </c>
      <c r="J409" s="211">
        <v>0</v>
      </c>
      <c r="K409" s="260" t="e">
        <f t="shared" si="16"/>
        <v>#DIV/0!</v>
      </c>
      <c r="L409" s="195" t="s">
        <v>577</v>
      </c>
    </row>
    <row r="410" spans="1:12" ht="49.9" customHeight="1" x14ac:dyDescent="0.25">
      <c r="A410" s="480"/>
      <c r="B410" s="482" t="s">
        <v>380</v>
      </c>
      <c r="C410" s="482" t="s">
        <v>381</v>
      </c>
      <c r="D410" s="482" t="s">
        <v>382</v>
      </c>
      <c r="E410" s="482" t="s">
        <v>368</v>
      </c>
      <c r="F410" s="478">
        <v>0.25</v>
      </c>
      <c r="G410" s="274" t="s">
        <v>263</v>
      </c>
      <c r="H410" s="210">
        <f>+INVERSIÓN!$BF$45</f>
        <v>1097</v>
      </c>
      <c r="I410" s="210">
        <v>0</v>
      </c>
      <c r="J410" s="210">
        <v>0</v>
      </c>
      <c r="K410" s="260" t="e">
        <f t="shared" si="16"/>
        <v>#DIV/0!</v>
      </c>
      <c r="L410" s="195" t="s">
        <v>585</v>
      </c>
    </row>
    <row r="411" spans="1:12" ht="49.9" customHeight="1" x14ac:dyDescent="0.25">
      <c r="A411" s="481"/>
      <c r="B411" s="482"/>
      <c r="C411" s="482"/>
      <c r="D411" s="482"/>
      <c r="E411" s="482"/>
      <c r="F411" s="478"/>
      <c r="G411" s="274" t="s">
        <v>325</v>
      </c>
      <c r="H411" s="211">
        <f>+INVERSIÓN!$BF$52</f>
        <v>1</v>
      </c>
      <c r="I411" s="211">
        <v>0</v>
      </c>
      <c r="J411" s="211">
        <v>0</v>
      </c>
      <c r="K411" s="260" t="e">
        <f t="shared" si="16"/>
        <v>#DIV/0!</v>
      </c>
      <c r="L411" s="195" t="s">
        <v>573</v>
      </c>
    </row>
    <row r="412" spans="1:12" ht="49.9" customHeight="1" x14ac:dyDescent="0.25">
      <c r="A412" s="479" t="s">
        <v>136</v>
      </c>
      <c r="B412" s="482" t="s">
        <v>365</v>
      </c>
      <c r="C412" s="482" t="s">
        <v>366</v>
      </c>
      <c r="D412" s="482" t="s">
        <v>367</v>
      </c>
      <c r="E412" s="482" t="s">
        <v>368</v>
      </c>
      <c r="F412" s="478">
        <v>0.45</v>
      </c>
      <c r="G412" s="296" t="s">
        <v>319</v>
      </c>
      <c r="H412" s="298">
        <f>+INVERSIÓN!$BF$10</f>
        <v>1</v>
      </c>
      <c r="I412" s="298">
        <v>0</v>
      </c>
      <c r="J412" s="298">
        <v>0</v>
      </c>
      <c r="K412" s="260" t="e">
        <f>J412/I412</f>
        <v>#DIV/0!</v>
      </c>
      <c r="L412" s="252" t="s">
        <v>609</v>
      </c>
    </row>
    <row r="413" spans="1:12" ht="49.9" customHeight="1" x14ac:dyDescent="0.25">
      <c r="A413" s="480"/>
      <c r="B413" s="482"/>
      <c r="C413" s="482"/>
      <c r="D413" s="482"/>
      <c r="E413" s="482"/>
      <c r="F413" s="478"/>
      <c r="G413" s="296" t="s">
        <v>332</v>
      </c>
      <c r="H413" s="210">
        <f>+INVERSIÓN!$BF$17</f>
        <v>6</v>
      </c>
      <c r="I413" s="210">
        <v>0</v>
      </c>
      <c r="J413" s="210">
        <v>0</v>
      </c>
      <c r="K413" s="260" t="e">
        <f t="shared" ref="K413:K418" si="17">J413/I413</f>
        <v>#DIV/0!</v>
      </c>
      <c r="L413" s="252" t="s">
        <v>604</v>
      </c>
    </row>
    <row r="414" spans="1:12" ht="49.9" customHeight="1" x14ac:dyDescent="0.25">
      <c r="A414" s="480"/>
      <c r="B414" s="482"/>
      <c r="C414" s="482"/>
      <c r="D414" s="482"/>
      <c r="E414" s="482"/>
      <c r="F414" s="478"/>
      <c r="G414" s="296" t="s">
        <v>333</v>
      </c>
      <c r="H414" s="210">
        <f>+INVERSIÓN!$BF$24</f>
        <v>2</v>
      </c>
      <c r="I414" s="210">
        <v>0</v>
      </c>
      <c r="J414" s="210">
        <v>0</v>
      </c>
      <c r="K414" s="260" t="e">
        <f t="shared" si="17"/>
        <v>#DIV/0!</v>
      </c>
      <c r="L414" s="252" t="s">
        <v>605</v>
      </c>
    </row>
    <row r="415" spans="1:12" ht="49.9" customHeight="1" x14ac:dyDescent="0.25">
      <c r="A415" s="480"/>
      <c r="B415" s="296" t="s">
        <v>372</v>
      </c>
      <c r="C415" s="296" t="s">
        <v>373</v>
      </c>
      <c r="D415" s="296" t="s">
        <v>374</v>
      </c>
      <c r="E415" s="296" t="s">
        <v>265</v>
      </c>
      <c r="F415" s="298">
        <v>0.15</v>
      </c>
      <c r="G415" s="296" t="s">
        <v>267</v>
      </c>
      <c r="H415" s="210">
        <f>+INVERSIÓN!$BF$31</f>
        <v>1272</v>
      </c>
      <c r="I415" s="210">
        <v>0</v>
      </c>
      <c r="J415" s="210">
        <v>0</v>
      </c>
      <c r="K415" s="260" t="e">
        <f t="shared" si="17"/>
        <v>#DIV/0!</v>
      </c>
      <c r="L415" s="252" t="s">
        <v>606</v>
      </c>
    </row>
    <row r="416" spans="1:12" ht="49.9" customHeight="1" x14ac:dyDescent="0.25">
      <c r="A416" s="480"/>
      <c r="B416" s="296" t="s">
        <v>376</v>
      </c>
      <c r="C416" s="296" t="s">
        <v>377</v>
      </c>
      <c r="D416" s="296" t="s">
        <v>378</v>
      </c>
      <c r="E416" s="296" t="s">
        <v>265</v>
      </c>
      <c r="F416" s="298">
        <v>0.15</v>
      </c>
      <c r="G416" s="296" t="s">
        <v>268</v>
      </c>
      <c r="H416" s="211">
        <f>+INVERSIÓN!$BF$38</f>
        <v>1</v>
      </c>
      <c r="I416" s="211">
        <v>0</v>
      </c>
      <c r="J416" s="211">
        <v>0</v>
      </c>
      <c r="K416" s="260" t="e">
        <f t="shared" si="17"/>
        <v>#DIV/0!</v>
      </c>
      <c r="L416" s="252" t="s">
        <v>607</v>
      </c>
    </row>
    <row r="417" spans="1:12" ht="49.9" customHeight="1" x14ac:dyDescent="0.25">
      <c r="A417" s="480"/>
      <c r="B417" s="482" t="s">
        <v>380</v>
      </c>
      <c r="C417" s="482" t="s">
        <v>381</v>
      </c>
      <c r="D417" s="482" t="s">
        <v>382</v>
      </c>
      <c r="E417" s="482" t="s">
        <v>368</v>
      </c>
      <c r="F417" s="478">
        <v>0.25</v>
      </c>
      <c r="G417" s="296" t="s">
        <v>263</v>
      </c>
      <c r="H417" s="210">
        <f>+INVERSIÓN!$BF$45</f>
        <v>1097</v>
      </c>
      <c r="I417" s="210">
        <v>0</v>
      </c>
      <c r="J417" s="210">
        <v>0</v>
      </c>
      <c r="K417" s="260" t="e">
        <f t="shared" si="17"/>
        <v>#DIV/0!</v>
      </c>
      <c r="L417" s="252" t="s">
        <v>603</v>
      </c>
    </row>
    <row r="418" spans="1:12" ht="49.9" customHeight="1" x14ac:dyDescent="0.25">
      <c r="A418" s="481"/>
      <c r="B418" s="482"/>
      <c r="C418" s="482"/>
      <c r="D418" s="482"/>
      <c r="E418" s="482"/>
      <c r="F418" s="478"/>
      <c r="G418" s="296" t="s">
        <v>325</v>
      </c>
      <c r="H418" s="211">
        <f>+INVERSIÓN!$BF$52</f>
        <v>1</v>
      </c>
      <c r="I418" s="211">
        <v>0</v>
      </c>
      <c r="J418" s="211">
        <v>0</v>
      </c>
      <c r="K418" s="260" t="e">
        <f t="shared" si="17"/>
        <v>#DIV/0!</v>
      </c>
      <c r="L418" s="252" t="s">
        <v>608</v>
      </c>
    </row>
    <row r="419" spans="1:12" ht="49.9" customHeight="1" x14ac:dyDescent="0.25">
      <c r="A419" s="479" t="s">
        <v>137</v>
      </c>
      <c r="B419" s="482" t="s">
        <v>365</v>
      </c>
      <c r="C419" s="482" t="s">
        <v>366</v>
      </c>
      <c r="D419" s="482" t="s">
        <v>367</v>
      </c>
      <c r="E419" s="482" t="s">
        <v>368</v>
      </c>
      <c r="F419" s="478">
        <v>0.45</v>
      </c>
      <c r="G419" s="315" t="s">
        <v>319</v>
      </c>
      <c r="H419" s="314">
        <f>+INVERSIÓN!$BF$10</f>
        <v>1</v>
      </c>
      <c r="I419" s="314">
        <v>0</v>
      </c>
      <c r="J419" s="314">
        <v>0</v>
      </c>
      <c r="K419" s="260" t="e">
        <f>J419/I419</f>
        <v>#DIV/0!</v>
      </c>
      <c r="L419" s="252" t="s">
        <v>613</v>
      </c>
    </row>
    <row r="420" spans="1:12" ht="49.9" customHeight="1" x14ac:dyDescent="0.25">
      <c r="A420" s="480"/>
      <c r="B420" s="482"/>
      <c r="C420" s="482"/>
      <c r="D420" s="482"/>
      <c r="E420" s="482"/>
      <c r="F420" s="478"/>
      <c r="G420" s="315" t="s">
        <v>332</v>
      </c>
      <c r="H420" s="210">
        <f>+INVERSIÓN!$BF$17</f>
        <v>6</v>
      </c>
      <c r="I420" s="210">
        <v>0</v>
      </c>
      <c r="J420" s="210">
        <v>0</v>
      </c>
      <c r="K420" s="260" t="e">
        <f t="shared" ref="K420:K425" si="18">J420/I420</f>
        <v>#DIV/0!</v>
      </c>
      <c r="L420" s="252" t="s">
        <v>619</v>
      </c>
    </row>
    <row r="421" spans="1:12" ht="49.9" customHeight="1" x14ac:dyDescent="0.25">
      <c r="A421" s="480"/>
      <c r="B421" s="482"/>
      <c r="C421" s="482"/>
      <c r="D421" s="482"/>
      <c r="E421" s="482"/>
      <c r="F421" s="478"/>
      <c r="G421" s="315" t="s">
        <v>333</v>
      </c>
      <c r="H421" s="210">
        <f>+INVERSIÓN!$BF$24</f>
        <v>2</v>
      </c>
      <c r="I421" s="210">
        <v>0</v>
      </c>
      <c r="J421" s="210">
        <v>0</v>
      </c>
      <c r="K421" s="260" t="e">
        <f t="shared" si="18"/>
        <v>#DIV/0!</v>
      </c>
      <c r="L421" s="252" t="s">
        <v>623</v>
      </c>
    </row>
    <row r="422" spans="1:12" ht="49.9" customHeight="1" x14ac:dyDescent="0.25">
      <c r="A422" s="480"/>
      <c r="B422" s="315" t="s">
        <v>372</v>
      </c>
      <c r="C422" s="315" t="s">
        <v>373</v>
      </c>
      <c r="D422" s="315" t="s">
        <v>374</v>
      </c>
      <c r="E422" s="315" t="s">
        <v>265</v>
      </c>
      <c r="F422" s="314">
        <v>0.15</v>
      </c>
      <c r="G422" s="315" t="s">
        <v>267</v>
      </c>
      <c r="H422" s="210">
        <f>+INVERSIÓN!$BF$31</f>
        <v>1272</v>
      </c>
      <c r="I422" s="210">
        <v>0</v>
      </c>
      <c r="J422" s="210">
        <v>0</v>
      </c>
      <c r="K422" s="260" t="e">
        <f t="shared" si="18"/>
        <v>#DIV/0!</v>
      </c>
      <c r="L422" s="252" t="s">
        <v>633</v>
      </c>
    </row>
    <row r="423" spans="1:12" ht="49.9" customHeight="1" x14ac:dyDescent="0.25">
      <c r="A423" s="480"/>
      <c r="B423" s="315" t="s">
        <v>376</v>
      </c>
      <c r="C423" s="315" t="s">
        <v>377</v>
      </c>
      <c r="D423" s="315" t="s">
        <v>378</v>
      </c>
      <c r="E423" s="315" t="s">
        <v>265</v>
      </c>
      <c r="F423" s="314">
        <v>0.15</v>
      </c>
      <c r="G423" s="315" t="s">
        <v>268</v>
      </c>
      <c r="H423" s="211">
        <f>+INVERSIÓN!$BF$38</f>
        <v>1</v>
      </c>
      <c r="I423" s="211">
        <v>0</v>
      </c>
      <c r="J423" s="211">
        <v>0</v>
      </c>
      <c r="K423" s="260" t="e">
        <f t="shared" si="18"/>
        <v>#DIV/0!</v>
      </c>
      <c r="L423" s="252" t="s">
        <v>629</v>
      </c>
    </row>
    <row r="424" spans="1:12" ht="49.9" customHeight="1" x14ac:dyDescent="0.25">
      <c r="A424" s="480"/>
      <c r="B424" s="482" t="s">
        <v>380</v>
      </c>
      <c r="C424" s="482" t="s">
        <v>381</v>
      </c>
      <c r="D424" s="482" t="s">
        <v>382</v>
      </c>
      <c r="E424" s="482" t="s">
        <v>368</v>
      </c>
      <c r="F424" s="478">
        <v>0.25</v>
      </c>
      <c r="G424" s="315" t="s">
        <v>263</v>
      </c>
      <c r="H424" s="210">
        <f>+INVERSIÓN!$BF$45</f>
        <v>1097</v>
      </c>
      <c r="I424" s="210">
        <v>0</v>
      </c>
      <c r="J424" s="210">
        <v>0</v>
      </c>
      <c r="K424" s="260" t="e">
        <f t="shared" si="18"/>
        <v>#DIV/0!</v>
      </c>
      <c r="L424" s="252" t="s">
        <v>636</v>
      </c>
    </row>
    <row r="425" spans="1:12" ht="49.9" customHeight="1" x14ac:dyDescent="0.25">
      <c r="A425" s="480"/>
      <c r="B425" s="482"/>
      <c r="C425" s="482"/>
      <c r="D425" s="482"/>
      <c r="E425" s="482"/>
      <c r="F425" s="478"/>
      <c r="G425" s="315" t="s">
        <v>325</v>
      </c>
      <c r="H425" s="211">
        <f>+INVERSIÓN!$BF$52</f>
        <v>1</v>
      </c>
      <c r="I425" s="211">
        <v>0</v>
      </c>
      <c r="J425" s="211">
        <v>0</v>
      </c>
      <c r="K425" s="260" t="e">
        <f t="shared" si="18"/>
        <v>#DIV/0!</v>
      </c>
      <c r="L425" s="252" t="s">
        <v>640</v>
      </c>
    </row>
    <row r="426" spans="1:12" ht="16.5" customHeight="1" x14ac:dyDescent="0.25">
      <c r="A426" s="43" t="s">
        <v>138</v>
      </c>
      <c r="B426" s="43"/>
      <c r="C426" s="43"/>
      <c r="D426" s="43"/>
      <c r="E426" s="43"/>
      <c r="F426" s="43"/>
      <c r="G426" s="43"/>
      <c r="H426" s="43"/>
      <c r="I426" s="241"/>
      <c r="J426" s="43"/>
      <c r="K426" s="43" t="e">
        <f t="shared" ref="K426:K428" si="19">J426/I426</f>
        <v>#DIV/0!</v>
      </c>
      <c r="L426" s="43"/>
    </row>
    <row r="427" spans="1:12" ht="16.5" customHeight="1" x14ac:dyDescent="0.25">
      <c r="A427" s="43" t="s">
        <v>139</v>
      </c>
      <c r="B427" s="43"/>
      <c r="C427" s="43"/>
      <c r="D427" s="43"/>
      <c r="E427" s="43"/>
      <c r="F427" s="43"/>
      <c r="G427" s="43"/>
      <c r="H427" s="43"/>
      <c r="I427" s="241"/>
      <c r="J427" s="43"/>
      <c r="K427" s="43" t="e">
        <f t="shared" si="19"/>
        <v>#DIV/0!</v>
      </c>
      <c r="L427" s="43"/>
    </row>
    <row r="428" spans="1:12" ht="16.5" customHeight="1" x14ac:dyDescent="0.25">
      <c r="A428" s="43" t="s">
        <v>140</v>
      </c>
      <c r="B428" s="43"/>
      <c r="C428" s="43"/>
      <c r="D428" s="43"/>
      <c r="E428" s="43"/>
      <c r="F428" s="43"/>
      <c r="G428" s="43"/>
      <c r="H428" s="43"/>
      <c r="I428" s="241"/>
      <c r="J428" s="43"/>
      <c r="K428" s="43" t="e">
        <f t="shared" si="19"/>
        <v>#DIV/0!</v>
      </c>
      <c r="L428" s="43"/>
    </row>
    <row r="429" spans="1:12" x14ac:dyDescent="0.25">
      <c r="A429" s="43" t="s">
        <v>128</v>
      </c>
      <c r="B429" s="43"/>
      <c r="C429" s="43"/>
      <c r="D429" s="43"/>
      <c r="E429" s="43"/>
      <c r="F429" s="43"/>
      <c r="G429" s="43"/>
      <c r="H429" s="43"/>
      <c r="I429" s="241"/>
      <c r="J429" s="43"/>
      <c r="K429" s="43" t="e">
        <f>J429/I429</f>
        <v>#DIV/0!</v>
      </c>
      <c r="L429" s="43"/>
    </row>
    <row r="430" spans="1:12" x14ac:dyDescent="0.25">
      <c r="A430" s="43" t="s">
        <v>129</v>
      </c>
      <c r="B430" s="43"/>
      <c r="C430" s="43"/>
      <c r="D430" s="43"/>
      <c r="E430" s="43"/>
      <c r="F430" s="43"/>
      <c r="G430" s="43"/>
      <c r="H430" s="43"/>
      <c r="I430" s="241"/>
      <c r="J430" s="43"/>
      <c r="K430" s="43" t="e">
        <f t="shared" ref="K430:K434" si="20">J430/I430</f>
        <v>#DIV/0!</v>
      </c>
      <c r="L430" s="43"/>
    </row>
    <row r="431" spans="1:12" x14ac:dyDescent="0.25">
      <c r="A431" s="43" t="s">
        <v>130</v>
      </c>
      <c r="B431" s="43"/>
      <c r="C431" s="43"/>
      <c r="D431" s="43"/>
      <c r="E431" s="43"/>
      <c r="F431" s="43"/>
      <c r="G431" s="43"/>
      <c r="H431" s="43"/>
      <c r="I431" s="241"/>
      <c r="J431" s="43"/>
      <c r="K431" s="43" t="e">
        <f t="shared" si="20"/>
        <v>#DIV/0!</v>
      </c>
      <c r="L431" s="43"/>
    </row>
    <row r="432" spans="1:12" x14ac:dyDescent="0.25">
      <c r="A432" s="43" t="s">
        <v>131</v>
      </c>
      <c r="B432" s="43"/>
      <c r="C432" s="43"/>
      <c r="D432" s="43"/>
      <c r="E432" s="43"/>
      <c r="F432" s="43"/>
      <c r="G432" s="43"/>
      <c r="H432" s="43"/>
      <c r="I432" s="241"/>
      <c r="J432" s="43"/>
      <c r="K432" s="43" t="e">
        <f t="shared" si="20"/>
        <v>#DIV/0!</v>
      </c>
      <c r="L432" s="43"/>
    </row>
    <row r="433" spans="1:12" x14ac:dyDescent="0.25">
      <c r="A433" s="43" t="s">
        <v>132</v>
      </c>
      <c r="B433" s="43"/>
      <c r="C433" s="43"/>
      <c r="D433" s="43"/>
      <c r="E433" s="43"/>
      <c r="F433" s="43"/>
      <c r="G433" s="43"/>
      <c r="H433" s="43"/>
      <c r="I433" s="241"/>
      <c r="J433" s="43"/>
      <c r="K433" s="43" t="e">
        <f t="shared" si="20"/>
        <v>#DIV/0!</v>
      </c>
      <c r="L433" s="43"/>
    </row>
    <row r="434" spans="1:12" x14ac:dyDescent="0.25">
      <c r="A434" s="43" t="s">
        <v>133</v>
      </c>
      <c r="B434" s="43"/>
      <c r="C434" s="43"/>
      <c r="D434" s="43"/>
      <c r="E434" s="43"/>
      <c r="F434" s="43"/>
      <c r="G434" s="43"/>
      <c r="H434" s="43"/>
      <c r="I434" s="241"/>
      <c r="J434" s="43"/>
      <c r="K434" s="43" t="e">
        <f t="shared" si="20"/>
        <v>#DIV/0!</v>
      </c>
      <c r="L434" s="43"/>
    </row>
    <row r="436" spans="1:12" ht="19.899999999999999" hidden="1" customHeight="1" x14ac:dyDescent="0.25">
      <c r="A436" s="494" t="s">
        <v>161</v>
      </c>
      <c r="B436" s="495"/>
      <c r="C436" s="495"/>
      <c r="D436" s="495"/>
      <c r="E436" s="495"/>
      <c r="F436" s="495"/>
      <c r="G436" s="495"/>
      <c r="H436" s="495"/>
      <c r="I436" s="495"/>
      <c r="J436" s="495"/>
      <c r="K436" s="495"/>
      <c r="L436" s="496"/>
    </row>
    <row r="437" spans="1:12" ht="44.25" hidden="1" customHeight="1" x14ac:dyDescent="0.25">
      <c r="A437" s="175" t="s">
        <v>62</v>
      </c>
      <c r="B437" s="42" t="s">
        <v>145</v>
      </c>
      <c r="C437" s="42" t="s">
        <v>146</v>
      </c>
      <c r="D437" s="42" t="s">
        <v>147</v>
      </c>
      <c r="E437" s="42" t="s">
        <v>148</v>
      </c>
      <c r="F437" s="42" t="s">
        <v>162</v>
      </c>
      <c r="G437" s="42" t="s">
        <v>150</v>
      </c>
      <c r="H437" s="42" t="s">
        <v>163</v>
      </c>
      <c r="I437" s="238" t="s">
        <v>152</v>
      </c>
      <c r="J437" s="42" t="s">
        <v>153</v>
      </c>
      <c r="K437" s="42" t="s">
        <v>154</v>
      </c>
      <c r="L437" s="42" t="s">
        <v>155</v>
      </c>
    </row>
    <row r="438" spans="1:12" ht="16.5" hidden="1" customHeight="1" x14ac:dyDescent="0.25">
      <c r="A438" s="43" t="s">
        <v>135</v>
      </c>
      <c r="B438" s="43"/>
      <c r="C438" s="43"/>
      <c r="D438" s="43"/>
      <c r="E438" s="43"/>
      <c r="F438" s="43"/>
      <c r="G438" s="43"/>
      <c r="H438" s="43"/>
      <c r="I438" s="241"/>
      <c r="J438" s="43"/>
      <c r="K438" s="43" t="e">
        <f>J438/I438</f>
        <v>#DIV/0!</v>
      </c>
      <c r="L438" s="43"/>
    </row>
    <row r="439" spans="1:12" ht="16.5" hidden="1" customHeight="1" x14ac:dyDescent="0.25">
      <c r="A439" s="43" t="s">
        <v>136</v>
      </c>
      <c r="B439" s="43"/>
      <c r="C439" s="43"/>
      <c r="D439" s="43"/>
      <c r="E439" s="43"/>
      <c r="F439" s="43"/>
      <c r="G439" s="43"/>
      <c r="H439" s="43"/>
      <c r="I439" s="241"/>
      <c r="J439" s="43"/>
      <c r="K439" s="43" t="e">
        <f t="shared" ref="K439:K443" si="21">J439/I439</f>
        <v>#DIV/0!</v>
      </c>
      <c r="L439" s="43"/>
    </row>
    <row r="440" spans="1:12" ht="16.5" hidden="1" customHeight="1" x14ac:dyDescent="0.25">
      <c r="A440" s="43" t="s">
        <v>137</v>
      </c>
      <c r="B440" s="43"/>
      <c r="C440" s="43"/>
      <c r="D440" s="43"/>
      <c r="E440" s="43"/>
      <c r="F440" s="43"/>
      <c r="G440" s="43"/>
      <c r="H440" s="43"/>
      <c r="I440" s="241"/>
      <c r="J440" s="43"/>
      <c r="K440" s="43" t="e">
        <f t="shared" si="21"/>
        <v>#DIV/0!</v>
      </c>
      <c r="L440" s="43"/>
    </row>
    <row r="441" spans="1:12" ht="16.5" hidden="1" customHeight="1" x14ac:dyDescent="0.25">
      <c r="A441" s="43" t="s">
        <v>138</v>
      </c>
      <c r="B441" s="43"/>
      <c r="C441" s="43"/>
      <c r="D441" s="43"/>
      <c r="E441" s="43"/>
      <c r="F441" s="43"/>
      <c r="G441" s="43"/>
      <c r="H441" s="43"/>
      <c r="I441" s="241"/>
      <c r="J441" s="43"/>
      <c r="K441" s="43" t="e">
        <f t="shared" si="21"/>
        <v>#DIV/0!</v>
      </c>
      <c r="L441" s="43"/>
    </row>
    <row r="442" spans="1:12" ht="16.5" hidden="1" customHeight="1" x14ac:dyDescent="0.25">
      <c r="A442" s="43" t="s">
        <v>139</v>
      </c>
      <c r="B442" s="43"/>
      <c r="C442" s="43"/>
      <c r="D442" s="43"/>
      <c r="E442" s="43"/>
      <c r="F442" s="43"/>
      <c r="G442" s="43"/>
      <c r="H442" s="43"/>
      <c r="I442" s="241"/>
      <c r="J442" s="43"/>
      <c r="K442" s="43" t="e">
        <f t="shared" si="21"/>
        <v>#DIV/0!</v>
      </c>
      <c r="L442" s="43"/>
    </row>
    <row r="443" spans="1:12" ht="16.5" hidden="1" customHeight="1" x14ac:dyDescent="0.25">
      <c r="A443" s="43" t="s">
        <v>140</v>
      </c>
      <c r="B443" s="43"/>
      <c r="C443" s="43"/>
      <c r="D443" s="43"/>
      <c r="E443" s="43"/>
      <c r="F443" s="43"/>
      <c r="G443" s="43"/>
      <c r="H443" s="43"/>
      <c r="I443" s="241"/>
      <c r="J443" s="43"/>
      <c r="K443" s="43" t="e">
        <f t="shared" si="21"/>
        <v>#DIV/0!</v>
      </c>
      <c r="L443" s="43"/>
    </row>
    <row r="444" spans="1:12" hidden="1" x14ac:dyDescent="0.25">
      <c r="A444" s="43" t="s">
        <v>128</v>
      </c>
      <c r="B444" s="43"/>
      <c r="C444" s="43"/>
      <c r="D444" s="43"/>
      <c r="E444" s="43"/>
      <c r="F444" s="43"/>
      <c r="G444" s="43"/>
      <c r="H444" s="43"/>
      <c r="I444" s="241"/>
      <c r="J444" s="43"/>
      <c r="K444" s="43" t="e">
        <f>J444/I444</f>
        <v>#DIV/0!</v>
      </c>
      <c r="L444" s="43"/>
    </row>
    <row r="445" spans="1:12" hidden="1" x14ac:dyDescent="0.25">
      <c r="A445" s="43" t="s">
        <v>129</v>
      </c>
      <c r="B445" s="43"/>
      <c r="C445" s="43"/>
      <c r="D445" s="43"/>
      <c r="E445" s="43"/>
      <c r="F445" s="43"/>
      <c r="G445" s="43"/>
      <c r="H445" s="43"/>
      <c r="I445" s="241"/>
      <c r="J445" s="43"/>
      <c r="K445" s="43" t="e">
        <f t="shared" ref="K445:K449" si="22">J445/I445</f>
        <v>#DIV/0!</v>
      </c>
      <c r="L445" s="43"/>
    </row>
    <row r="446" spans="1:12" hidden="1" x14ac:dyDescent="0.25">
      <c r="A446" s="43" t="s">
        <v>130</v>
      </c>
      <c r="B446" s="43"/>
      <c r="C446" s="43"/>
      <c r="D446" s="43"/>
      <c r="E446" s="43"/>
      <c r="F446" s="43"/>
      <c r="G446" s="43"/>
      <c r="H446" s="43"/>
      <c r="I446" s="241"/>
      <c r="J446" s="43"/>
      <c r="K446" s="43" t="e">
        <f t="shared" si="22"/>
        <v>#DIV/0!</v>
      </c>
      <c r="L446" s="43"/>
    </row>
    <row r="447" spans="1:12" hidden="1" x14ac:dyDescent="0.25">
      <c r="A447" s="43" t="s">
        <v>131</v>
      </c>
      <c r="B447" s="43"/>
      <c r="C447" s="43"/>
      <c r="D447" s="43"/>
      <c r="E447" s="43"/>
      <c r="F447" s="43"/>
      <c r="G447" s="43"/>
      <c r="H447" s="43"/>
      <c r="I447" s="241"/>
      <c r="J447" s="43"/>
      <c r="K447" s="43" t="e">
        <f t="shared" si="22"/>
        <v>#DIV/0!</v>
      </c>
      <c r="L447" s="43"/>
    </row>
    <row r="448" spans="1:12" hidden="1" x14ac:dyDescent="0.25">
      <c r="A448" s="43" t="s">
        <v>132</v>
      </c>
      <c r="B448" s="43"/>
      <c r="C448" s="43"/>
      <c r="D448" s="43"/>
      <c r="E448" s="43"/>
      <c r="F448" s="43"/>
      <c r="G448" s="43"/>
      <c r="H448" s="43"/>
      <c r="I448" s="241"/>
      <c r="J448" s="43"/>
      <c r="K448" s="43" t="e">
        <f t="shared" si="22"/>
        <v>#DIV/0!</v>
      </c>
      <c r="L448" s="43"/>
    </row>
    <row r="449" spans="1:12" hidden="1" x14ac:dyDescent="0.25">
      <c r="A449" s="43" t="s">
        <v>133</v>
      </c>
      <c r="B449" s="43"/>
      <c r="C449" s="43"/>
      <c r="D449" s="43"/>
      <c r="E449" s="43"/>
      <c r="F449" s="43"/>
      <c r="G449" s="43"/>
      <c r="H449" s="43"/>
      <c r="I449" s="241"/>
      <c r="J449" s="43"/>
      <c r="K449" s="43" t="e">
        <f t="shared" si="22"/>
        <v>#DIV/0!</v>
      </c>
      <c r="L449" s="43"/>
    </row>
    <row r="450" spans="1:12" hidden="1" x14ac:dyDescent="0.25"/>
    <row r="451" spans="1:12" ht="19.899999999999999" hidden="1" customHeight="1" x14ac:dyDescent="0.25">
      <c r="A451" s="494" t="s">
        <v>164</v>
      </c>
      <c r="B451" s="495"/>
      <c r="C451" s="495"/>
      <c r="D451" s="495"/>
      <c r="E451" s="495"/>
      <c r="F451" s="495"/>
      <c r="G451" s="495"/>
      <c r="H451" s="495"/>
      <c r="I451" s="495"/>
      <c r="J451" s="495"/>
      <c r="K451" s="495"/>
      <c r="L451" s="496"/>
    </row>
    <row r="452" spans="1:12" ht="44.25" hidden="1" customHeight="1" x14ac:dyDescent="0.25">
      <c r="A452" s="175" t="s">
        <v>63</v>
      </c>
      <c r="B452" s="42" t="s">
        <v>145</v>
      </c>
      <c r="C452" s="42" t="s">
        <v>146</v>
      </c>
      <c r="D452" s="42" t="s">
        <v>147</v>
      </c>
      <c r="E452" s="42" t="s">
        <v>148</v>
      </c>
      <c r="F452" s="42" t="s">
        <v>165</v>
      </c>
      <c r="G452" s="42" t="s">
        <v>150</v>
      </c>
      <c r="H452" s="42" t="s">
        <v>166</v>
      </c>
      <c r="I452" s="238" t="s">
        <v>152</v>
      </c>
      <c r="J452" s="42" t="s">
        <v>153</v>
      </c>
      <c r="K452" s="42" t="s">
        <v>154</v>
      </c>
      <c r="L452" s="42" t="s">
        <v>155</v>
      </c>
    </row>
    <row r="453" spans="1:12" ht="16.5" hidden="1" customHeight="1" x14ac:dyDescent="0.25">
      <c r="A453" s="43" t="s">
        <v>135</v>
      </c>
      <c r="B453" s="43"/>
      <c r="C453" s="43"/>
      <c r="D453" s="43"/>
      <c r="E453" s="43"/>
      <c r="F453" s="43"/>
      <c r="G453" s="43"/>
      <c r="H453" s="43"/>
      <c r="I453" s="241"/>
      <c r="J453" s="43"/>
      <c r="K453" s="43" t="e">
        <f>J453/I453</f>
        <v>#DIV/0!</v>
      </c>
      <c r="L453" s="43"/>
    </row>
    <row r="454" spans="1:12" ht="16.5" hidden="1" customHeight="1" x14ac:dyDescent="0.25">
      <c r="A454" s="43" t="s">
        <v>136</v>
      </c>
      <c r="B454" s="43"/>
      <c r="C454" s="43"/>
      <c r="D454" s="43"/>
      <c r="E454" s="43"/>
      <c r="F454" s="43"/>
      <c r="G454" s="43"/>
      <c r="H454" s="43"/>
      <c r="I454" s="241"/>
      <c r="J454" s="43"/>
      <c r="K454" s="43" t="e">
        <f t="shared" ref="K454:K458" si="23">J454/I454</f>
        <v>#DIV/0!</v>
      </c>
      <c r="L454" s="43"/>
    </row>
    <row r="455" spans="1:12" ht="16.5" hidden="1" customHeight="1" x14ac:dyDescent="0.25">
      <c r="A455" s="43" t="s">
        <v>137</v>
      </c>
      <c r="B455" s="43"/>
      <c r="C455" s="43"/>
      <c r="D455" s="43"/>
      <c r="E455" s="43"/>
      <c r="F455" s="43"/>
      <c r="G455" s="43"/>
      <c r="H455" s="43"/>
      <c r="I455" s="241"/>
      <c r="J455" s="43"/>
      <c r="K455" s="43" t="e">
        <f t="shared" si="23"/>
        <v>#DIV/0!</v>
      </c>
      <c r="L455" s="43"/>
    </row>
    <row r="456" spans="1:12" ht="16.5" hidden="1" customHeight="1" x14ac:dyDescent="0.25">
      <c r="A456" s="43" t="s">
        <v>138</v>
      </c>
      <c r="B456" s="43"/>
      <c r="C456" s="43"/>
      <c r="D456" s="43"/>
      <c r="E456" s="43"/>
      <c r="F456" s="43"/>
      <c r="G456" s="43"/>
      <c r="H456" s="43"/>
      <c r="I456" s="241"/>
      <c r="J456" s="43"/>
      <c r="K456" s="43" t="e">
        <f t="shared" si="23"/>
        <v>#DIV/0!</v>
      </c>
      <c r="L456" s="43"/>
    </row>
    <row r="457" spans="1:12" ht="16.5" hidden="1" customHeight="1" x14ac:dyDescent="0.25">
      <c r="A457" s="43" t="s">
        <v>139</v>
      </c>
      <c r="B457" s="43"/>
      <c r="C457" s="43"/>
      <c r="D457" s="43"/>
      <c r="E457" s="43"/>
      <c r="F457" s="43"/>
      <c r="G457" s="43"/>
      <c r="H457" s="43"/>
      <c r="I457" s="241"/>
      <c r="J457" s="43"/>
      <c r="K457" s="43" t="e">
        <f t="shared" si="23"/>
        <v>#DIV/0!</v>
      </c>
      <c r="L457" s="43"/>
    </row>
    <row r="458" spans="1:12" ht="16.5" hidden="1" customHeight="1" x14ac:dyDescent="0.25">
      <c r="A458" s="43" t="s">
        <v>140</v>
      </c>
      <c r="B458" s="43"/>
      <c r="C458" s="43"/>
      <c r="D458" s="43"/>
      <c r="E458" s="43"/>
      <c r="F458" s="43"/>
      <c r="G458" s="43"/>
      <c r="H458" s="43"/>
      <c r="I458" s="241"/>
      <c r="J458" s="43"/>
      <c r="K458" s="43" t="e">
        <f t="shared" si="23"/>
        <v>#DIV/0!</v>
      </c>
      <c r="L458" s="43"/>
    </row>
    <row r="459" spans="1:12" hidden="1" x14ac:dyDescent="0.25">
      <c r="A459" s="43" t="s">
        <v>128</v>
      </c>
      <c r="B459" s="43"/>
      <c r="C459" s="43"/>
      <c r="D459" s="43"/>
      <c r="E459" s="43"/>
      <c r="F459" s="43"/>
      <c r="G459" s="43"/>
      <c r="H459" s="43"/>
      <c r="I459" s="241"/>
      <c r="J459" s="43"/>
      <c r="K459" s="43" t="e">
        <f>J459/I459</f>
        <v>#DIV/0!</v>
      </c>
      <c r="L459" s="43"/>
    </row>
    <row r="460" spans="1:12" hidden="1" x14ac:dyDescent="0.25">
      <c r="A460" s="43" t="s">
        <v>129</v>
      </c>
      <c r="B460" s="43"/>
      <c r="C460" s="43"/>
      <c r="D460" s="43"/>
      <c r="E460" s="43"/>
      <c r="F460" s="43"/>
      <c r="G460" s="43"/>
      <c r="H460" s="43"/>
      <c r="I460" s="241"/>
      <c r="J460" s="43"/>
      <c r="K460" s="43" t="e">
        <f t="shared" ref="K460:K464" si="24">J460/I460</f>
        <v>#DIV/0!</v>
      </c>
      <c r="L460" s="43"/>
    </row>
    <row r="461" spans="1:12" hidden="1" x14ac:dyDescent="0.25">
      <c r="A461" s="43" t="s">
        <v>130</v>
      </c>
      <c r="B461" s="43"/>
      <c r="C461" s="43"/>
      <c r="D461" s="43"/>
      <c r="E461" s="43"/>
      <c r="F461" s="43"/>
      <c r="G461" s="43"/>
      <c r="H461" s="43"/>
      <c r="I461" s="241"/>
      <c r="J461" s="43"/>
      <c r="K461" s="43" t="e">
        <f t="shared" si="24"/>
        <v>#DIV/0!</v>
      </c>
      <c r="L461" s="43"/>
    </row>
    <row r="462" spans="1:12" hidden="1" x14ac:dyDescent="0.25">
      <c r="A462" s="43" t="s">
        <v>131</v>
      </c>
      <c r="B462" s="43"/>
      <c r="C462" s="43"/>
      <c r="D462" s="43"/>
      <c r="E462" s="43"/>
      <c r="F462" s="43"/>
      <c r="G462" s="43"/>
      <c r="H462" s="43"/>
      <c r="I462" s="241"/>
      <c r="J462" s="43"/>
      <c r="K462" s="43" t="e">
        <f t="shared" si="24"/>
        <v>#DIV/0!</v>
      </c>
      <c r="L462" s="43"/>
    </row>
    <row r="463" spans="1:12" hidden="1" x14ac:dyDescent="0.25">
      <c r="A463" s="43" t="s">
        <v>132</v>
      </c>
      <c r="B463" s="43"/>
      <c r="C463" s="43"/>
      <c r="D463" s="43"/>
      <c r="E463" s="43"/>
      <c r="F463" s="43"/>
      <c r="G463" s="43"/>
      <c r="H463" s="43"/>
      <c r="I463" s="241"/>
      <c r="J463" s="43"/>
      <c r="K463" s="43" t="e">
        <f t="shared" si="24"/>
        <v>#DIV/0!</v>
      </c>
      <c r="L463" s="43"/>
    </row>
    <row r="464" spans="1:12" hidden="1" x14ac:dyDescent="0.25">
      <c r="A464" s="309" t="s">
        <v>133</v>
      </c>
      <c r="B464" s="309"/>
      <c r="C464" s="309"/>
      <c r="D464" s="309"/>
      <c r="E464" s="309"/>
      <c r="F464" s="309"/>
      <c r="G464" s="309"/>
      <c r="H464" s="43"/>
      <c r="I464" s="241"/>
      <c r="J464" s="43"/>
      <c r="K464" s="43" t="e">
        <f t="shared" si="24"/>
        <v>#DIV/0!</v>
      </c>
      <c r="L464" s="43"/>
    </row>
    <row r="465" spans="1:12" x14ac:dyDescent="0.25">
      <c r="A465" s="310"/>
      <c r="B465" s="310"/>
      <c r="C465" s="310"/>
      <c r="D465" s="310"/>
      <c r="E465" s="310"/>
      <c r="F465" s="310"/>
      <c r="G465" s="310"/>
      <c r="H465" s="289"/>
      <c r="I465" s="308"/>
      <c r="J465" s="289"/>
      <c r="K465" s="289"/>
      <c r="L465" s="289"/>
    </row>
    <row r="466" spans="1:12" ht="26.25" customHeight="1" x14ac:dyDescent="0.3">
      <c r="A466" s="483" t="s">
        <v>167</v>
      </c>
      <c r="B466" s="484"/>
      <c r="C466" s="484"/>
      <c r="D466" s="484"/>
      <c r="E466" s="484"/>
      <c r="F466" s="484"/>
      <c r="G466" s="485"/>
    </row>
    <row r="467" spans="1:12" ht="38.25" x14ac:dyDescent="0.25">
      <c r="A467" s="175" t="s">
        <v>48</v>
      </c>
      <c r="B467" s="42" t="s">
        <v>145</v>
      </c>
      <c r="C467" s="42" t="s">
        <v>146</v>
      </c>
      <c r="D467" s="42" t="s">
        <v>168</v>
      </c>
      <c r="E467" s="42" t="s">
        <v>169</v>
      </c>
      <c r="F467" s="42" t="s">
        <v>170</v>
      </c>
      <c r="G467" s="42" t="s">
        <v>171</v>
      </c>
    </row>
    <row r="468" spans="1:12" s="179" customFormat="1" ht="49.9" customHeight="1" outlineLevel="1" x14ac:dyDescent="0.25">
      <c r="A468" s="488" t="s">
        <v>128</v>
      </c>
      <c r="B468" s="491" t="s">
        <v>365</v>
      </c>
      <c r="C468" s="491" t="s">
        <v>434</v>
      </c>
      <c r="D468" s="177" t="s">
        <v>319</v>
      </c>
      <c r="E468" s="178">
        <v>775545944</v>
      </c>
      <c r="F468" s="178">
        <v>56548312</v>
      </c>
      <c r="G468" s="177" t="s">
        <v>435</v>
      </c>
      <c r="I468" s="236"/>
    </row>
    <row r="469" spans="1:12" s="179" customFormat="1" ht="49.9" hidden="1" customHeight="1" outlineLevel="2" x14ac:dyDescent="0.25">
      <c r="A469" s="488"/>
      <c r="B469" s="492"/>
      <c r="C469" s="492"/>
      <c r="D469" s="177" t="s">
        <v>332</v>
      </c>
      <c r="E469" s="178">
        <v>613840322</v>
      </c>
      <c r="F469" s="178">
        <v>0</v>
      </c>
      <c r="G469" s="177" t="s">
        <v>436</v>
      </c>
      <c r="I469" s="236"/>
    </row>
    <row r="470" spans="1:12" s="179" customFormat="1" ht="49.9" hidden="1" customHeight="1" outlineLevel="2" x14ac:dyDescent="0.25">
      <c r="A470" s="488"/>
      <c r="B470" s="493"/>
      <c r="C470" s="493"/>
      <c r="D470" s="177" t="s">
        <v>437</v>
      </c>
      <c r="E470" s="178">
        <v>1412790000</v>
      </c>
      <c r="F470" s="178">
        <v>79976000</v>
      </c>
      <c r="G470" s="177" t="s">
        <v>435</v>
      </c>
      <c r="I470" s="236"/>
    </row>
    <row r="471" spans="1:12" s="179" customFormat="1" ht="49.9" hidden="1" customHeight="1" outlineLevel="2" x14ac:dyDescent="0.25">
      <c r="A471" s="488"/>
      <c r="B471" s="177" t="s">
        <v>372</v>
      </c>
      <c r="C471" s="177" t="s">
        <v>438</v>
      </c>
      <c r="D471" s="177" t="s">
        <v>439</v>
      </c>
      <c r="E471" s="178">
        <v>621054131</v>
      </c>
      <c r="F471" s="178">
        <v>0</v>
      </c>
      <c r="G471" s="177" t="s">
        <v>436</v>
      </c>
      <c r="I471" s="236"/>
    </row>
    <row r="472" spans="1:12" s="179" customFormat="1" ht="49.9" hidden="1" customHeight="1" outlineLevel="2" x14ac:dyDescent="0.25">
      <c r="A472" s="488"/>
      <c r="B472" s="177" t="s">
        <v>376</v>
      </c>
      <c r="C472" s="177" t="s">
        <v>440</v>
      </c>
      <c r="D472" s="177" t="s">
        <v>441</v>
      </c>
      <c r="E472" s="178">
        <v>403410000</v>
      </c>
      <c r="F472" s="178">
        <v>10000000</v>
      </c>
      <c r="G472" s="177" t="s">
        <v>435</v>
      </c>
      <c r="I472" s="236"/>
    </row>
    <row r="473" spans="1:12" s="179" customFormat="1" ht="49.9" hidden="1" customHeight="1" outlineLevel="2" x14ac:dyDescent="0.25">
      <c r="A473" s="488"/>
      <c r="B473" s="491" t="s">
        <v>380</v>
      </c>
      <c r="C473" s="491" t="s">
        <v>442</v>
      </c>
      <c r="D473" s="177" t="s">
        <v>443</v>
      </c>
      <c r="E473" s="178">
        <v>658814131</v>
      </c>
      <c r="F473" s="178">
        <v>0</v>
      </c>
      <c r="G473" s="177" t="s">
        <v>436</v>
      </c>
      <c r="I473" s="236"/>
    </row>
    <row r="474" spans="1:12" s="179" customFormat="1" ht="49.9" hidden="1" customHeight="1" outlineLevel="2" x14ac:dyDescent="0.25">
      <c r="A474" s="488"/>
      <c r="B474" s="493"/>
      <c r="C474" s="493"/>
      <c r="D474" s="177" t="s">
        <v>325</v>
      </c>
      <c r="E474" s="178">
        <v>450000000</v>
      </c>
      <c r="F474" s="178">
        <v>0</v>
      </c>
      <c r="G474" s="177" t="s">
        <v>436</v>
      </c>
      <c r="I474" s="236"/>
    </row>
    <row r="475" spans="1:12" s="179" customFormat="1" ht="49.9" hidden="1" customHeight="1" outlineLevel="2" x14ac:dyDescent="0.25">
      <c r="A475" s="487" t="s">
        <v>129</v>
      </c>
      <c r="B475" s="491" t="s">
        <v>365</v>
      </c>
      <c r="C475" s="491" t="s">
        <v>434</v>
      </c>
      <c r="D475" s="177" t="s">
        <v>319</v>
      </c>
      <c r="E475" s="178">
        <v>775545944</v>
      </c>
      <c r="F475" s="178">
        <v>404965456</v>
      </c>
      <c r="G475" s="177" t="s">
        <v>444</v>
      </c>
      <c r="I475" s="236"/>
    </row>
    <row r="476" spans="1:12" s="179" customFormat="1" ht="49.9" hidden="1" customHeight="1" outlineLevel="2" x14ac:dyDescent="0.25">
      <c r="A476" s="488"/>
      <c r="B476" s="492"/>
      <c r="C476" s="492"/>
      <c r="D476" s="177" t="s">
        <v>332</v>
      </c>
      <c r="E476" s="178">
        <v>613840322</v>
      </c>
      <c r="F476" s="178">
        <v>465500000</v>
      </c>
      <c r="G476" s="177" t="s">
        <v>444</v>
      </c>
      <c r="I476" s="236"/>
    </row>
    <row r="477" spans="1:12" s="179" customFormat="1" ht="49.9" hidden="1" customHeight="1" outlineLevel="2" x14ac:dyDescent="0.25">
      <c r="A477" s="488"/>
      <c r="B477" s="493"/>
      <c r="C477" s="493"/>
      <c r="D477" s="177" t="s">
        <v>437</v>
      </c>
      <c r="E477" s="178">
        <v>1412790000</v>
      </c>
      <c r="F477" s="178">
        <v>835107984</v>
      </c>
      <c r="G477" s="177" t="s">
        <v>444</v>
      </c>
      <c r="I477" s="236"/>
    </row>
    <row r="478" spans="1:12" s="179" customFormat="1" ht="49.9" hidden="1" customHeight="1" outlineLevel="2" x14ac:dyDescent="0.25">
      <c r="A478" s="488"/>
      <c r="B478" s="177" t="s">
        <v>372</v>
      </c>
      <c r="C478" s="177" t="s">
        <v>438</v>
      </c>
      <c r="D478" s="177" t="s">
        <v>439</v>
      </c>
      <c r="E478" s="178">
        <v>621054131</v>
      </c>
      <c r="F478" s="178">
        <v>433428000</v>
      </c>
      <c r="G478" s="177" t="s">
        <v>444</v>
      </c>
      <c r="I478" s="236"/>
    </row>
    <row r="479" spans="1:12" s="179" customFormat="1" ht="49.9" hidden="1" customHeight="1" outlineLevel="2" x14ac:dyDescent="0.25">
      <c r="A479" s="488"/>
      <c r="B479" s="177" t="s">
        <v>376</v>
      </c>
      <c r="C479" s="177" t="s">
        <v>440</v>
      </c>
      <c r="D479" s="177" t="s">
        <v>441</v>
      </c>
      <c r="E479" s="178">
        <v>403410000</v>
      </c>
      <c r="F479" s="178">
        <v>92564000</v>
      </c>
      <c r="G479" s="177" t="s">
        <v>444</v>
      </c>
      <c r="I479" s="236"/>
    </row>
    <row r="480" spans="1:12" s="179" customFormat="1" ht="49.9" hidden="1" customHeight="1" outlineLevel="2" x14ac:dyDescent="0.25">
      <c r="A480" s="488"/>
      <c r="B480" s="491" t="s">
        <v>380</v>
      </c>
      <c r="C480" s="491" t="s">
        <v>442</v>
      </c>
      <c r="D480" s="177" t="s">
        <v>443</v>
      </c>
      <c r="E480" s="178">
        <v>658814131</v>
      </c>
      <c r="F480" s="178">
        <v>451588000</v>
      </c>
      <c r="G480" s="177" t="s">
        <v>444</v>
      </c>
      <c r="I480" s="236"/>
    </row>
    <row r="481" spans="1:9" s="179" customFormat="1" ht="49.9" hidden="1" customHeight="1" outlineLevel="2" x14ac:dyDescent="0.25">
      <c r="A481" s="488"/>
      <c r="B481" s="493"/>
      <c r="C481" s="493"/>
      <c r="D481" s="177" t="s">
        <v>325</v>
      </c>
      <c r="E481" s="178">
        <v>450000000</v>
      </c>
      <c r="F481" s="178">
        <v>373112000</v>
      </c>
      <c r="G481" s="177" t="s">
        <v>444</v>
      </c>
      <c r="I481" s="236"/>
    </row>
    <row r="482" spans="1:9" s="179" customFormat="1" ht="49.9" hidden="1" customHeight="1" outlineLevel="2" x14ac:dyDescent="0.25">
      <c r="A482" s="487" t="s">
        <v>130</v>
      </c>
      <c r="B482" s="491" t="s">
        <v>365</v>
      </c>
      <c r="C482" s="491" t="s">
        <v>434</v>
      </c>
      <c r="D482" s="177" t="s">
        <v>319</v>
      </c>
      <c r="E482" s="178">
        <v>775545944</v>
      </c>
      <c r="F482" s="178">
        <v>433527167</v>
      </c>
      <c r="G482" s="177" t="s">
        <v>444</v>
      </c>
      <c r="I482" s="236"/>
    </row>
    <row r="483" spans="1:9" s="179" customFormat="1" ht="49.9" hidden="1" customHeight="1" outlineLevel="2" x14ac:dyDescent="0.25">
      <c r="A483" s="488"/>
      <c r="B483" s="492"/>
      <c r="C483" s="492"/>
      <c r="D483" s="177" t="s">
        <v>332</v>
      </c>
      <c r="E483" s="178">
        <v>613840322</v>
      </c>
      <c r="F483" s="178">
        <v>465500000</v>
      </c>
      <c r="G483" s="177" t="s">
        <v>444</v>
      </c>
      <c r="I483" s="236"/>
    </row>
    <row r="484" spans="1:9" s="179" customFormat="1" ht="49.9" hidden="1" customHeight="1" outlineLevel="2" x14ac:dyDescent="0.25">
      <c r="A484" s="488"/>
      <c r="B484" s="493"/>
      <c r="C484" s="493"/>
      <c r="D484" s="177" t="s">
        <v>437</v>
      </c>
      <c r="E484" s="178">
        <v>1412790000</v>
      </c>
      <c r="F484" s="178">
        <v>860130666</v>
      </c>
      <c r="G484" s="177" t="s">
        <v>444</v>
      </c>
      <c r="I484" s="236"/>
    </row>
    <row r="485" spans="1:9" s="179" customFormat="1" ht="49.9" hidden="1" customHeight="1" outlineLevel="2" x14ac:dyDescent="0.25">
      <c r="A485" s="488"/>
      <c r="B485" s="177" t="s">
        <v>372</v>
      </c>
      <c r="C485" s="177" t="s">
        <v>438</v>
      </c>
      <c r="D485" s="177" t="s">
        <v>439</v>
      </c>
      <c r="E485" s="178">
        <v>621054131</v>
      </c>
      <c r="F485" s="178">
        <v>433428000</v>
      </c>
      <c r="G485" s="177" t="s">
        <v>444</v>
      </c>
      <c r="I485" s="236"/>
    </row>
    <row r="486" spans="1:9" s="179" customFormat="1" ht="49.9" hidden="1" customHeight="1" outlineLevel="2" x14ac:dyDescent="0.25">
      <c r="A486" s="488"/>
      <c r="B486" s="177" t="s">
        <v>376</v>
      </c>
      <c r="C486" s="177" t="s">
        <v>440</v>
      </c>
      <c r="D486" s="177" t="s">
        <v>441</v>
      </c>
      <c r="E486" s="178">
        <v>403410000</v>
      </c>
      <c r="F486" s="178">
        <v>164519000</v>
      </c>
      <c r="G486" s="177" t="s">
        <v>444</v>
      </c>
      <c r="I486" s="236"/>
    </row>
    <row r="487" spans="1:9" s="179" customFormat="1" ht="49.9" hidden="1" customHeight="1" outlineLevel="2" x14ac:dyDescent="0.25">
      <c r="A487" s="488"/>
      <c r="B487" s="491" t="s">
        <v>380</v>
      </c>
      <c r="C487" s="491" t="s">
        <v>442</v>
      </c>
      <c r="D487" s="177" t="s">
        <v>443</v>
      </c>
      <c r="E487" s="178">
        <v>658814131</v>
      </c>
      <c r="F487" s="178">
        <v>472900000</v>
      </c>
      <c r="G487" s="177" t="s">
        <v>444</v>
      </c>
      <c r="I487" s="236"/>
    </row>
    <row r="488" spans="1:9" s="179" customFormat="1" ht="49.9" hidden="1" customHeight="1" outlineLevel="2" x14ac:dyDescent="0.25">
      <c r="A488" s="488"/>
      <c r="B488" s="493"/>
      <c r="C488" s="493"/>
      <c r="D488" s="177" t="s">
        <v>325</v>
      </c>
      <c r="E488" s="178">
        <v>450000000</v>
      </c>
      <c r="F488" s="178">
        <v>373112000</v>
      </c>
      <c r="G488" s="177" t="s">
        <v>444</v>
      </c>
      <c r="I488" s="236"/>
    </row>
    <row r="489" spans="1:9" s="179" customFormat="1" ht="49.9" hidden="1" customHeight="1" outlineLevel="2" x14ac:dyDescent="0.25">
      <c r="A489" s="486" t="s">
        <v>131</v>
      </c>
      <c r="B489" s="482" t="s">
        <v>365</v>
      </c>
      <c r="C489" s="482" t="s">
        <v>434</v>
      </c>
      <c r="D489" s="177" t="s">
        <v>319</v>
      </c>
      <c r="E489" s="178">
        <v>790545944</v>
      </c>
      <c r="F489" s="178">
        <v>458874846</v>
      </c>
      <c r="G489" s="177" t="s">
        <v>444</v>
      </c>
      <c r="I489" s="236"/>
    </row>
    <row r="490" spans="1:9" s="179" customFormat="1" ht="49.9" hidden="1" customHeight="1" outlineLevel="2" x14ac:dyDescent="0.25">
      <c r="A490" s="486"/>
      <c r="B490" s="482"/>
      <c r="C490" s="482"/>
      <c r="D490" s="177" t="s">
        <v>332</v>
      </c>
      <c r="E490" s="178">
        <v>816840322</v>
      </c>
      <c r="F490" s="178">
        <v>519098750</v>
      </c>
      <c r="G490" s="177" t="s">
        <v>444</v>
      </c>
      <c r="I490" s="236"/>
    </row>
    <row r="491" spans="1:9" s="179" customFormat="1" ht="49.9" hidden="1" customHeight="1" outlineLevel="2" x14ac:dyDescent="0.25">
      <c r="A491" s="486"/>
      <c r="B491" s="482"/>
      <c r="C491" s="482"/>
      <c r="D491" s="177" t="s">
        <v>437</v>
      </c>
      <c r="E491" s="178">
        <v>1399790000</v>
      </c>
      <c r="F491" s="178">
        <v>892349267</v>
      </c>
      <c r="G491" s="177" t="s">
        <v>444</v>
      </c>
      <c r="I491" s="236"/>
    </row>
    <row r="492" spans="1:9" s="179" customFormat="1" ht="49.9" hidden="1" customHeight="1" outlineLevel="2" x14ac:dyDescent="0.25">
      <c r="A492" s="486"/>
      <c r="B492" s="177" t="s">
        <v>372</v>
      </c>
      <c r="C492" s="177" t="s">
        <v>438</v>
      </c>
      <c r="D492" s="177" t="s">
        <v>439</v>
      </c>
      <c r="E492" s="178">
        <v>556054131</v>
      </c>
      <c r="F492" s="178">
        <v>433428000</v>
      </c>
      <c r="G492" s="177" t="s">
        <v>444</v>
      </c>
      <c r="I492" s="236"/>
    </row>
    <row r="493" spans="1:9" s="179" customFormat="1" ht="49.9" hidden="1" customHeight="1" outlineLevel="2" x14ac:dyDescent="0.25">
      <c r="A493" s="486"/>
      <c r="B493" s="177" t="s">
        <v>376</v>
      </c>
      <c r="C493" s="177" t="s">
        <v>440</v>
      </c>
      <c r="D493" s="177" t="s">
        <v>441</v>
      </c>
      <c r="E493" s="178">
        <v>263410000</v>
      </c>
      <c r="F493" s="178">
        <v>164519000</v>
      </c>
      <c r="G493" s="177" t="s">
        <v>444</v>
      </c>
      <c r="I493" s="236"/>
    </row>
    <row r="494" spans="1:9" s="179" customFormat="1" ht="49.9" hidden="1" customHeight="1" outlineLevel="2" x14ac:dyDescent="0.25">
      <c r="A494" s="486"/>
      <c r="B494" s="482" t="s">
        <v>380</v>
      </c>
      <c r="C494" s="482" t="s">
        <v>442</v>
      </c>
      <c r="D494" s="177" t="s">
        <v>443</v>
      </c>
      <c r="E494" s="178">
        <v>658814131</v>
      </c>
      <c r="F494" s="178">
        <v>516280000</v>
      </c>
      <c r="G494" s="177" t="s">
        <v>444</v>
      </c>
      <c r="I494" s="236"/>
    </row>
    <row r="495" spans="1:9" s="179" customFormat="1" ht="49.9" hidden="1" customHeight="1" outlineLevel="2" x14ac:dyDescent="0.25">
      <c r="A495" s="486"/>
      <c r="B495" s="482"/>
      <c r="C495" s="482"/>
      <c r="D495" s="177" t="s">
        <v>325</v>
      </c>
      <c r="E495" s="178">
        <v>450000000</v>
      </c>
      <c r="F495" s="178">
        <v>373112000</v>
      </c>
      <c r="G495" s="177" t="s">
        <v>444</v>
      </c>
      <c r="I495" s="236"/>
    </row>
    <row r="496" spans="1:9" s="179" customFormat="1" ht="49.9" hidden="1" customHeight="1" outlineLevel="2" x14ac:dyDescent="0.25">
      <c r="A496" s="486" t="s">
        <v>132</v>
      </c>
      <c r="B496" s="482" t="s">
        <v>365</v>
      </c>
      <c r="C496" s="482" t="s">
        <v>434</v>
      </c>
      <c r="D496" s="177" t="s">
        <v>319</v>
      </c>
      <c r="E496" s="178">
        <v>780545944</v>
      </c>
      <c r="F496" s="178">
        <v>488375819</v>
      </c>
      <c r="G496" s="177" t="s">
        <v>444</v>
      </c>
      <c r="I496" s="236"/>
    </row>
    <row r="497" spans="1:9" s="179" customFormat="1" ht="49.9" hidden="1" customHeight="1" outlineLevel="2" x14ac:dyDescent="0.25">
      <c r="A497" s="486"/>
      <c r="B497" s="482"/>
      <c r="C497" s="482"/>
      <c r="D497" s="177" t="s">
        <v>332</v>
      </c>
      <c r="E497" s="178">
        <v>826840322</v>
      </c>
      <c r="F497" s="178">
        <v>542938322</v>
      </c>
      <c r="G497" s="177" t="s">
        <v>444</v>
      </c>
      <c r="I497" s="236"/>
    </row>
    <row r="498" spans="1:9" s="179" customFormat="1" ht="49.9" hidden="1" customHeight="1" outlineLevel="2" x14ac:dyDescent="0.25">
      <c r="A498" s="486"/>
      <c r="B498" s="482"/>
      <c r="C498" s="482"/>
      <c r="D498" s="177" t="s">
        <v>437</v>
      </c>
      <c r="E498" s="178">
        <v>1399790000</v>
      </c>
      <c r="F498" s="178">
        <v>905631416</v>
      </c>
      <c r="G498" s="177" t="s">
        <v>444</v>
      </c>
      <c r="I498" s="236"/>
    </row>
    <row r="499" spans="1:9" s="179" customFormat="1" ht="49.9" hidden="1" customHeight="1" outlineLevel="2" x14ac:dyDescent="0.25">
      <c r="A499" s="486"/>
      <c r="B499" s="177" t="s">
        <v>372</v>
      </c>
      <c r="C499" s="177" t="s">
        <v>438</v>
      </c>
      <c r="D499" s="177" t="s">
        <v>439</v>
      </c>
      <c r="E499" s="178">
        <v>556054131</v>
      </c>
      <c r="F499" s="178">
        <v>437787131</v>
      </c>
      <c r="G499" s="177" t="s">
        <v>444</v>
      </c>
      <c r="I499" s="236"/>
    </row>
    <row r="500" spans="1:9" s="179" customFormat="1" ht="49.9" hidden="1" customHeight="1" outlineLevel="2" x14ac:dyDescent="0.25">
      <c r="A500" s="486"/>
      <c r="B500" s="177" t="s">
        <v>376</v>
      </c>
      <c r="C500" s="177" t="s">
        <v>440</v>
      </c>
      <c r="D500" s="177" t="s">
        <v>441</v>
      </c>
      <c r="E500" s="178">
        <v>263410000</v>
      </c>
      <c r="F500" s="178">
        <v>191691000</v>
      </c>
      <c r="G500" s="177" t="s">
        <v>444</v>
      </c>
      <c r="I500" s="236"/>
    </row>
    <row r="501" spans="1:9" s="179" customFormat="1" ht="49.9" hidden="1" customHeight="1" outlineLevel="2" x14ac:dyDescent="0.25">
      <c r="A501" s="486"/>
      <c r="B501" s="482" t="s">
        <v>380</v>
      </c>
      <c r="C501" s="482" t="s">
        <v>442</v>
      </c>
      <c r="D501" s="177" t="s">
        <v>443</v>
      </c>
      <c r="E501" s="178">
        <v>658814131</v>
      </c>
      <c r="F501" s="178">
        <v>545531000</v>
      </c>
      <c r="G501" s="177" t="s">
        <v>444</v>
      </c>
      <c r="I501" s="236"/>
    </row>
    <row r="502" spans="1:9" s="179" customFormat="1" ht="49.9" hidden="1" customHeight="1" outlineLevel="2" x14ac:dyDescent="0.25">
      <c r="A502" s="486"/>
      <c r="B502" s="482"/>
      <c r="C502" s="482"/>
      <c r="D502" s="177" t="s">
        <v>325</v>
      </c>
      <c r="E502" s="178">
        <v>450000000</v>
      </c>
      <c r="F502" s="178">
        <v>377292000</v>
      </c>
      <c r="G502" s="177" t="s">
        <v>444</v>
      </c>
      <c r="I502" s="236"/>
    </row>
    <row r="503" spans="1:9" s="179" customFormat="1" ht="55.15" hidden="1" customHeight="1" outlineLevel="2" x14ac:dyDescent="0.25">
      <c r="A503" s="487" t="s">
        <v>133</v>
      </c>
      <c r="B503" s="482" t="s">
        <v>365</v>
      </c>
      <c r="C503" s="482" t="s">
        <v>434</v>
      </c>
      <c r="D503" s="177" t="s">
        <v>319</v>
      </c>
      <c r="E503" s="178">
        <v>780545944</v>
      </c>
      <c r="F503" s="178">
        <v>731213017</v>
      </c>
      <c r="G503" s="177" t="s">
        <v>444</v>
      </c>
      <c r="I503" s="236"/>
    </row>
    <row r="504" spans="1:9" s="179" customFormat="1" ht="55.15" hidden="1" customHeight="1" outlineLevel="2" x14ac:dyDescent="0.25">
      <c r="A504" s="488"/>
      <c r="B504" s="482"/>
      <c r="C504" s="482"/>
      <c r="D504" s="177" t="s">
        <v>332</v>
      </c>
      <c r="E504" s="178">
        <v>826840322</v>
      </c>
      <c r="F504" s="178">
        <v>670473105</v>
      </c>
      <c r="G504" s="177" t="s">
        <v>444</v>
      </c>
      <c r="I504" s="236"/>
    </row>
    <row r="505" spans="1:9" s="179" customFormat="1" ht="55.15" hidden="1" customHeight="1" outlineLevel="2" x14ac:dyDescent="0.25">
      <c r="A505" s="488"/>
      <c r="B505" s="482"/>
      <c r="C505" s="482"/>
      <c r="D505" s="177" t="s">
        <v>437</v>
      </c>
      <c r="E505" s="178">
        <v>1399790000</v>
      </c>
      <c r="F505" s="178">
        <v>1326141063</v>
      </c>
      <c r="G505" s="177" t="s">
        <v>444</v>
      </c>
      <c r="I505" s="236"/>
    </row>
    <row r="506" spans="1:9" s="179" customFormat="1" ht="55.15" hidden="1" customHeight="1" outlineLevel="2" x14ac:dyDescent="0.25">
      <c r="A506" s="488"/>
      <c r="B506" s="177" t="s">
        <v>372</v>
      </c>
      <c r="C506" s="177" t="s">
        <v>438</v>
      </c>
      <c r="D506" s="177" t="s">
        <v>439</v>
      </c>
      <c r="E506" s="178">
        <v>556054131</v>
      </c>
      <c r="F506" s="178">
        <v>535986131</v>
      </c>
      <c r="G506" s="177" t="s">
        <v>444</v>
      </c>
      <c r="I506" s="236"/>
    </row>
    <row r="507" spans="1:9" s="179" customFormat="1" ht="55.15" hidden="1" customHeight="1" outlineLevel="2" x14ac:dyDescent="0.25">
      <c r="A507" s="488"/>
      <c r="B507" s="177" t="s">
        <v>376</v>
      </c>
      <c r="C507" s="177" t="s">
        <v>440</v>
      </c>
      <c r="D507" s="177" t="s">
        <v>441</v>
      </c>
      <c r="E507" s="178">
        <v>263410000</v>
      </c>
      <c r="F507" s="178">
        <v>232617000</v>
      </c>
      <c r="G507" s="177" t="s">
        <v>444</v>
      </c>
      <c r="I507" s="236"/>
    </row>
    <row r="508" spans="1:9" s="179" customFormat="1" ht="55.15" hidden="1" customHeight="1" outlineLevel="2" x14ac:dyDescent="0.25">
      <c r="A508" s="488"/>
      <c r="B508" s="482" t="s">
        <v>380</v>
      </c>
      <c r="C508" s="482" t="s">
        <v>442</v>
      </c>
      <c r="D508" s="177" t="s">
        <v>443</v>
      </c>
      <c r="E508" s="178">
        <v>658814131</v>
      </c>
      <c r="F508" s="178">
        <v>644978000</v>
      </c>
      <c r="G508" s="177" t="s">
        <v>444</v>
      </c>
      <c r="I508" s="236"/>
    </row>
    <row r="509" spans="1:9" s="179" customFormat="1" ht="55.15" hidden="1" customHeight="1" outlineLevel="2" x14ac:dyDescent="0.25">
      <c r="A509" s="489"/>
      <c r="B509" s="482"/>
      <c r="C509" s="482"/>
      <c r="D509" s="177" t="s">
        <v>325</v>
      </c>
      <c r="E509" s="178">
        <v>450000000</v>
      </c>
      <c r="F509" s="178">
        <v>447516000</v>
      </c>
      <c r="G509" s="177" t="s">
        <v>444</v>
      </c>
      <c r="I509" s="236"/>
    </row>
    <row r="511" spans="1:9" ht="20.25" x14ac:dyDescent="0.3">
      <c r="A511" s="483" t="s">
        <v>172</v>
      </c>
      <c r="B511" s="484"/>
      <c r="C511" s="484"/>
      <c r="D511" s="484"/>
      <c r="E511" s="484"/>
      <c r="F511" s="484"/>
      <c r="G511" s="485"/>
    </row>
    <row r="512" spans="1:9" ht="38.25" x14ac:dyDescent="0.25">
      <c r="A512" s="175" t="s">
        <v>49</v>
      </c>
      <c r="B512" s="42" t="s">
        <v>145</v>
      </c>
      <c r="C512" s="42" t="s">
        <v>146</v>
      </c>
      <c r="D512" s="42" t="s">
        <v>168</v>
      </c>
      <c r="E512" s="42" t="s">
        <v>173</v>
      </c>
      <c r="F512" s="42" t="s">
        <v>174</v>
      </c>
      <c r="G512" s="42" t="s">
        <v>171</v>
      </c>
    </row>
    <row r="513" spans="1:7" ht="49.9" customHeight="1" outlineLevel="1" x14ac:dyDescent="0.25">
      <c r="A513" s="479" t="s">
        <v>135</v>
      </c>
      <c r="B513" s="482" t="s">
        <v>365</v>
      </c>
      <c r="C513" s="482" t="s">
        <v>434</v>
      </c>
      <c r="D513" s="177" t="s">
        <v>319</v>
      </c>
      <c r="E513" s="178">
        <v>1564678000</v>
      </c>
      <c r="F513" s="178">
        <v>0</v>
      </c>
      <c r="G513" s="177" t="s">
        <v>444</v>
      </c>
    </row>
    <row r="514" spans="1:7" ht="49.9" customHeight="1" outlineLevel="1" x14ac:dyDescent="0.25">
      <c r="A514" s="480"/>
      <c r="B514" s="482"/>
      <c r="C514" s="482"/>
      <c r="D514" s="177" t="s">
        <v>332</v>
      </c>
      <c r="E514" s="178">
        <v>1374057000</v>
      </c>
      <c r="F514" s="178">
        <v>0</v>
      </c>
      <c r="G514" s="177" t="s">
        <v>444</v>
      </c>
    </row>
    <row r="515" spans="1:7" ht="49.9" customHeight="1" outlineLevel="1" x14ac:dyDescent="0.25">
      <c r="A515" s="480"/>
      <c r="B515" s="482"/>
      <c r="C515" s="482"/>
      <c r="D515" s="177" t="s">
        <v>437</v>
      </c>
      <c r="E515" s="178">
        <v>2973776000</v>
      </c>
      <c r="F515" s="178">
        <v>0</v>
      </c>
      <c r="G515" s="177" t="s">
        <v>444</v>
      </c>
    </row>
    <row r="516" spans="1:7" ht="49.9" customHeight="1" outlineLevel="1" x14ac:dyDescent="0.25">
      <c r="A516" s="480"/>
      <c r="B516" s="177" t="s">
        <v>372</v>
      </c>
      <c r="C516" s="177" t="s">
        <v>438</v>
      </c>
      <c r="D516" s="177" t="s">
        <v>439</v>
      </c>
      <c r="E516" s="178">
        <v>1480481000</v>
      </c>
      <c r="F516" s="178">
        <v>0</v>
      </c>
      <c r="G516" s="177" t="s">
        <v>444</v>
      </c>
    </row>
    <row r="517" spans="1:7" ht="49.9" customHeight="1" outlineLevel="1" x14ac:dyDescent="0.25">
      <c r="A517" s="480"/>
      <c r="B517" s="177" t="s">
        <v>376</v>
      </c>
      <c r="C517" s="177" t="s">
        <v>440</v>
      </c>
      <c r="D517" s="177" t="s">
        <v>441</v>
      </c>
      <c r="E517" s="178">
        <v>689070000</v>
      </c>
      <c r="F517" s="178">
        <v>0</v>
      </c>
      <c r="G517" s="177" t="s">
        <v>444</v>
      </c>
    </row>
    <row r="518" spans="1:7" ht="49.9" customHeight="1" outlineLevel="1" x14ac:dyDescent="0.25">
      <c r="A518" s="480"/>
      <c r="B518" s="482" t="s">
        <v>380</v>
      </c>
      <c r="C518" s="482" t="s">
        <v>442</v>
      </c>
      <c r="D518" s="177" t="s">
        <v>443</v>
      </c>
      <c r="E518" s="178">
        <v>1294148000</v>
      </c>
      <c r="F518" s="178">
        <v>0</v>
      </c>
      <c r="G518" s="177" t="s">
        <v>444</v>
      </c>
    </row>
    <row r="519" spans="1:7" ht="49.9" customHeight="1" outlineLevel="1" x14ac:dyDescent="0.25">
      <c r="A519" s="481"/>
      <c r="B519" s="482"/>
      <c r="C519" s="482"/>
      <c r="D519" s="177" t="s">
        <v>325</v>
      </c>
      <c r="E519" s="178">
        <v>691670000</v>
      </c>
      <c r="F519" s="178">
        <v>0</v>
      </c>
      <c r="G519" s="177" t="s">
        <v>444</v>
      </c>
    </row>
    <row r="520" spans="1:7" ht="49.9" customHeight="1" outlineLevel="1" x14ac:dyDescent="0.25">
      <c r="A520" s="479" t="s">
        <v>136</v>
      </c>
      <c r="B520" s="482" t="s">
        <v>365</v>
      </c>
      <c r="C520" s="482" t="s">
        <v>434</v>
      </c>
      <c r="D520" s="177" t="s">
        <v>319</v>
      </c>
      <c r="E520" s="178">
        <v>1564678000</v>
      </c>
      <c r="F520" s="178">
        <v>188232000</v>
      </c>
      <c r="G520" s="177" t="s">
        <v>444</v>
      </c>
    </row>
    <row r="521" spans="1:7" ht="49.9" customHeight="1" outlineLevel="1" x14ac:dyDescent="0.25">
      <c r="A521" s="480"/>
      <c r="B521" s="482"/>
      <c r="C521" s="482"/>
      <c r="D521" s="177" t="s">
        <v>332</v>
      </c>
      <c r="E521" s="178">
        <v>1374057000</v>
      </c>
      <c r="F521" s="178">
        <v>582050000</v>
      </c>
      <c r="G521" s="177" t="s">
        <v>444</v>
      </c>
    </row>
    <row r="522" spans="1:7" ht="49.9" customHeight="1" outlineLevel="1" x14ac:dyDescent="0.25">
      <c r="A522" s="480"/>
      <c r="B522" s="482"/>
      <c r="C522" s="482"/>
      <c r="D522" s="177" t="s">
        <v>437</v>
      </c>
      <c r="E522" s="178">
        <v>2973776000</v>
      </c>
      <c r="F522" s="178">
        <v>408790000</v>
      </c>
      <c r="G522" s="177" t="s">
        <v>444</v>
      </c>
    </row>
    <row r="523" spans="1:7" ht="49.9" customHeight="1" outlineLevel="1" x14ac:dyDescent="0.25">
      <c r="A523" s="480"/>
      <c r="B523" s="177" t="s">
        <v>372</v>
      </c>
      <c r="C523" s="177" t="s">
        <v>438</v>
      </c>
      <c r="D523" s="177" t="s">
        <v>439</v>
      </c>
      <c r="E523" s="178">
        <v>1480481000</v>
      </c>
      <c r="F523" s="178">
        <v>740287000</v>
      </c>
      <c r="G523" s="177" t="s">
        <v>444</v>
      </c>
    </row>
    <row r="524" spans="1:7" ht="49.9" customHeight="1" outlineLevel="1" x14ac:dyDescent="0.25">
      <c r="A524" s="480"/>
      <c r="B524" s="177" t="s">
        <v>376</v>
      </c>
      <c r="C524" s="177" t="s">
        <v>440</v>
      </c>
      <c r="D524" s="177" t="s">
        <v>441</v>
      </c>
      <c r="E524" s="178">
        <v>689070000</v>
      </c>
      <c r="F524" s="178">
        <v>34584000</v>
      </c>
      <c r="G524" s="177" t="s">
        <v>444</v>
      </c>
    </row>
    <row r="525" spans="1:7" ht="49.9" customHeight="1" outlineLevel="1" x14ac:dyDescent="0.25">
      <c r="A525" s="480"/>
      <c r="B525" s="482" t="s">
        <v>380</v>
      </c>
      <c r="C525" s="482" t="s">
        <v>442</v>
      </c>
      <c r="D525" s="177" t="s">
        <v>443</v>
      </c>
      <c r="E525" s="178">
        <v>1294148000</v>
      </c>
      <c r="F525" s="178">
        <v>385283000</v>
      </c>
      <c r="G525" s="177" t="s">
        <v>444</v>
      </c>
    </row>
    <row r="526" spans="1:7" ht="49.9" customHeight="1" outlineLevel="1" x14ac:dyDescent="0.25">
      <c r="A526" s="481"/>
      <c r="B526" s="482"/>
      <c r="C526" s="482"/>
      <c r="D526" s="177" t="s">
        <v>325</v>
      </c>
      <c r="E526" s="178">
        <v>691670000</v>
      </c>
      <c r="F526" s="178">
        <v>326043000</v>
      </c>
      <c r="G526" s="177" t="s">
        <v>444</v>
      </c>
    </row>
    <row r="527" spans="1:7" ht="49.9" customHeight="1" outlineLevel="1" x14ac:dyDescent="0.25">
      <c r="A527" s="479" t="s">
        <v>137</v>
      </c>
      <c r="B527" s="482" t="s">
        <v>365</v>
      </c>
      <c r="C527" s="482" t="s">
        <v>434</v>
      </c>
      <c r="D527" s="177" t="s">
        <v>319</v>
      </c>
      <c r="E527" s="178">
        <v>1564678000</v>
      </c>
      <c r="F527" s="178">
        <v>537224000</v>
      </c>
      <c r="G527" s="177" t="s">
        <v>444</v>
      </c>
    </row>
    <row r="528" spans="1:7" ht="49.9" customHeight="1" outlineLevel="1" x14ac:dyDescent="0.25">
      <c r="A528" s="480"/>
      <c r="B528" s="482"/>
      <c r="C528" s="482"/>
      <c r="D528" s="177" t="s">
        <v>332</v>
      </c>
      <c r="E528" s="178">
        <v>1374057000</v>
      </c>
      <c r="F528" s="178">
        <v>1121617000</v>
      </c>
      <c r="G528" s="177" t="s">
        <v>444</v>
      </c>
    </row>
    <row r="529" spans="1:7" ht="49.9" customHeight="1" outlineLevel="1" x14ac:dyDescent="0.25">
      <c r="A529" s="480"/>
      <c r="B529" s="482"/>
      <c r="C529" s="482"/>
      <c r="D529" s="177" t="s">
        <v>437</v>
      </c>
      <c r="E529" s="178">
        <v>2973776000</v>
      </c>
      <c r="F529" s="178">
        <v>1793944150</v>
      </c>
      <c r="G529" s="177" t="s">
        <v>444</v>
      </c>
    </row>
    <row r="530" spans="1:7" ht="49.9" customHeight="1" outlineLevel="1" x14ac:dyDescent="0.25">
      <c r="A530" s="480"/>
      <c r="B530" s="177" t="s">
        <v>372</v>
      </c>
      <c r="C530" s="177" t="s">
        <v>438</v>
      </c>
      <c r="D530" s="177" t="s">
        <v>439</v>
      </c>
      <c r="E530" s="178">
        <v>1480481000</v>
      </c>
      <c r="F530" s="178">
        <v>1001575000</v>
      </c>
      <c r="G530" s="177" t="s">
        <v>444</v>
      </c>
    </row>
    <row r="531" spans="1:7" ht="49.9" customHeight="1" outlineLevel="1" x14ac:dyDescent="0.25">
      <c r="A531" s="480"/>
      <c r="B531" s="177" t="s">
        <v>376</v>
      </c>
      <c r="C531" s="177" t="s">
        <v>440</v>
      </c>
      <c r="D531" s="177" t="s">
        <v>441</v>
      </c>
      <c r="E531" s="178">
        <v>689070000</v>
      </c>
      <c r="F531" s="178">
        <v>343006000</v>
      </c>
      <c r="G531" s="177" t="s">
        <v>444</v>
      </c>
    </row>
    <row r="532" spans="1:7" ht="49.9" customHeight="1" outlineLevel="1" x14ac:dyDescent="0.25">
      <c r="A532" s="480"/>
      <c r="B532" s="482" t="s">
        <v>380</v>
      </c>
      <c r="C532" s="482" t="s">
        <v>442</v>
      </c>
      <c r="D532" s="177" t="s">
        <v>443</v>
      </c>
      <c r="E532" s="178">
        <v>1294148000</v>
      </c>
      <c r="F532" s="178">
        <v>1137979000</v>
      </c>
      <c r="G532" s="177" t="s">
        <v>444</v>
      </c>
    </row>
    <row r="533" spans="1:7" ht="49.9" customHeight="1" outlineLevel="1" x14ac:dyDescent="0.25">
      <c r="A533" s="481"/>
      <c r="B533" s="482"/>
      <c r="C533" s="482"/>
      <c r="D533" s="177" t="s">
        <v>325</v>
      </c>
      <c r="E533" s="178">
        <v>691670000</v>
      </c>
      <c r="F533" s="178">
        <v>415638000</v>
      </c>
      <c r="G533" s="177" t="s">
        <v>444</v>
      </c>
    </row>
    <row r="534" spans="1:7" ht="49.9" customHeight="1" outlineLevel="1" x14ac:dyDescent="0.25">
      <c r="A534" s="479" t="s">
        <v>138</v>
      </c>
      <c r="B534" s="482" t="s">
        <v>365</v>
      </c>
      <c r="C534" s="482" t="s">
        <v>434</v>
      </c>
      <c r="D534" s="177" t="s">
        <v>319</v>
      </c>
      <c r="E534" s="178">
        <v>837335614</v>
      </c>
      <c r="F534" s="178">
        <v>664703857</v>
      </c>
      <c r="G534" s="177" t="s">
        <v>444</v>
      </c>
    </row>
    <row r="535" spans="1:7" ht="49.9" customHeight="1" outlineLevel="1" x14ac:dyDescent="0.25">
      <c r="A535" s="480"/>
      <c r="B535" s="482"/>
      <c r="C535" s="482"/>
      <c r="D535" s="177" t="s">
        <v>332</v>
      </c>
      <c r="E535" s="178">
        <v>1262994000</v>
      </c>
      <c r="F535" s="178">
        <v>1215729000</v>
      </c>
      <c r="G535" s="177" t="s">
        <v>444</v>
      </c>
    </row>
    <row r="536" spans="1:7" ht="49.9" customHeight="1" outlineLevel="1" x14ac:dyDescent="0.25">
      <c r="A536" s="480"/>
      <c r="B536" s="482"/>
      <c r="C536" s="482"/>
      <c r="D536" s="177" t="s">
        <v>437</v>
      </c>
      <c r="E536" s="178">
        <v>2636043000</v>
      </c>
      <c r="F536" s="178">
        <v>1942784150</v>
      </c>
      <c r="G536" s="177" t="s">
        <v>444</v>
      </c>
    </row>
    <row r="537" spans="1:7" ht="49.9" customHeight="1" outlineLevel="1" x14ac:dyDescent="0.25">
      <c r="A537" s="480"/>
      <c r="B537" s="177" t="s">
        <v>372</v>
      </c>
      <c r="C537" s="177" t="s">
        <v>438</v>
      </c>
      <c r="D537" s="177" t="s">
        <v>439</v>
      </c>
      <c r="E537" s="178">
        <v>1453575000</v>
      </c>
      <c r="F537" s="178">
        <v>1001575000</v>
      </c>
      <c r="G537" s="177" t="s">
        <v>444</v>
      </c>
    </row>
    <row r="538" spans="1:7" ht="49.9" customHeight="1" outlineLevel="1" x14ac:dyDescent="0.25">
      <c r="A538" s="480"/>
      <c r="B538" s="177" t="s">
        <v>376</v>
      </c>
      <c r="C538" s="177" t="s">
        <v>440</v>
      </c>
      <c r="D538" s="177" t="s">
        <v>441</v>
      </c>
      <c r="E538" s="178">
        <v>483246000</v>
      </c>
      <c r="F538" s="178">
        <v>344744634</v>
      </c>
      <c r="G538" s="177" t="s">
        <v>444</v>
      </c>
    </row>
    <row r="539" spans="1:7" ht="49.9" customHeight="1" outlineLevel="1" x14ac:dyDescent="0.25">
      <c r="A539" s="480"/>
      <c r="B539" s="482" t="s">
        <v>380</v>
      </c>
      <c r="C539" s="482" t="s">
        <v>442</v>
      </c>
      <c r="D539" s="177" t="s">
        <v>443</v>
      </c>
      <c r="E539" s="178">
        <v>1294148000</v>
      </c>
      <c r="F539" s="178">
        <v>1137979000</v>
      </c>
      <c r="G539" s="177" t="s">
        <v>444</v>
      </c>
    </row>
    <row r="540" spans="1:7" ht="49.9" customHeight="1" outlineLevel="1" x14ac:dyDescent="0.25">
      <c r="A540" s="481"/>
      <c r="B540" s="482"/>
      <c r="C540" s="482"/>
      <c r="D540" s="177" t="s">
        <v>325</v>
      </c>
      <c r="E540" s="178">
        <v>528678000</v>
      </c>
      <c r="F540" s="178">
        <v>516118000</v>
      </c>
      <c r="G540" s="177" t="s">
        <v>444</v>
      </c>
    </row>
    <row r="541" spans="1:7" ht="49.9" customHeight="1" outlineLevel="1" x14ac:dyDescent="0.25">
      <c r="A541" s="479" t="s">
        <v>139</v>
      </c>
      <c r="B541" s="482" t="s">
        <v>365</v>
      </c>
      <c r="C541" s="482" t="s">
        <v>434</v>
      </c>
      <c r="D541" s="177" t="s">
        <v>319</v>
      </c>
      <c r="E541" s="178">
        <v>837335614</v>
      </c>
      <c r="F541" s="178">
        <v>664703857</v>
      </c>
      <c r="G541" s="177" t="s">
        <v>444</v>
      </c>
    </row>
    <row r="542" spans="1:7" ht="49.9" customHeight="1" outlineLevel="1" x14ac:dyDescent="0.25">
      <c r="A542" s="480"/>
      <c r="B542" s="482"/>
      <c r="C542" s="482"/>
      <c r="D542" s="177" t="s">
        <v>332</v>
      </c>
      <c r="E542" s="178">
        <v>1262994000</v>
      </c>
      <c r="F542" s="178">
        <v>1215729000</v>
      </c>
      <c r="G542" s="177" t="s">
        <v>444</v>
      </c>
    </row>
    <row r="543" spans="1:7" ht="49.9" customHeight="1" outlineLevel="1" x14ac:dyDescent="0.25">
      <c r="A543" s="480"/>
      <c r="B543" s="482"/>
      <c r="C543" s="482"/>
      <c r="D543" s="177" t="s">
        <v>437</v>
      </c>
      <c r="E543" s="178">
        <v>2636043000</v>
      </c>
      <c r="F543" s="178">
        <v>1947784150</v>
      </c>
      <c r="G543" s="177" t="s">
        <v>444</v>
      </c>
    </row>
    <row r="544" spans="1:7" ht="49.9" customHeight="1" outlineLevel="1" x14ac:dyDescent="0.25">
      <c r="A544" s="480"/>
      <c r="B544" s="177" t="s">
        <v>372</v>
      </c>
      <c r="C544" s="177" t="s">
        <v>438</v>
      </c>
      <c r="D544" s="177" t="s">
        <v>439</v>
      </c>
      <c r="E544" s="178">
        <v>1453575000</v>
      </c>
      <c r="F544" s="178">
        <v>1001575000</v>
      </c>
      <c r="G544" s="177" t="s">
        <v>444</v>
      </c>
    </row>
    <row r="545" spans="1:7" ht="49.9" customHeight="1" outlineLevel="1" x14ac:dyDescent="0.25">
      <c r="A545" s="480"/>
      <c r="B545" s="177" t="s">
        <v>376</v>
      </c>
      <c r="C545" s="177" t="s">
        <v>440</v>
      </c>
      <c r="D545" s="177" t="s">
        <v>441</v>
      </c>
      <c r="E545" s="178">
        <v>483246000</v>
      </c>
      <c r="F545" s="178">
        <v>353986578</v>
      </c>
      <c r="G545" s="177" t="s">
        <v>444</v>
      </c>
    </row>
    <row r="546" spans="1:7" ht="49.9" customHeight="1" outlineLevel="1" x14ac:dyDescent="0.25">
      <c r="A546" s="480"/>
      <c r="B546" s="482" t="s">
        <v>380</v>
      </c>
      <c r="C546" s="482" t="s">
        <v>442</v>
      </c>
      <c r="D546" s="177" t="s">
        <v>443</v>
      </c>
      <c r="E546" s="178">
        <v>1294148000</v>
      </c>
      <c r="F546" s="178">
        <v>1162045000</v>
      </c>
      <c r="G546" s="177" t="s">
        <v>444</v>
      </c>
    </row>
    <row r="547" spans="1:7" ht="49.9" customHeight="1" outlineLevel="1" x14ac:dyDescent="0.25">
      <c r="A547" s="481"/>
      <c r="B547" s="482"/>
      <c r="C547" s="482"/>
      <c r="D547" s="177" t="s">
        <v>325</v>
      </c>
      <c r="E547" s="178">
        <v>528678000</v>
      </c>
      <c r="F547" s="178">
        <v>516118000</v>
      </c>
      <c r="G547" s="177" t="s">
        <v>444</v>
      </c>
    </row>
    <row r="548" spans="1:7" ht="49.9" customHeight="1" outlineLevel="1" x14ac:dyDescent="0.25">
      <c r="A548" s="479" t="s">
        <v>140</v>
      </c>
      <c r="B548" s="482" t="s">
        <v>365</v>
      </c>
      <c r="C548" s="482" t="s">
        <v>434</v>
      </c>
      <c r="D548" s="177" t="s">
        <v>319</v>
      </c>
      <c r="E548" s="178">
        <v>837335614</v>
      </c>
      <c r="F548" s="178">
        <v>871181753</v>
      </c>
      <c r="G548" s="177" t="s">
        <v>444</v>
      </c>
    </row>
    <row r="549" spans="1:7" ht="49.9" customHeight="1" outlineLevel="1" x14ac:dyDescent="0.25">
      <c r="A549" s="480"/>
      <c r="B549" s="482"/>
      <c r="C549" s="482"/>
      <c r="D549" s="177" t="s">
        <v>332</v>
      </c>
      <c r="E549" s="178">
        <v>1262994000</v>
      </c>
      <c r="F549" s="178">
        <v>1215729000</v>
      </c>
      <c r="G549" s="177" t="s">
        <v>444</v>
      </c>
    </row>
    <row r="550" spans="1:7" ht="49.9" customHeight="1" outlineLevel="1" x14ac:dyDescent="0.25">
      <c r="A550" s="480"/>
      <c r="B550" s="482"/>
      <c r="C550" s="482"/>
      <c r="D550" s="177" t="s">
        <v>437</v>
      </c>
      <c r="E550" s="178">
        <v>2636043000</v>
      </c>
      <c r="F550" s="178">
        <v>2192515714</v>
      </c>
      <c r="G550" s="177" t="s">
        <v>444</v>
      </c>
    </row>
    <row r="551" spans="1:7" ht="49.9" customHeight="1" outlineLevel="1" x14ac:dyDescent="0.25">
      <c r="A551" s="480"/>
      <c r="B551" s="177" t="s">
        <v>372</v>
      </c>
      <c r="C551" s="177" t="s">
        <v>438</v>
      </c>
      <c r="D551" s="177" t="s">
        <v>439</v>
      </c>
      <c r="E551" s="178">
        <v>1453575000</v>
      </c>
      <c r="F551" s="178">
        <v>1151575000</v>
      </c>
      <c r="G551" s="177" t="s">
        <v>444</v>
      </c>
    </row>
    <row r="552" spans="1:7" ht="49.9" customHeight="1" outlineLevel="1" x14ac:dyDescent="0.25">
      <c r="A552" s="480"/>
      <c r="B552" s="177" t="s">
        <v>376</v>
      </c>
      <c r="C552" s="177" t="s">
        <v>440</v>
      </c>
      <c r="D552" s="177" t="s">
        <v>441</v>
      </c>
      <c r="E552" s="178">
        <v>483246000</v>
      </c>
      <c r="F552" s="178">
        <v>455766292</v>
      </c>
      <c r="G552" s="177" t="s">
        <v>444</v>
      </c>
    </row>
    <row r="553" spans="1:7" ht="49.9" customHeight="1" outlineLevel="1" x14ac:dyDescent="0.25">
      <c r="A553" s="480"/>
      <c r="B553" s="482" t="s">
        <v>380</v>
      </c>
      <c r="C553" s="482" t="s">
        <v>442</v>
      </c>
      <c r="D553" s="177" t="s">
        <v>443</v>
      </c>
      <c r="E553" s="178">
        <v>1294148000</v>
      </c>
      <c r="F553" s="178">
        <v>1162045000</v>
      </c>
      <c r="G553" s="177" t="s">
        <v>444</v>
      </c>
    </row>
    <row r="554" spans="1:7" ht="49.9" customHeight="1" outlineLevel="1" x14ac:dyDescent="0.25">
      <c r="A554" s="481"/>
      <c r="B554" s="482"/>
      <c r="C554" s="482"/>
      <c r="D554" s="177" t="s">
        <v>325</v>
      </c>
      <c r="E554" s="178">
        <v>528678000</v>
      </c>
      <c r="F554" s="178">
        <v>516118000</v>
      </c>
      <c r="G554" s="177" t="s">
        <v>444</v>
      </c>
    </row>
    <row r="555" spans="1:7" ht="49.9" customHeight="1" outlineLevel="1" x14ac:dyDescent="0.25">
      <c r="A555" s="479" t="s">
        <v>128</v>
      </c>
      <c r="B555" s="482" t="s">
        <v>365</v>
      </c>
      <c r="C555" s="482" t="s">
        <v>434</v>
      </c>
      <c r="D555" s="205" t="s">
        <v>319</v>
      </c>
      <c r="E555" s="178">
        <v>837335614</v>
      </c>
      <c r="F555" s="178">
        <f>+INVERSIÓN!BE11</f>
        <v>1496588620</v>
      </c>
      <c r="G555" s="205" t="s">
        <v>444</v>
      </c>
    </row>
    <row r="556" spans="1:7" ht="49.9" customHeight="1" outlineLevel="1" x14ac:dyDescent="0.25">
      <c r="A556" s="480"/>
      <c r="B556" s="482"/>
      <c r="C556" s="482"/>
      <c r="D556" s="205" t="s">
        <v>332</v>
      </c>
      <c r="E556" s="178">
        <v>1262994000</v>
      </c>
      <c r="F556" s="178">
        <f>+INVERSIÓN!BE18</f>
        <v>1338348800</v>
      </c>
      <c r="G556" s="205" t="s">
        <v>444</v>
      </c>
    </row>
    <row r="557" spans="1:7" ht="49.9" customHeight="1" outlineLevel="1" x14ac:dyDescent="0.25">
      <c r="A557" s="480"/>
      <c r="B557" s="482"/>
      <c r="C557" s="482"/>
      <c r="D557" s="205" t="s">
        <v>437</v>
      </c>
      <c r="E557" s="178">
        <v>2636043000</v>
      </c>
      <c r="F557" s="178">
        <f>+INVERSIÓN!BE25</f>
        <v>2682109323</v>
      </c>
      <c r="G557" s="205" t="s">
        <v>444</v>
      </c>
    </row>
    <row r="558" spans="1:7" ht="49.9" customHeight="1" outlineLevel="1" x14ac:dyDescent="0.25">
      <c r="A558" s="480"/>
      <c r="B558" s="205" t="s">
        <v>372</v>
      </c>
      <c r="C558" s="205" t="s">
        <v>438</v>
      </c>
      <c r="D558" s="205" t="s">
        <v>439</v>
      </c>
      <c r="E558" s="178">
        <v>1453575000</v>
      </c>
      <c r="F558" s="178">
        <f>+INVERSIÓN!BE32</f>
        <v>1587021667</v>
      </c>
      <c r="G558" s="205" t="s">
        <v>444</v>
      </c>
    </row>
    <row r="559" spans="1:7" ht="49.9" customHeight="1" outlineLevel="1" x14ac:dyDescent="0.25">
      <c r="A559" s="480"/>
      <c r="B559" s="205" t="s">
        <v>376</v>
      </c>
      <c r="C559" s="205" t="s">
        <v>440</v>
      </c>
      <c r="D559" s="205" t="s">
        <v>441</v>
      </c>
      <c r="E559" s="178">
        <v>483246000</v>
      </c>
      <c r="F559" s="178">
        <f>+INVERSIÓN!BE39</f>
        <v>703847144</v>
      </c>
      <c r="G559" s="205" t="s">
        <v>444</v>
      </c>
    </row>
    <row r="560" spans="1:7" ht="49.9" customHeight="1" outlineLevel="1" x14ac:dyDescent="0.25">
      <c r="A560" s="480"/>
      <c r="B560" s="482" t="s">
        <v>380</v>
      </c>
      <c r="C560" s="482" t="s">
        <v>442</v>
      </c>
      <c r="D560" s="205" t="s">
        <v>443</v>
      </c>
      <c r="E560" s="178">
        <v>1294148000</v>
      </c>
      <c r="F560" s="178">
        <f>+INVERSIÓN!BE46</f>
        <v>1272316799</v>
      </c>
      <c r="G560" s="205" t="s">
        <v>444</v>
      </c>
    </row>
    <row r="561" spans="1:7" ht="49.9" customHeight="1" outlineLevel="1" x14ac:dyDescent="0.25">
      <c r="A561" s="481"/>
      <c r="B561" s="482"/>
      <c r="C561" s="482"/>
      <c r="D561" s="205" t="s">
        <v>325</v>
      </c>
      <c r="E561" s="178">
        <v>528678000</v>
      </c>
      <c r="F561" s="178">
        <f>+INVERSIÓN!BE53</f>
        <v>556933365</v>
      </c>
      <c r="G561" s="205" t="s">
        <v>444</v>
      </c>
    </row>
    <row r="562" spans="1:7" ht="49.9" customHeight="1" outlineLevel="1" x14ac:dyDescent="0.25">
      <c r="A562" s="479" t="s">
        <v>129</v>
      </c>
      <c r="B562" s="482" t="s">
        <v>365</v>
      </c>
      <c r="C562" s="482" t="s">
        <v>434</v>
      </c>
      <c r="D562" s="229" t="s">
        <v>319</v>
      </c>
      <c r="E562" s="178">
        <v>1534521300</v>
      </c>
      <c r="F562" s="178">
        <v>898822087</v>
      </c>
      <c r="G562" s="229" t="s">
        <v>444</v>
      </c>
    </row>
    <row r="563" spans="1:7" ht="49.9" customHeight="1" outlineLevel="1" x14ac:dyDescent="0.25">
      <c r="A563" s="480"/>
      <c r="B563" s="482"/>
      <c r="C563" s="482"/>
      <c r="D563" s="229" t="s">
        <v>332</v>
      </c>
      <c r="E563" s="178">
        <v>1389997314</v>
      </c>
      <c r="F563" s="178">
        <v>1256382667</v>
      </c>
      <c r="G563" s="229" t="s">
        <v>444</v>
      </c>
    </row>
    <row r="564" spans="1:7" ht="49.9" customHeight="1" outlineLevel="1" x14ac:dyDescent="0.25">
      <c r="A564" s="480"/>
      <c r="B564" s="482"/>
      <c r="C564" s="482"/>
      <c r="D564" s="229" t="s">
        <v>437</v>
      </c>
      <c r="E564" s="178">
        <v>2930900316</v>
      </c>
      <c r="F564" s="178">
        <v>2205742548</v>
      </c>
      <c r="G564" s="229" t="s">
        <v>444</v>
      </c>
    </row>
    <row r="565" spans="1:7" ht="49.9" customHeight="1" outlineLevel="1" x14ac:dyDescent="0.25">
      <c r="A565" s="480"/>
      <c r="B565" s="229" t="s">
        <v>372</v>
      </c>
      <c r="C565" s="229" t="s">
        <v>438</v>
      </c>
      <c r="D565" s="229" t="s">
        <v>439</v>
      </c>
      <c r="E565" s="178">
        <v>1587481000.0000007</v>
      </c>
      <c r="F565" s="178">
        <v>1151575000</v>
      </c>
      <c r="G565" s="229" t="s">
        <v>444</v>
      </c>
    </row>
    <row r="566" spans="1:7" ht="49.9" customHeight="1" outlineLevel="1" x14ac:dyDescent="0.25">
      <c r="A566" s="480"/>
      <c r="B566" s="229" t="s">
        <v>376</v>
      </c>
      <c r="C566" s="229" t="s">
        <v>440</v>
      </c>
      <c r="D566" s="229" t="s">
        <v>441</v>
      </c>
      <c r="E566" s="178">
        <v>749389999.99999988</v>
      </c>
      <c r="F566" s="178">
        <v>492530292</v>
      </c>
      <c r="G566" s="229" t="s">
        <v>444</v>
      </c>
    </row>
    <row r="567" spans="1:7" ht="49.9" customHeight="1" outlineLevel="1" x14ac:dyDescent="0.25">
      <c r="A567" s="480"/>
      <c r="B567" s="482" t="s">
        <v>380</v>
      </c>
      <c r="C567" s="482" t="s">
        <v>442</v>
      </c>
      <c r="D567" s="229" t="s">
        <v>443</v>
      </c>
      <c r="E567" s="178">
        <v>1294147999.9999998</v>
      </c>
      <c r="F567" s="178">
        <v>1186640500</v>
      </c>
      <c r="G567" s="229" t="s">
        <v>444</v>
      </c>
    </row>
    <row r="568" spans="1:7" ht="49.9" customHeight="1" outlineLevel="1" x14ac:dyDescent="0.25">
      <c r="A568" s="481"/>
      <c r="B568" s="482"/>
      <c r="C568" s="482"/>
      <c r="D568" s="229" t="s">
        <v>325</v>
      </c>
      <c r="E568" s="178">
        <v>557942070</v>
      </c>
      <c r="F568" s="178">
        <v>516118000</v>
      </c>
      <c r="G568" s="229" t="s">
        <v>444</v>
      </c>
    </row>
    <row r="569" spans="1:7" ht="49.9" customHeight="1" outlineLevel="1" x14ac:dyDescent="0.25">
      <c r="A569" s="479" t="s">
        <v>130</v>
      </c>
      <c r="B569" s="482" t="s">
        <v>365</v>
      </c>
      <c r="C569" s="482" t="s">
        <v>434</v>
      </c>
      <c r="D569" s="232" t="s">
        <v>319</v>
      </c>
      <c r="E569" s="178">
        <v>1534521300</v>
      </c>
      <c r="F569" s="178">
        <v>898822087</v>
      </c>
      <c r="G569" s="243" t="s">
        <v>444</v>
      </c>
    </row>
    <row r="570" spans="1:7" ht="49.9" customHeight="1" outlineLevel="1" x14ac:dyDescent="0.25">
      <c r="A570" s="480"/>
      <c r="B570" s="482"/>
      <c r="C570" s="482"/>
      <c r="D570" s="232" t="s">
        <v>332</v>
      </c>
      <c r="E570" s="178">
        <v>1389997314</v>
      </c>
      <c r="F570" s="178">
        <v>1256382667</v>
      </c>
      <c r="G570" s="243" t="s">
        <v>444</v>
      </c>
    </row>
    <row r="571" spans="1:7" ht="49.9" customHeight="1" outlineLevel="1" x14ac:dyDescent="0.25">
      <c r="A571" s="480"/>
      <c r="B571" s="482"/>
      <c r="C571" s="482"/>
      <c r="D571" s="232" t="s">
        <v>437</v>
      </c>
      <c r="E571" s="178">
        <v>2930900316</v>
      </c>
      <c r="F571" s="178">
        <v>2205742548</v>
      </c>
      <c r="G571" s="243" t="s">
        <v>444</v>
      </c>
    </row>
    <row r="572" spans="1:7" ht="49.9" customHeight="1" outlineLevel="1" x14ac:dyDescent="0.25">
      <c r="A572" s="480"/>
      <c r="B572" s="232" t="s">
        <v>372</v>
      </c>
      <c r="C572" s="232" t="s">
        <v>438</v>
      </c>
      <c r="D572" s="232" t="s">
        <v>439</v>
      </c>
      <c r="E572" s="178">
        <v>1587481000.0000007</v>
      </c>
      <c r="F572" s="178">
        <v>1151575000</v>
      </c>
      <c r="G572" s="243" t="s">
        <v>444</v>
      </c>
    </row>
    <row r="573" spans="1:7" ht="49.9" customHeight="1" outlineLevel="1" x14ac:dyDescent="0.25">
      <c r="A573" s="480"/>
      <c r="B573" s="232" t="s">
        <v>376</v>
      </c>
      <c r="C573" s="232" t="s">
        <v>440</v>
      </c>
      <c r="D573" s="232" t="s">
        <v>441</v>
      </c>
      <c r="E573" s="178">
        <v>749389999.99999988</v>
      </c>
      <c r="F573" s="178">
        <v>492530292</v>
      </c>
      <c r="G573" s="243" t="s">
        <v>444</v>
      </c>
    </row>
    <row r="574" spans="1:7" ht="49.9" customHeight="1" outlineLevel="1" x14ac:dyDescent="0.25">
      <c r="A574" s="480"/>
      <c r="B574" s="482" t="s">
        <v>380</v>
      </c>
      <c r="C574" s="482" t="s">
        <v>442</v>
      </c>
      <c r="D574" s="232" t="s">
        <v>443</v>
      </c>
      <c r="E574" s="178">
        <v>1294147999.9999998</v>
      </c>
      <c r="F574" s="178">
        <v>1186640500</v>
      </c>
      <c r="G574" s="243" t="s">
        <v>444</v>
      </c>
    </row>
    <row r="575" spans="1:7" ht="49.9" customHeight="1" outlineLevel="1" x14ac:dyDescent="0.25">
      <c r="A575" s="481"/>
      <c r="B575" s="482"/>
      <c r="C575" s="482"/>
      <c r="D575" s="232" t="s">
        <v>325</v>
      </c>
      <c r="E575" s="178">
        <v>557942070</v>
      </c>
      <c r="F575" s="178">
        <v>516118000</v>
      </c>
      <c r="G575" s="243" t="s">
        <v>444</v>
      </c>
    </row>
    <row r="576" spans="1:7" ht="49.9" customHeight="1" outlineLevel="1" x14ac:dyDescent="0.25">
      <c r="A576" s="513" t="s">
        <v>131</v>
      </c>
      <c r="B576" s="482" t="s">
        <v>365</v>
      </c>
      <c r="C576" s="482" t="s">
        <v>434</v>
      </c>
      <c r="D576" s="250" t="s">
        <v>319</v>
      </c>
      <c r="E576" s="178">
        <v>1534521300</v>
      </c>
      <c r="F576" s="178">
        <f>+INVERSIÓN!BC11</f>
        <v>1496588620</v>
      </c>
      <c r="G576" s="250" t="s">
        <v>444</v>
      </c>
    </row>
    <row r="577" spans="1:7" ht="49.9" customHeight="1" outlineLevel="1" x14ac:dyDescent="0.25">
      <c r="A577" s="514"/>
      <c r="B577" s="482"/>
      <c r="C577" s="482"/>
      <c r="D577" s="250" t="s">
        <v>332</v>
      </c>
      <c r="E577" s="178">
        <v>1389997314</v>
      </c>
      <c r="F577" s="178">
        <f>+INVERSIÓN!BC18</f>
        <v>1338348800</v>
      </c>
      <c r="G577" s="250" t="s">
        <v>444</v>
      </c>
    </row>
    <row r="578" spans="1:7" ht="49.9" customHeight="1" outlineLevel="1" x14ac:dyDescent="0.25">
      <c r="A578" s="514"/>
      <c r="B578" s="482"/>
      <c r="C578" s="482"/>
      <c r="D578" s="250" t="s">
        <v>437</v>
      </c>
      <c r="E578" s="178">
        <v>2930900316</v>
      </c>
      <c r="F578" s="178">
        <f>+INVERSIÓN!BC25</f>
        <v>2682109323</v>
      </c>
      <c r="G578" s="250" t="s">
        <v>444</v>
      </c>
    </row>
    <row r="579" spans="1:7" ht="49.9" customHeight="1" outlineLevel="1" x14ac:dyDescent="0.25">
      <c r="A579" s="514"/>
      <c r="B579" s="250" t="s">
        <v>372</v>
      </c>
      <c r="C579" s="250" t="s">
        <v>438</v>
      </c>
      <c r="D579" s="250" t="s">
        <v>439</v>
      </c>
      <c r="E579" s="178">
        <v>1587481000.0000007</v>
      </c>
      <c r="F579" s="178">
        <f>+INVERSIÓN!BC32</f>
        <v>1587021667</v>
      </c>
      <c r="G579" s="250" t="s">
        <v>444</v>
      </c>
    </row>
    <row r="580" spans="1:7" ht="49.9" customHeight="1" outlineLevel="1" x14ac:dyDescent="0.25">
      <c r="A580" s="514"/>
      <c r="B580" s="250" t="s">
        <v>376</v>
      </c>
      <c r="C580" s="250" t="s">
        <v>440</v>
      </c>
      <c r="D580" s="250" t="s">
        <v>441</v>
      </c>
      <c r="E580" s="178">
        <v>749389999.99999988</v>
      </c>
      <c r="F580" s="178">
        <f>+INVERSIÓN!BC39</f>
        <v>703847144</v>
      </c>
      <c r="G580" s="250" t="s">
        <v>444</v>
      </c>
    </row>
    <row r="581" spans="1:7" ht="49.9" customHeight="1" outlineLevel="1" x14ac:dyDescent="0.25">
      <c r="A581" s="514"/>
      <c r="B581" s="482" t="s">
        <v>380</v>
      </c>
      <c r="C581" s="482" t="s">
        <v>442</v>
      </c>
      <c r="D581" s="250" t="s">
        <v>443</v>
      </c>
      <c r="E581" s="178">
        <v>1294147999.9999998</v>
      </c>
      <c r="F581" s="178">
        <f>+INVERSIÓN!BC46</f>
        <v>1272316799</v>
      </c>
      <c r="G581" s="250" t="s">
        <v>444</v>
      </c>
    </row>
    <row r="582" spans="1:7" ht="49.9" customHeight="1" outlineLevel="1" x14ac:dyDescent="0.25">
      <c r="A582" s="515"/>
      <c r="B582" s="482"/>
      <c r="C582" s="482"/>
      <c r="D582" s="250" t="s">
        <v>325</v>
      </c>
      <c r="E582" s="178">
        <v>557942070</v>
      </c>
      <c r="F582" s="178">
        <f>+INVERSIÓN!BC53</f>
        <v>556933365</v>
      </c>
      <c r="G582" s="250" t="s">
        <v>444</v>
      </c>
    </row>
    <row r="583" spans="1:7" ht="49.9" customHeight="1" outlineLevel="1" x14ac:dyDescent="0.25">
      <c r="A583" s="479" t="s">
        <v>132</v>
      </c>
      <c r="B583" s="482" t="s">
        <v>365</v>
      </c>
      <c r="C583" s="482" t="s">
        <v>434</v>
      </c>
      <c r="D583" s="255" t="s">
        <v>319</v>
      </c>
      <c r="E583" s="178">
        <f>+INVERSIÓN!BA11</f>
        <v>1534521300</v>
      </c>
      <c r="F583" s="178">
        <f>+INVERSIÓN!BC11</f>
        <v>1496588620</v>
      </c>
      <c r="G583" s="255" t="s">
        <v>444</v>
      </c>
    </row>
    <row r="584" spans="1:7" ht="49.9" customHeight="1" outlineLevel="1" x14ac:dyDescent="0.25">
      <c r="A584" s="480"/>
      <c r="B584" s="482"/>
      <c r="C584" s="482"/>
      <c r="D584" s="255" t="s">
        <v>332</v>
      </c>
      <c r="E584" s="178">
        <f>+INVERSIÓN!BA18</f>
        <v>1389997314</v>
      </c>
      <c r="F584" s="178">
        <f>+INVERSIÓN!BC18</f>
        <v>1338348800</v>
      </c>
      <c r="G584" s="255" t="s">
        <v>444</v>
      </c>
    </row>
    <row r="585" spans="1:7" ht="49.9" customHeight="1" outlineLevel="1" x14ac:dyDescent="0.25">
      <c r="A585" s="480"/>
      <c r="B585" s="482"/>
      <c r="C585" s="482"/>
      <c r="D585" s="255" t="s">
        <v>437</v>
      </c>
      <c r="E585" s="178">
        <f>+INVERSIÓN!BA25</f>
        <v>2930900316</v>
      </c>
      <c r="F585" s="178">
        <f>+INVERSIÓN!BC25</f>
        <v>2682109323</v>
      </c>
      <c r="G585" s="255" t="s">
        <v>444</v>
      </c>
    </row>
    <row r="586" spans="1:7" ht="49.9" customHeight="1" outlineLevel="1" x14ac:dyDescent="0.25">
      <c r="A586" s="480"/>
      <c r="B586" s="255" t="s">
        <v>372</v>
      </c>
      <c r="C586" s="255" t="s">
        <v>438</v>
      </c>
      <c r="D586" s="255" t="s">
        <v>439</v>
      </c>
      <c r="E586" s="178">
        <f>+INVERSIÓN!BA32</f>
        <v>1587481000.0000005</v>
      </c>
      <c r="F586" s="178">
        <f>+INVERSIÓN!BC32</f>
        <v>1587021667</v>
      </c>
      <c r="G586" s="255" t="s">
        <v>444</v>
      </c>
    </row>
    <row r="587" spans="1:7" ht="49.9" customHeight="1" outlineLevel="1" x14ac:dyDescent="0.25">
      <c r="A587" s="480"/>
      <c r="B587" s="255" t="s">
        <v>376</v>
      </c>
      <c r="C587" s="255" t="s">
        <v>440</v>
      </c>
      <c r="D587" s="255" t="s">
        <v>441</v>
      </c>
      <c r="E587" s="178">
        <f>+INVERSIÓN!BA39</f>
        <v>749390000</v>
      </c>
      <c r="F587" s="178">
        <f>+INVERSIÓN!BC39</f>
        <v>703847144</v>
      </c>
      <c r="G587" s="255" t="s">
        <v>444</v>
      </c>
    </row>
    <row r="588" spans="1:7" ht="49.9" customHeight="1" outlineLevel="1" x14ac:dyDescent="0.25">
      <c r="A588" s="480"/>
      <c r="B588" s="482" t="s">
        <v>380</v>
      </c>
      <c r="C588" s="482" t="s">
        <v>442</v>
      </c>
      <c r="D588" s="255" t="s">
        <v>443</v>
      </c>
      <c r="E588" s="178">
        <f>+INVERSIÓN!BA46</f>
        <v>1294148000</v>
      </c>
      <c r="F588" s="178">
        <f>+INVERSIÓN!BC46</f>
        <v>1272316799</v>
      </c>
      <c r="G588" s="255" t="s">
        <v>444</v>
      </c>
    </row>
    <row r="589" spans="1:7" ht="49.9" customHeight="1" outlineLevel="1" x14ac:dyDescent="0.25">
      <c r="A589" s="481"/>
      <c r="B589" s="482"/>
      <c r="C589" s="482"/>
      <c r="D589" s="255" t="s">
        <v>325</v>
      </c>
      <c r="E589" s="178">
        <f>+INVERSIÓN!BA53</f>
        <v>557942070</v>
      </c>
      <c r="F589" s="178">
        <f>+INVERSIÓN!BC53</f>
        <v>556933365</v>
      </c>
      <c r="G589" s="255" t="s">
        <v>444</v>
      </c>
    </row>
    <row r="590" spans="1:7" outlineLevel="1" x14ac:dyDescent="0.25">
      <c r="A590" s="43" t="s">
        <v>133</v>
      </c>
      <c r="B590" s="43"/>
      <c r="C590" s="43"/>
      <c r="D590" s="43"/>
      <c r="E590" s="43"/>
      <c r="F590" s="43"/>
      <c r="G590" s="43"/>
    </row>
    <row r="591" spans="1:7" x14ac:dyDescent="0.25">
      <c r="A591" s="44"/>
      <c r="G591" s="45"/>
    </row>
    <row r="592" spans="1:7" ht="20.25" x14ac:dyDescent="0.3">
      <c r="A592" s="483" t="s">
        <v>445</v>
      </c>
      <c r="B592" s="484"/>
      <c r="C592" s="484"/>
      <c r="D592" s="484"/>
      <c r="E592" s="484"/>
      <c r="F592" s="484"/>
      <c r="G592" s="485"/>
    </row>
    <row r="593" spans="1:7" ht="38.25" x14ac:dyDescent="0.25">
      <c r="A593" s="175" t="s">
        <v>61</v>
      </c>
      <c r="B593" s="42" t="s">
        <v>145</v>
      </c>
      <c r="C593" s="42" t="s">
        <v>146</v>
      </c>
      <c r="D593" s="42" t="s">
        <v>168</v>
      </c>
      <c r="E593" s="42" t="s">
        <v>446</v>
      </c>
      <c r="F593" s="42" t="s">
        <v>447</v>
      </c>
      <c r="G593" s="42" t="s">
        <v>171</v>
      </c>
    </row>
    <row r="594" spans="1:7" ht="49.9" customHeight="1" x14ac:dyDescent="0.25">
      <c r="A594" s="479" t="s">
        <v>135</v>
      </c>
      <c r="B594" s="482" t="s">
        <v>365</v>
      </c>
      <c r="C594" s="482" t="s">
        <v>434</v>
      </c>
      <c r="D594" s="278" t="s">
        <v>319</v>
      </c>
      <c r="E594" s="178">
        <f>+INVERSIÓN!$BF$11</f>
        <v>2219609000</v>
      </c>
      <c r="F594" s="178">
        <f>+INVERSIÓN!BH11</f>
        <v>665963000</v>
      </c>
      <c r="G594" s="278" t="s">
        <v>444</v>
      </c>
    </row>
    <row r="595" spans="1:7" ht="49.9" customHeight="1" x14ac:dyDescent="0.25">
      <c r="A595" s="480"/>
      <c r="B595" s="482"/>
      <c r="C595" s="482"/>
      <c r="D595" s="278" t="s">
        <v>332</v>
      </c>
      <c r="E595" s="178">
        <f>+INVERSIÓN!$BF$18</f>
        <v>6130432000</v>
      </c>
      <c r="F595" s="178">
        <f>+INVERSIÓN!BH18</f>
        <v>1835843000</v>
      </c>
      <c r="G595" s="278" t="s">
        <v>444</v>
      </c>
    </row>
    <row r="596" spans="1:7" ht="49.9" customHeight="1" x14ac:dyDescent="0.25">
      <c r="A596" s="480"/>
      <c r="B596" s="482"/>
      <c r="C596" s="482"/>
      <c r="D596" s="278" t="s">
        <v>437</v>
      </c>
      <c r="E596" s="178">
        <f>+INVERSIÓN!$BF$25</f>
        <v>3364237000</v>
      </c>
      <c r="F596" s="178">
        <f>+INVERSIÓN!BH25</f>
        <v>2534638908</v>
      </c>
      <c r="G596" s="278" t="s">
        <v>444</v>
      </c>
    </row>
    <row r="597" spans="1:7" ht="49.9" customHeight="1" x14ac:dyDescent="0.25">
      <c r="A597" s="480"/>
      <c r="B597" s="278" t="s">
        <v>372</v>
      </c>
      <c r="C597" s="278" t="s">
        <v>438</v>
      </c>
      <c r="D597" s="278" t="s">
        <v>439</v>
      </c>
      <c r="E597" s="178">
        <f>+INVERSIÓN!$BF$32</f>
        <v>1617058000</v>
      </c>
      <c r="F597" s="178">
        <f>+INVERSIÓN!BH32</f>
        <v>1097940000</v>
      </c>
      <c r="G597" s="278" t="s">
        <v>444</v>
      </c>
    </row>
    <row r="598" spans="1:7" ht="49.9" customHeight="1" x14ac:dyDescent="0.25">
      <c r="A598" s="480"/>
      <c r="B598" s="278" t="s">
        <v>376</v>
      </c>
      <c r="C598" s="278" t="s">
        <v>440</v>
      </c>
      <c r="D598" s="278" t="s">
        <v>441</v>
      </c>
      <c r="E598" s="178">
        <f>+INVERSIÓN!$BF$39</f>
        <v>843232000</v>
      </c>
      <c r="F598" s="178">
        <f>+INVERSIÓN!BH39</f>
        <v>455184000</v>
      </c>
      <c r="G598" s="278" t="s">
        <v>444</v>
      </c>
    </row>
    <row r="599" spans="1:7" ht="49.9" customHeight="1" x14ac:dyDescent="0.25">
      <c r="A599" s="480"/>
      <c r="B599" s="482" t="s">
        <v>380</v>
      </c>
      <c r="C599" s="482" t="s">
        <v>442</v>
      </c>
      <c r="D599" s="278" t="s">
        <v>443</v>
      </c>
      <c r="E599" s="178">
        <f>+INVERSIÓN!$BF$46</f>
        <v>1568833000</v>
      </c>
      <c r="F599" s="178">
        <f>+INVERSIÓN!BH46</f>
        <v>1487818000</v>
      </c>
      <c r="G599" s="278" t="s">
        <v>444</v>
      </c>
    </row>
    <row r="600" spans="1:7" ht="49.9" customHeight="1" x14ac:dyDescent="0.25">
      <c r="A600" s="481"/>
      <c r="B600" s="482"/>
      <c r="C600" s="482"/>
      <c r="D600" s="278" t="s">
        <v>325</v>
      </c>
      <c r="E600" s="178">
        <f>+INVERSIÓN!$BF$53</f>
        <v>725040000</v>
      </c>
      <c r="F600" s="178">
        <f>+INVERSIÓN!BH53</f>
        <v>585413000</v>
      </c>
      <c r="G600" s="278" t="s">
        <v>444</v>
      </c>
    </row>
    <row r="601" spans="1:7" ht="49.9" customHeight="1" x14ac:dyDescent="0.25">
      <c r="A601" s="479" t="s">
        <v>136</v>
      </c>
      <c r="B601" s="482" t="s">
        <v>365</v>
      </c>
      <c r="C601" s="482" t="s">
        <v>434</v>
      </c>
      <c r="D601" s="296" t="s">
        <v>319</v>
      </c>
      <c r="E601" s="178">
        <f>+INVERSIÓN!$BF$11</f>
        <v>2219609000</v>
      </c>
      <c r="F601" s="318">
        <f>+INVERSIÓN!BJ11</f>
        <v>0</v>
      </c>
      <c r="G601" s="296" t="s">
        <v>444</v>
      </c>
    </row>
    <row r="602" spans="1:7" ht="49.9" customHeight="1" x14ac:dyDescent="0.25">
      <c r="A602" s="480"/>
      <c r="B602" s="482"/>
      <c r="C602" s="482"/>
      <c r="D602" s="296" t="s">
        <v>332</v>
      </c>
      <c r="E602" s="178">
        <f>+INVERSIÓN!$BF$18</f>
        <v>6130432000</v>
      </c>
      <c r="F602" s="318">
        <f>+INVERSIÓN!BJ18</f>
        <v>0</v>
      </c>
      <c r="G602" s="296" t="s">
        <v>444</v>
      </c>
    </row>
    <row r="603" spans="1:7" ht="49.9" customHeight="1" x14ac:dyDescent="0.25">
      <c r="A603" s="480"/>
      <c r="B603" s="482"/>
      <c r="C603" s="482"/>
      <c r="D603" s="296" t="s">
        <v>437</v>
      </c>
      <c r="E603" s="178">
        <f>+INVERSIÓN!$BF$25</f>
        <v>3364237000</v>
      </c>
      <c r="F603" s="318">
        <f>+INVERSIÓN!BJ25</f>
        <v>0</v>
      </c>
      <c r="G603" s="296" t="s">
        <v>444</v>
      </c>
    </row>
    <row r="604" spans="1:7" ht="49.9" customHeight="1" x14ac:dyDescent="0.25">
      <c r="A604" s="480"/>
      <c r="B604" s="296" t="s">
        <v>372</v>
      </c>
      <c r="C604" s="296" t="s">
        <v>438</v>
      </c>
      <c r="D604" s="296" t="s">
        <v>439</v>
      </c>
      <c r="E604" s="178">
        <f>+INVERSIÓN!$BF$32</f>
        <v>1617058000</v>
      </c>
      <c r="F604" s="318">
        <f>+INVERSIÓN!BJ32</f>
        <v>0</v>
      </c>
      <c r="G604" s="296" t="s">
        <v>444</v>
      </c>
    </row>
    <row r="605" spans="1:7" ht="49.9" customHeight="1" x14ac:dyDescent="0.25">
      <c r="A605" s="480"/>
      <c r="B605" s="296" t="s">
        <v>376</v>
      </c>
      <c r="C605" s="296" t="s">
        <v>440</v>
      </c>
      <c r="D605" s="296" t="s">
        <v>441</v>
      </c>
      <c r="E605" s="178">
        <f>+INVERSIÓN!$BF$39</f>
        <v>843232000</v>
      </c>
      <c r="F605" s="318">
        <f>+INVERSIÓN!BJ39</f>
        <v>0</v>
      </c>
      <c r="G605" s="296" t="s">
        <v>444</v>
      </c>
    </row>
    <row r="606" spans="1:7" ht="49.9" customHeight="1" x14ac:dyDescent="0.25">
      <c r="A606" s="480"/>
      <c r="B606" s="482" t="s">
        <v>380</v>
      </c>
      <c r="C606" s="482" t="s">
        <v>442</v>
      </c>
      <c r="D606" s="296" t="s">
        <v>443</v>
      </c>
      <c r="E606" s="178">
        <f>+INVERSIÓN!$BF$46</f>
        <v>1568833000</v>
      </c>
      <c r="F606" s="318">
        <f>+INVERSIÓN!BJ46</f>
        <v>0</v>
      </c>
      <c r="G606" s="296" t="s">
        <v>444</v>
      </c>
    </row>
    <row r="607" spans="1:7" ht="49.9" customHeight="1" x14ac:dyDescent="0.25">
      <c r="A607" s="481"/>
      <c r="B607" s="482"/>
      <c r="C607" s="482"/>
      <c r="D607" s="296" t="s">
        <v>325</v>
      </c>
      <c r="E607" s="178">
        <f>+INVERSIÓN!$BF$53</f>
        <v>725040000</v>
      </c>
      <c r="F607" s="318">
        <f>+INVERSIÓN!BJ53</f>
        <v>0</v>
      </c>
      <c r="G607" s="296" t="s">
        <v>444</v>
      </c>
    </row>
    <row r="608" spans="1:7" ht="49.9" customHeight="1" x14ac:dyDescent="0.25">
      <c r="A608" s="479" t="s">
        <v>137</v>
      </c>
      <c r="B608" s="482" t="s">
        <v>365</v>
      </c>
      <c r="C608" s="482" t="s">
        <v>434</v>
      </c>
      <c r="D608" s="315" t="s">
        <v>319</v>
      </c>
      <c r="E608" s="178">
        <f>+INVERSIÓN!$CE$11</f>
        <v>2219609000</v>
      </c>
      <c r="F608" s="318">
        <f>+INVERSIÓN!$BL$11</f>
        <v>0</v>
      </c>
      <c r="G608" s="320" t="s">
        <v>444</v>
      </c>
    </row>
    <row r="609" spans="1:7" ht="49.9" customHeight="1" x14ac:dyDescent="0.25">
      <c r="A609" s="480"/>
      <c r="B609" s="482"/>
      <c r="C609" s="482"/>
      <c r="D609" s="315" t="s">
        <v>332</v>
      </c>
      <c r="E609" s="178">
        <f>+INVERSIÓN!$CE$18</f>
        <v>6219259000</v>
      </c>
      <c r="F609" s="318">
        <f>+INVERSIÓN!$BL$18</f>
        <v>0</v>
      </c>
      <c r="G609" s="320" t="s">
        <v>444</v>
      </c>
    </row>
    <row r="610" spans="1:7" ht="49.9" customHeight="1" x14ac:dyDescent="0.25">
      <c r="A610" s="480"/>
      <c r="B610" s="482"/>
      <c r="C610" s="482"/>
      <c r="D610" s="315" t="s">
        <v>437</v>
      </c>
      <c r="E610" s="178">
        <f>+INVERSIÓN!$CE$25</f>
        <v>3364237000</v>
      </c>
      <c r="F610" s="318">
        <f>+INVERSIÓN!$BL$25</f>
        <v>50000000</v>
      </c>
      <c r="G610" s="320" t="s">
        <v>444</v>
      </c>
    </row>
    <row r="611" spans="1:7" ht="49.9" customHeight="1" x14ac:dyDescent="0.25">
      <c r="A611" s="480"/>
      <c r="B611" s="315" t="s">
        <v>372</v>
      </c>
      <c r="C611" s="315" t="s">
        <v>438</v>
      </c>
      <c r="D611" s="315" t="s">
        <v>439</v>
      </c>
      <c r="E611" s="178">
        <f>+INVERSIÓN!$CE$32</f>
        <v>1617058000</v>
      </c>
      <c r="F611" s="318">
        <f>+INVERSIÓN!$BL$32</f>
        <v>0</v>
      </c>
      <c r="G611" s="320" t="s">
        <v>444</v>
      </c>
    </row>
    <row r="612" spans="1:7" ht="49.9" customHeight="1" x14ac:dyDescent="0.25">
      <c r="A612" s="480"/>
      <c r="B612" s="315" t="s">
        <v>376</v>
      </c>
      <c r="C612" s="315" t="s">
        <v>440</v>
      </c>
      <c r="D612" s="315" t="s">
        <v>441</v>
      </c>
      <c r="E612" s="178">
        <f>+INVERSIÓN!$CE$39</f>
        <v>843232000</v>
      </c>
      <c r="F612" s="318">
        <f>+INVERSIÓN!$BL$39</f>
        <v>0</v>
      </c>
      <c r="G612" s="320" t="s">
        <v>444</v>
      </c>
    </row>
    <row r="613" spans="1:7" ht="49.9" customHeight="1" x14ac:dyDescent="0.25">
      <c r="A613" s="480"/>
      <c r="B613" s="482" t="s">
        <v>380</v>
      </c>
      <c r="C613" s="482" t="s">
        <v>442</v>
      </c>
      <c r="D613" s="315" t="s">
        <v>443</v>
      </c>
      <c r="E613" s="178">
        <f>+INVERSIÓN!$CE$46</f>
        <v>1616993000</v>
      </c>
      <c r="F613" s="318">
        <f>+INVERSIÓN!$BL$46</f>
        <v>0</v>
      </c>
      <c r="G613" s="320" t="s">
        <v>444</v>
      </c>
    </row>
    <row r="614" spans="1:7" ht="49.9" customHeight="1" x14ac:dyDescent="0.25">
      <c r="A614" s="481"/>
      <c r="B614" s="482"/>
      <c r="C614" s="482"/>
      <c r="D614" s="315" t="s">
        <v>325</v>
      </c>
      <c r="E614" s="178">
        <f>+INVERSIÓN!$CE$53</f>
        <v>588053000</v>
      </c>
      <c r="F614" s="318">
        <f>+INVERSIÓN!$BL$53</f>
        <v>0</v>
      </c>
      <c r="G614" s="320" t="s">
        <v>444</v>
      </c>
    </row>
    <row r="615" spans="1:7" ht="16.5" customHeight="1" x14ac:dyDescent="0.25">
      <c r="A615" s="43"/>
      <c r="B615" s="43"/>
      <c r="C615" s="43"/>
      <c r="D615" s="43"/>
      <c r="E615" s="43"/>
      <c r="F615" s="43"/>
      <c r="G615" s="43"/>
    </row>
    <row r="616" spans="1:7" ht="16.5" customHeight="1" x14ac:dyDescent="0.25">
      <c r="A616" s="43"/>
      <c r="B616" s="43"/>
      <c r="C616" s="43"/>
      <c r="D616" s="43"/>
      <c r="E616" s="43"/>
      <c r="F616" s="43"/>
      <c r="G616" s="43"/>
    </row>
    <row r="617" spans="1:7" ht="16.5" customHeight="1" x14ac:dyDescent="0.25">
      <c r="A617" s="43"/>
      <c r="B617" s="43"/>
      <c r="C617" s="43"/>
      <c r="D617" s="43"/>
      <c r="E617" s="43"/>
      <c r="F617" s="43"/>
      <c r="G617" s="43"/>
    </row>
    <row r="618" spans="1:7" ht="16.5" customHeight="1" x14ac:dyDescent="0.25">
      <c r="A618" s="43"/>
      <c r="B618" s="43"/>
      <c r="C618" s="43"/>
      <c r="D618" s="43"/>
      <c r="E618" s="43"/>
      <c r="F618" s="43"/>
      <c r="G618" s="43"/>
    </row>
    <row r="619" spans="1:7" ht="16.5" customHeight="1" x14ac:dyDescent="0.25">
      <c r="A619" s="43"/>
      <c r="B619" s="43"/>
      <c r="C619" s="43"/>
      <c r="D619" s="43"/>
      <c r="E619" s="43"/>
      <c r="F619" s="43"/>
      <c r="G619" s="43"/>
    </row>
    <row r="620" spans="1:7" ht="16.5" customHeight="1" x14ac:dyDescent="0.25">
      <c r="A620" s="43" t="s">
        <v>138</v>
      </c>
      <c r="B620" s="43"/>
      <c r="C620" s="43"/>
      <c r="D620" s="43"/>
      <c r="E620" s="43"/>
      <c r="F620" s="43"/>
      <c r="G620" s="43"/>
    </row>
    <row r="621" spans="1:7" ht="16.5" customHeight="1" x14ac:dyDescent="0.25">
      <c r="A621" s="43" t="s">
        <v>139</v>
      </c>
      <c r="B621" s="43"/>
      <c r="C621" s="43"/>
      <c r="D621" s="43"/>
      <c r="E621" s="43"/>
      <c r="F621" s="43"/>
      <c r="G621" s="43"/>
    </row>
    <row r="622" spans="1:7" ht="16.5" customHeight="1" x14ac:dyDescent="0.25">
      <c r="A622" s="43" t="s">
        <v>140</v>
      </c>
      <c r="B622" s="43"/>
      <c r="C622" s="43"/>
      <c r="D622" s="43"/>
      <c r="E622" s="43"/>
      <c r="F622" s="43"/>
      <c r="G622" s="43"/>
    </row>
    <row r="623" spans="1:7" x14ac:dyDescent="0.25">
      <c r="A623" s="43" t="s">
        <v>128</v>
      </c>
      <c r="B623" s="43"/>
      <c r="C623" s="43"/>
      <c r="D623" s="43"/>
      <c r="E623" s="43"/>
      <c r="F623" s="43"/>
      <c r="G623" s="43"/>
    </row>
    <row r="624" spans="1:7" x14ac:dyDescent="0.25">
      <c r="A624" s="43" t="s">
        <v>129</v>
      </c>
      <c r="B624" s="43"/>
      <c r="C624" s="43"/>
      <c r="D624" s="43"/>
      <c r="E624" s="43"/>
      <c r="F624" s="43"/>
      <c r="G624" s="43"/>
    </row>
    <row r="625" spans="1:7" x14ac:dyDescent="0.25">
      <c r="A625" s="43" t="s">
        <v>130</v>
      </c>
      <c r="B625" s="43"/>
      <c r="C625" s="43"/>
      <c r="D625" s="43"/>
      <c r="E625" s="43"/>
      <c r="F625" s="43"/>
      <c r="G625" s="43"/>
    </row>
    <row r="626" spans="1:7" x14ac:dyDescent="0.25">
      <c r="A626" s="43" t="s">
        <v>131</v>
      </c>
      <c r="B626" s="43"/>
      <c r="C626" s="43"/>
      <c r="D626" s="43"/>
      <c r="E626" s="43"/>
      <c r="F626" s="43"/>
      <c r="G626" s="43"/>
    </row>
    <row r="627" spans="1:7" x14ac:dyDescent="0.25">
      <c r="A627" s="43" t="s">
        <v>132</v>
      </c>
      <c r="B627" s="43"/>
      <c r="C627" s="43"/>
      <c r="D627" s="43"/>
      <c r="E627" s="43"/>
      <c r="F627" s="43"/>
      <c r="G627" s="43"/>
    </row>
    <row r="628" spans="1:7" x14ac:dyDescent="0.25">
      <c r="A628" s="43" t="s">
        <v>133</v>
      </c>
      <c r="B628" s="43"/>
      <c r="C628" s="43"/>
      <c r="D628" s="43"/>
      <c r="E628" s="43"/>
      <c r="F628" s="43"/>
      <c r="G628" s="43"/>
    </row>
    <row r="629" spans="1:7" x14ac:dyDescent="0.25">
      <c r="A629" s="44"/>
      <c r="G629" s="45"/>
    </row>
    <row r="630" spans="1:7" ht="30.75" hidden="1" customHeight="1" x14ac:dyDescent="0.3">
      <c r="A630" s="483" t="s">
        <v>175</v>
      </c>
      <c r="B630" s="484"/>
      <c r="C630" s="484"/>
      <c r="D630" s="484"/>
      <c r="E630" s="484"/>
      <c r="F630" s="484"/>
      <c r="G630" s="485"/>
    </row>
    <row r="631" spans="1:7" ht="38.25" hidden="1" x14ac:dyDescent="0.25">
      <c r="A631" s="175" t="s">
        <v>62</v>
      </c>
      <c r="B631" s="42" t="s">
        <v>145</v>
      </c>
      <c r="C631" s="42" t="s">
        <v>146</v>
      </c>
      <c r="D631" s="42" t="s">
        <v>168</v>
      </c>
      <c r="E631" s="42" t="s">
        <v>176</v>
      </c>
      <c r="F631" s="42" t="s">
        <v>177</v>
      </c>
      <c r="G631" s="42" t="s">
        <v>171</v>
      </c>
    </row>
    <row r="632" spans="1:7" ht="16.5" hidden="1" customHeight="1" x14ac:dyDescent="0.25">
      <c r="A632" s="43" t="s">
        <v>135</v>
      </c>
      <c r="B632" s="43"/>
      <c r="C632" s="43"/>
      <c r="D632" s="43"/>
      <c r="E632" s="43"/>
      <c r="F632" s="43"/>
      <c r="G632" s="43"/>
    </row>
    <row r="633" spans="1:7" ht="16.5" hidden="1" customHeight="1" x14ac:dyDescent="0.25">
      <c r="A633" s="43" t="s">
        <v>136</v>
      </c>
      <c r="B633" s="43"/>
      <c r="C633" s="43"/>
      <c r="D633" s="43"/>
      <c r="E633" s="43"/>
      <c r="F633" s="43"/>
      <c r="G633" s="43"/>
    </row>
    <row r="634" spans="1:7" ht="16.5" hidden="1" customHeight="1" x14ac:dyDescent="0.25">
      <c r="A634" s="43" t="s">
        <v>137</v>
      </c>
      <c r="B634" s="43"/>
      <c r="C634" s="43"/>
      <c r="D634" s="43"/>
      <c r="E634" s="43"/>
      <c r="F634" s="43"/>
      <c r="G634" s="43"/>
    </row>
    <row r="635" spans="1:7" ht="16.5" hidden="1" customHeight="1" x14ac:dyDescent="0.25">
      <c r="A635" s="43" t="s">
        <v>138</v>
      </c>
      <c r="B635" s="43"/>
      <c r="C635" s="43"/>
      <c r="D635" s="43"/>
      <c r="E635" s="43"/>
      <c r="F635" s="43"/>
      <c r="G635" s="43"/>
    </row>
    <row r="636" spans="1:7" ht="16.5" hidden="1" customHeight="1" x14ac:dyDescent="0.25">
      <c r="A636" s="43" t="s">
        <v>139</v>
      </c>
      <c r="B636" s="43"/>
      <c r="C636" s="43"/>
      <c r="D636" s="43"/>
      <c r="E636" s="43"/>
      <c r="F636" s="43"/>
      <c r="G636" s="43"/>
    </row>
    <row r="637" spans="1:7" ht="16.5" hidden="1" customHeight="1" x14ac:dyDescent="0.25">
      <c r="A637" s="43" t="s">
        <v>140</v>
      </c>
      <c r="B637" s="43"/>
      <c r="C637" s="43"/>
      <c r="D637" s="43"/>
      <c r="E637" s="43"/>
      <c r="F637" s="43"/>
      <c r="G637" s="43"/>
    </row>
    <row r="638" spans="1:7" hidden="1" x14ac:dyDescent="0.25">
      <c r="A638" s="43" t="s">
        <v>128</v>
      </c>
      <c r="B638" s="43"/>
      <c r="C638" s="43"/>
      <c r="D638" s="43"/>
      <c r="E638" s="43"/>
      <c r="F638" s="43"/>
      <c r="G638" s="43"/>
    </row>
    <row r="639" spans="1:7" hidden="1" x14ac:dyDescent="0.25">
      <c r="A639" s="43" t="s">
        <v>129</v>
      </c>
      <c r="B639" s="43"/>
      <c r="C639" s="43"/>
      <c r="D639" s="43"/>
      <c r="E639" s="43"/>
      <c r="F639" s="43"/>
      <c r="G639" s="43"/>
    </row>
    <row r="640" spans="1:7" hidden="1" x14ac:dyDescent="0.25">
      <c r="A640" s="43" t="s">
        <v>130</v>
      </c>
      <c r="B640" s="43"/>
      <c r="C640" s="43"/>
      <c r="D640" s="43"/>
      <c r="E640" s="43"/>
      <c r="F640" s="43"/>
      <c r="G640" s="43"/>
    </row>
    <row r="641" spans="1:7" hidden="1" x14ac:dyDescent="0.25">
      <c r="A641" s="43" t="s">
        <v>131</v>
      </c>
      <c r="B641" s="43"/>
      <c r="C641" s="43"/>
      <c r="D641" s="43"/>
      <c r="E641" s="43"/>
      <c r="F641" s="43"/>
      <c r="G641" s="43"/>
    </row>
    <row r="642" spans="1:7" hidden="1" x14ac:dyDescent="0.25">
      <c r="A642" s="43" t="s">
        <v>132</v>
      </c>
      <c r="B642" s="43"/>
      <c r="C642" s="43"/>
      <c r="D642" s="43"/>
      <c r="E642" s="43"/>
      <c r="F642" s="43"/>
      <c r="G642" s="43"/>
    </row>
    <row r="643" spans="1:7" hidden="1" x14ac:dyDescent="0.25">
      <c r="A643" s="43" t="s">
        <v>133</v>
      </c>
      <c r="B643" s="43"/>
      <c r="C643" s="43"/>
      <c r="D643" s="43"/>
      <c r="E643" s="43"/>
      <c r="F643" s="43"/>
      <c r="G643" s="43"/>
    </row>
    <row r="644" spans="1:7" hidden="1" x14ac:dyDescent="0.25">
      <c r="A644" s="44"/>
      <c r="G644" s="45"/>
    </row>
    <row r="645" spans="1:7" ht="20.25" hidden="1" x14ac:dyDescent="0.3">
      <c r="A645" s="483" t="s">
        <v>178</v>
      </c>
      <c r="B645" s="484"/>
      <c r="C645" s="484"/>
      <c r="D645" s="484"/>
      <c r="E645" s="484"/>
      <c r="F645" s="484"/>
      <c r="G645" s="485"/>
    </row>
    <row r="646" spans="1:7" ht="38.25" hidden="1" x14ac:dyDescent="0.25">
      <c r="A646" s="175" t="s">
        <v>63</v>
      </c>
      <c r="B646" s="42" t="s">
        <v>145</v>
      </c>
      <c r="C646" s="42" t="s">
        <v>146</v>
      </c>
      <c r="D646" s="42" t="s">
        <v>168</v>
      </c>
      <c r="E646" s="42" t="s">
        <v>179</v>
      </c>
      <c r="F646" s="42" t="s">
        <v>180</v>
      </c>
      <c r="G646" s="42" t="s">
        <v>171</v>
      </c>
    </row>
    <row r="647" spans="1:7" ht="16.5" hidden="1" customHeight="1" x14ac:dyDescent="0.25">
      <c r="A647" s="43" t="s">
        <v>135</v>
      </c>
      <c r="B647" s="43"/>
      <c r="C647" s="43"/>
      <c r="D647" s="43"/>
      <c r="E647" s="43"/>
      <c r="F647" s="43"/>
      <c r="G647" s="43"/>
    </row>
    <row r="648" spans="1:7" ht="16.5" hidden="1" customHeight="1" x14ac:dyDescent="0.25">
      <c r="A648" s="43" t="s">
        <v>136</v>
      </c>
      <c r="B648" s="43"/>
      <c r="C648" s="43"/>
      <c r="D648" s="43"/>
      <c r="E648" s="43"/>
      <c r="F648" s="43"/>
      <c r="G648" s="43"/>
    </row>
    <row r="649" spans="1:7" ht="16.5" hidden="1" customHeight="1" x14ac:dyDescent="0.25">
      <c r="A649" s="43" t="s">
        <v>137</v>
      </c>
      <c r="B649" s="43"/>
      <c r="C649" s="43"/>
      <c r="D649" s="43"/>
      <c r="E649" s="43"/>
      <c r="F649" s="43"/>
      <c r="G649" s="43"/>
    </row>
    <row r="650" spans="1:7" ht="16.5" hidden="1" customHeight="1" x14ac:dyDescent="0.25">
      <c r="A650" s="43" t="s">
        <v>138</v>
      </c>
      <c r="B650" s="43"/>
      <c r="C650" s="43"/>
      <c r="D650" s="43"/>
      <c r="E650" s="43"/>
      <c r="F650" s="43"/>
      <c r="G650" s="43"/>
    </row>
    <row r="651" spans="1:7" ht="16.5" hidden="1" customHeight="1" x14ac:dyDescent="0.25">
      <c r="A651" s="43" t="s">
        <v>139</v>
      </c>
      <c r="B651" s="43"/>
      <c r="C651" s="43"/>
      <c r="D651" s="43"/>
      <c r="E651" s="43"/>
      <c r="F651" s="43"/>
      <c r="G651" s="43"/>
    </row>
    <row r="652" spans="1:7" ht="16.5" hidden="1" customHeight="1" x14ac:dyDescent="0.25">
      <c r="A652" s="43" t="s">
        <v>140</v>
      </c>
      <c r="B652" s="43"/>
      <c r="C652" s="43"/>
      <c r="D652" s="43"/>
      <c r="E652" s="43"/>
      <c r="F652" s="43"/>
      <c r="G652" s="43"/>
    </row>
    <row r="653" spans="1:7" hidden="1" x14ac:dyDescent="0.25">
      <c r="A653" s="43" t="s">
        <v>128</v>
      </c>
      <c r="B653" s="43"/>
      <c r="C653" s="43"/>
      <c r="D653" s="43"/>
      <c r="E653" s="43"/>
      <c r="F653" s="43"/>
      <c r="G653" s="43"/>
    </row>
    <row r="654" spans="1:7" hidden="1" x14ac:dyDescent="0.25">
      <c r="A654" s="43" t="s">
        <v>129</v>
      </c>
      <c r="B654" s="43"/>
      <c r="C654" s="43"/>
      <c r="D654" s="43"/>
      <c r="E654" s="43"/>
      <c r="F654" s="43"/>
      <c r="G654" s="43"/>
    </row>
    <row r="655" spans="1:7" hidden="1" x14ac:dyDescent="0.25">
      <c r="A655" s="43" t="s">
        <v>130</v>
      </c>
      <c r="B655" s="43"/>
      <c r="C655" s="43"/>
      <c r="D655" s="43"/>
      <c r="E655" s="43"/>
      <c r="F655" s="43"/>
      <c r="G655" s="43"/>
    </row>
    <row r="656" spans="1:7" hidden="1" x14ac:dyDescent="0.25">
      <c r="A656" s="43" t="s">
        <v>131</v>
      </c>
      <c r="B656" s="43"/>
      <c r="C656" s="43"/>
      <c r="D656" s="43"/>
      <c r="E656" s="43"/>
      <c r="F656" s="43"/>
      <c r="G656" s="43"/>
    </row>
    <row r="657" spans="1:9" hidden="1" x14ac:dyDescent="0.25">
      <c r="A657" s="43" t="s">
        <v>132</v>
      </c>
      <c r="B657" s="43"/>
      <c r="C657" s="43"/>
      <c r="D657" s="43"/>
      <c r="E657" s="43"/>
      <c r="F657" s="43"/>
      <c r="G657" s="43"/>
    </row>
    <row r="658" spans="1:9" hidden="1" x14ac:dyDescent="0.25">
      <c r="A658" s="43" t="s">
        <v>133</v>
      </c>
      <c r="B658" s="43"/>
      <c r="C658" s="43"/>
      <c r="D658" s="43"/>
      <c r="E658" s="43"/>
      <c r="F658" s="43"/>
      <c r="G658" s="43"/>
    </row>
    <row r="660" spans="1:9" ht="24.75" customHeight="1" x14ac:dyDescent="0.3">
      <c r="A660" s="483" t="s">
        <v>181</v>
      </c>
      <c r="B660" s="484"/>
      <c r="C660" s="484"/>
      <c r="D660" s="484"/>
      <c r="E660" s="484"/>
      <c r="F660" s="484"/>
      <c r="G660" s="484"/>
      <c r="H660" s="485"/>
    </row>
    <row r="661" spans="1:9" ht="46.5" customHeight="1" x14ac:dyDescent="0.25">
      <c r="A661" s="175" t="s">
        <v>48</v>
      </c>
      <c r="B661" s="42" t="s">
        <v>182</v>
      </c>
      <c r="C661" s="46" t="s">
        <v>148</v>
      </c>
      <c r="D661" s="46" t="s">
        <v>149</v>
      </c>
      <c r="E661" s="46" t="s">
        <v>183</v>
      </c>
      <c r="F661" s="46" t="s">
        <v>184</v>
      </c>
      <c r="G661" s="46" t="s">
        <v>185</v>
      </c>
      <c r="H661" s="42" t="s">
        <v>171</v>
      </c>
    </row>
    <row r="662" spans="1:9" s="179" customFormat="1" ht="49.9" customHeight="1" outlineLevel="1" x14ac:dyDescent="0.25">
      <c r="A662" s="522" t="s">
        <v>128</v>
      </c>
      <c r="B662" s="173" t="s">
        <v>448</v>
      </c>
      <c r="C662" s="102" t="s">
        <v>449</v>
      </c>
      <c r="D662" s="196">
        <v>0.15</v>
      </c>
      <c r="E662" s="174">
        <v>20</v>
      </c>
      <c r="F662" s="174">
        <v>20</v>
      </c>
      <c r="G662" s="181">
        <f>F662/E662</f>
        <v>1</v>
      </c>
      <c r="H662" s="177" t="str">
        <f t="shared" ref="H662:H696" si="25">+L279</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662" s="236"/>
    </row>
    <row r="663" spans="1:9" s="179" customFormat="1" ht="49.9" customHeight="1" outlineLevel="1" x14ac:dyDescent="0.25">
      <c r="A663" s="523"/>
      <c r="B663" s="173" t="s">
        <v>450</v>
      </c>
      <c r="C663" s="102" t="s">
        <v>449</v>
      </c>
      <c r="D663" s="196">
        <v>0.15</v>
      </c>
      <c r="E663" s="197">
        <v>4</v>
      </c>
      <c r="F663" s="197">
        <v>0</v>
      </c>
      <c r="G663" s="181">
        <f>F663/E663</f>
        <v>0</v>
      </c>
      <c r="H663" s="177" t="str">
        <f t="shared" si="25"/>
        <v xml:space="preserve">No fueron programados avances para el mes de julio, la ejecución respectiva se realizará desde el mes de agosto </v>
      </c>
      <c r="I663" s="236"/>
    </row>
    <row r="664" spans="1:9" s="179" customFormat="1" ht="49.9" customHeight="1" outlineLevel="1" x14ac:dyDescent="0.25">
      <c r="A664" s="523"/>
      <c r="B664" s="173" t="s">
        <v>451</v>
      </c>
      <c r="C664" s="102" t="s">
        <v>449</v>
      </c>
      <c r="D664" s="196">
        <v>0.15</v>
      </c>
      <c r="E664" s="197">
        <v>1</v>
      </c>
      <c r="F664" s="197">
        <v>0.1666</v>
      </c>
      <c r="G664" s="181">
        <f>F664/E664</f>
        <v>0.1666</v>
      </c>
      <c r="H664" s="177" t="str">
        <f t="shared" si="25"/>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664" s="236"/>
    </row>
    <row r="665" spans="1:9" s="179" customFormat="1" ht="49.9" customHeight="1" outlineLevel="1" x14ac:dyDescent="0.25">
      <c r="A665" s="523"/>
      <c r="B665" s="173" t="s">
        <v>452</v>
      </c>
      <c r="C665" s="102" t="s">
        <v>449</v>
      </c>
      <c r="D665" s="196">
        <v>0.15</v>
      </c>
      <c r="E665" s="174">
        <v>362</v>
      </c>
      <c r="F665" s="174">
        <v>5</v>
      </c>
      <c r="G665" s="181">
        <f t="shared" ref="G665:G703" si="26">F665/E665</f>
        <v>1.3812154696132596E-2</v>
      </c>
      <c r="H665" s="177" t="str">
        <f t="shared" si="2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665" s="236"/>
    </row>
    <row r="666" spans="1:9" s="179" customFormat="1" ht="49.9" customHeight="1" outlineLevel="1" x14ac:dyDescent="0.25">
      <c r="A666" s="523"/>
      <c r="B666" s="173" t="s">
        <v>453</v>
      </c>
      <c r="C666" s="102" t="s">
        <v>449</v>
      </c>
      <c r="D666" s="196">
        <v>0.15</v>
      </c>
      <c r="E666" s="197">
        <v>1</v>
      </c>
      <c r="F666" s="197">
        <v>1</v>
      </c>
      <c r="G666" s="181">
        <f t="shared" si="26"/>
        <v>1</v>
      </c>
      <c r="H666" s="177" t="str">
        <f t="shared" si="25"/>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666" s="236"/>
    </row>
    <row r="667" spans="1:9" s="179" customFormat="1" ht="49.9" customHeight="1" outlineLevel="1" x14ac:dyDescent="0.25">
      <c r="A667" s="523"/>
      <c r="B667" s="173" t="s">
        <v>454</v>
      </c>
      <c r="C667" s="102" t="s">
        <v>449</v>
      </c>
      <c r="D667" s="196">
        <v>0.15</v>
      </c>
      <c r="E667" s="197">
        <v>234</v>
      </c>
      <c r="F667" s="198">
        <v>28</v>
      </c>
      <c r="G667" s="181">
        <f t="shared" si="26"/>
        <v>0.11965811965811966</v>
      </c>
      <c r="H667" s="177" t="str">
        <f t="shared" si="25"/>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667" s="236"/>
    </row>
    <row r="668" spans="1:9" s="179" customFormat="1" ht="49.9" customHeight="1" outlineLevel="1" x14ac:dyDescent="0.25">
      <c r="A668" s="523"/>
      <c r="B668" s="173" t="s">
        <v>455</v>
      </c>
      <c r="C668" s="102" t="s">
        <v>449</v>
      </c>
      <c r="D668" s="196">
        <v>0.1</v>
      </c>
      <c r="E668" s="197">
        <v>1</v>
      </c>
      <c r="F668" s="197">
        <v>1</v>
      </c>
      <c r="G668" s="181">
        <f t="shared" si="26"/>
        <v>1</v>
      </c>
      <c r="H668" s="177" t="str">
        <f t="shared" si="25"/>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668" s="236"/>
    </row>
    <row r="669" spans="1:9" s="179" customFormat="1" ht="49.9" customHeight="1" outlineLevel="1" x14ac:dyDescent="0.25">
      <c r="A669" s="522" t="s">
        <v>129</v>
      </c>
      <c r="B669" s="173" t="s">
        <v>448</v>
      </c>
      <c r="C669" s="102" t="s">
        <v>449</v>
      </c>
      <c r="D669" s="196">
        <v>0.15</v>
      </c>
      <c r="E669" s="174">
        <v>20</v>
      </c>
      <c r="F669" s="174">
        <v>20</v>
      </c>
      <c r="G669" s="181">
        <f t="shared" si="26"/>
        <v>1</v>
      </c>
      <c r="H669" s="177" t="str">
        <f t="shared" si="25"/>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669" s="236"/>
    </row>
    <row r="670" spans="1:9" s="179" customFormat="1" ht="49.9" customHeight="1" outlineLevel="1" x14ac:dyDescent="0.25">
      <c r="A670" s="523"/>
      <c r="B670" s="173" t="s">
        <v>450</v>
      </c>
      <c r="C670" s="102" t="s">
        <v>449</v>
      </c>
      <c r="D670" s="196">
        <v>0.15</v>
      </c>
      <c r="E670" s="197">
        <v>4</v>
      </c>
      <c r="F670" s="197">
        <v>0.90500000000000003</v>
      </c>
      <c r="G670" s="181">
        <f t="shared" si="26"/>
        <v>0.22625000000000001</v>
      </c>
      <c r="H670" s="177" t="str">
        <f t="shared" si="25"/>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670" s="236"/>
    </row>
    <row r="671" spans="1:9" s="179" customFormat="1" ht="49.9" customHeight="1" outlineLevel="1" x14ac:dyDescent="0.25">
      <c r="A671" s="523"/>
      <c r="B671" s="173" t="s">
        <v>451</v>
      </c>
      <c r="C671" s="102" t="s">
        <v>449</v>
      </c>
      <c r="D671" s="196">
        <v>0.15</v>
      </c>
      <c r="E671" s="197">
        <v>1</v>
      </c>
      <c r="F671" s="197">
        <v>0.1</v>
      </c>
      <c r="G671" s="181">
        <f t="shared" si="26"/>
        <v>0.1</v>
      </c>
      <c r="H671" s="177" t="str">
        <f t="shared" si="25"/>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671" s="236"/>
    </row>
    <row r="672" spans="1:9" s="179" customFormat="1" ht="49.9" customHeight="1" outlineLevel="1" x14ac:dyDescent="0.25">
      <c r="A672" s="523"/>
      <c r="B672" s="173" t="s">
        <v>452</v>
      </c>
      <c r="C672" s="102" t="s">
        <v>449</v>
      </c>
      <c r="D672" s="196">
        <v>0.15</v>
      </c>
      <c r="E672" s="174">
        <v>362</v>
      </c>
      <c r="F672" s="174">
        <v>1</v>
      </c>
      <c r="G672" s="181">
        <f t="shared" si="26"/>
        <v>2.7624309392265192E-3</v>
      </c>
      <c r="H672" s="177" t="str">
        <f t="shared" si="2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672" s="236"/>
    </row>
    <row r="673" spans="1:9" s="179" customFormat="1" ht="49.9" customHeight="1" outlineLevel="1" x14ac:dyDescent="0.25">
      <c r="A673" s="523"/>
      <c r="B673" s="173" t="s">
        <v>453</v>
      </c>
      <c r="C673" s="102" t="s">
        <v>449</v>
      </c>
      <c r="D673" s="196">
        <v>0.15</v>
      </c>
      <c r="E673" s="197">
        <v>1</v>
      </c>
      <c r="F673" s="199">
        <v>1</v>
      </c>
      <c r="G673" s="181">
        <f t="shared" si="26"/>
        <v>1</v>
      </c>
      <c r="H673" s="177" t="str">
        <f t="shared" si="25"/>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673" s="236"/>
    </row>
    <row r="674" spans="1:9" s="179" customFormat="1" ht="49.9" customHeight="1" outlineLevel="1" x14ac:dyDescent="0.25">
      <c r="A674" s="523"/>
      <c r="B674" s="173" t="s">
        <v>454</v>
      </c>
      <c r="C674" s="102" t="s">
        <v>449</v>
      </c>
      <c r="D674" s="196">
        <v>0.15</v>
      </c>
      <c r="E674" s="198">
        <v>234</v>
      </c>
      <c r="F674" s="198">
        <v>18</v>
      </c>
      <c r="G674" s="181">
        <f t="shared" si="26"/>
        <v>7.6923076923076927E-2</v>
      </c>
      <c r="H674" s="177" t="str">
        <f t="shared" si="25"/>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674" s="236"/>
    </row>
    <row r="675" spans="1:9" s="179" customFormat="1" ht="49.9" customHeight="1" outlineLevel="1" x14ac:dyDescent="0.25">
      <c r="A675" s="523"/>
      <c r="B675" s="173" t="s">
        <v>455</v>
      </c>
      <c r="C675" s="102" t="s">
        <v>449</v>
      </c>
      <c r="D675" s="196">
        <v>0.1</v>
      </c>
      <c r="E675" s="197">
        <v>1</v>
      </c>
      <c r="F675" s="199">
        <v>1</v>
      </c>
      <c r="G675" s="181">
        <f t="shared" si="26"/>
        <v>1</v>
      </c>
      <c r="H675" s="177" t="str">
        <f t="shared" si="25"/>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675" s="236"/>
    </row>
    <row r="676" spans="1:9" s="179" customFormat="1" ht="49.9" customHeight="1" outlineLevel="1" x14ac:dyDescent="0.25">
      <c r="A676" s="522" t="s">
        <v>130</v>
      </c>
      <c r="B676" s="173" t="s">
        <v>448</v>
      </c>
      <c r="C676" s="102" t="s">
        <v>449</v>
      </c>
      <c r="D676" s="196">
        <v>0.15</v>
      </c>
      <c r="E676" s="174">
        <v>20</v>
      </c>
      <c r="F676" s="174">
        <v>20</v>
      </c>
      <c r="G676" s="181">
        <f t="shared" si="26"/>
        <v>1</v>
      </c>
      <c r="H676" s="177" t="str">
        <f t="shared" si="25"/>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676" s="236"/>
    </row>
    <row r="677" spans="1:9" s="179" customFormat="1" ht="49.9" customHeight="1" outlineLevel="1" x14ac:dyDescent="0.25">
      <c r="A677" s="523"/>
      <c r="B677" s="173" t="s">
        <v>450</v>
      </c>
      <c r="C677" s="102" t="s">
        <v>449</v>
      </c>
      <c r="D677" s="196">
        <v>0.15</v>
      </c>
      <c r="E677" s="197">
        <v>4</v>
      </c>
      <c r="F677" s="197">
        <v>0.9</v>
      </c>
      <c r="G677" s="181">
        <f t="shared" si="26"/>
        <v>0.22500000000000001</v>
      </c>
      <c r="H677" s="177" t="str">
        <f t="shared" si="25"/>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677" s="236"/>
    </row>
    <row r="678" spans="1:9" s="179" customFormat="1" ht="49.9" customHeight="1" outlineLevel="1" x14ac:dyDescent="0.25">
      <c r="A678" s="523"/>
      <c r="B678" s="173" t="s">
        <v>451</v>
      </c>
      <c r="C678" s="102" t="s">
        <v>449</v>
      </c>
      <c r="D678" s="196">
        <v>0.15</v>
      </c>
      <c r="E678" s="197">
        <v>1</v>
      </c>
      <c r="F678" s="197">
        <v>0.01</v>
      </c>
      <c r="G678" s="181">
        <f t="shared" si="26"/>
        <v>0.01</v>
      </c>
      <c r="H678" s="177" t="str">
        <f t="shared" si="25"/>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678" s="236"/>
    </row>
    <row r="679" spans="1:9" s="179" customFormat="1" ht="49.9" customHeight="1" outlineLevel="1" x14ac:dyDescent="0.25">
      <c r="A679" s="523"/>
      <c r="B679" s="173" t="s">
        <v>452</v>
      </c>
      <c r="C679" s="102" t="s">
        <v>449</v>
      </c>
      <c r="D679" s="196">
        <v>0.15</v>
      </c>
      <c r="E679" s="174">
        <v>362</v>
      </c>
      <c r="F679" s="174">
        <v>65</v>
      </c>
      <c r="G679" s="181">
        <f t="shared" si="26"/>
        <v>0.17955801104972377</v>
      </c>
      <c r="H679" s="177" t="str">
        <f t="shared" si="25"/>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679" s="236"/>
    </row>
    <row r="680" spans="1:9" s="179" customFormat="1" ht="49.9" customHeight="1" outlineLevel="1" x14ac:dyDescent="0.25">
      <c r="A680" s="523"/>
      <c r="B680" s="173" t="s">
        <v>453</v>
      </c>
      <c r="C680" s="102" t="s">
        <v>449</v>
      </c>
      <c r="D680" s="196">
        <v>0.15</v>
      </c>
      <c r="E680" s="197">
        <v>1</v>
      </c>
      <c r="F680" s="199">
        <v>1</v>
      </c>
      <c r="G680" s="181">
        <f t="shared" si="26"/>
        <v>1</v>
      </c>
      <c r="H680" s="177" t="str">
        <f t="shared" si="25"/>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680" s="236"/>
    </row>
    <row r="681" spans="1:9" s="179" customFormat="1" ht="49.9" customHeight="1" outlineLevel="1" x14ac:dyDescent="0.25">
      <c r="A681" s="523"/>
      <c r="B681" s="173" t="s">
        <v>454</v>
      </c>
      <c r="C681" s="102" t="s">
        <v>449</v>
      </c>
      <c r="D681" s="196">
        <v>0.15</v>
      </c>
      <c r="E681" s="197">
        <v>234</v>
      </c>
      <c r="F681" s="198">
        <v>146</v>
      </c>
      <c r="G681" s="181">
        <f t="shared" si="26"/>
        <v>0.62393162393162394</v>
      </c>
      <c r="H681" s="177" t="str">
        <f t="shared" si="25"/>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681" s="236"/>
    </row>
    <row r="682" spans="1:9" s="179" customFormat="1" ht="49.9" customHeight="1" outlineLevel="1" x14ac:dyDescent="0.25">
      <c r="A682" s="523"/>
      <c r="B682" s="173" t="s">
        <v>455</v>
      </c>
      <c r="C682" s="102" t="s">
        <v>449</v>
      </c>
      <c r="D682" s="196">
        <v>0.1</v>
      </c>
      <c r="E682" s="197">
        <v>1</v>
      </c>
      <c r="F682" s="199">
        <v>1</v>
      </c>
      <c r="G682" s="181">
        <f t="shared" si="26"/>
        <v>1</v>
      </c>
      <c r="H682" s="177" t="str">
        <f t="shared" si="25"/>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682" s="236"/>
    </row>
    <row r="683" spans="1:9" s="179" customFormat="1" ht="49.9" customHeight="1" outlineLevel="1" x14ac:dyDescent="0.25">
      <c r="A683" s="486" t="s">
        <v>131</v>
      </c>
      <c r="B683" s="173" t="s">
        <v>448</v>
      </c>
      <c r="C683" s="102" t="s">
        <v>449</v>
      </c>
      <c r="D683" s="181">
        <v>0.15</v>
      </c>
      <c r="E683" s="174">
        <v>20</v>
      </c>
      <c r="F683" s="174">
        <v>20</v>
      </c>
      <c r="G683" s="181">
        <f t="shared" si="26"/>
        <v>1</v>
      </c>
      <c r="H683" s="177" t="str">
        <f t="shared" si="25"/>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683" s="236"/>
    </row>
    <row r="684" spans="1:9" s="179" customFormat="1" ht="49.9" customHeight="1" outlineLevel="1" x14ac:dyDescent="0.25">
      <c r="A684" s="486"/>
      <c r="B684" s="173" t="s">
        <v>450</v>
      </c>
      <c r="C684" s="102" t="s">
        <v>449</v>
      </c>
      <c r="D684" s="181">
        <v>0.15</v>
      </c>
      <c r="E684" s="197">
        <v>4</v>
      </c>
      <c r="F684" s="197">
        <v>1</v>
      </c>
      <c r="G684" s="181">
        <f t="shared" si="26"/>
        <v>0.25</v>
      </c>
      <c r="H684" s="177" t="str">
        <f t="shared" si="25"/>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684" s="236"/>
    </row>
    <row r="685" spans="1:9" s="179" customFormat="1" ht="49.9" customHeight="1" outlineLevel="1" x14ac:dyDescent="0.25">
      <c r="A685" s="486"/>
      <c r="B685" s="173" t="s">
        <v>451</v>
      </c>
      <c r="C685" s="102" t="s">
        <v>449</v>
      </c>
      <c r="D685" s="181">
        <v>0.15</v>
      </c>
      <c r="E685" s="197">
        <v>1</v>
      </c>
      <c r="F685" s="197">
        <v>0.16819999999999999</v>
      </c>
      <c r="G685" s="181">
        <f t="shared" si="26"/>
        <v>0.16819999999999999</v>
      </c>
      <c r="H685" s="177" t="str">
        <f t="shared" si="25"/>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685" s="236"/>
    </row>
    <row r="686" spans="1:9" s="179" customFormat="1" ht="49.9" customHeight="1" outlineLevel="1" x14ac:dyDescent="0.25">
      <c r="A686" s="486"/>
      <c r="B686" s="173" t="s">
        <v>452</v>
      </c>
      <c r="C686" s="102" t="s">
        <v>449</v>
      </c>
      <c r="D686" s="181">
        <v>0.15</v>
      </c>
      <c r="E686" s="174">
        <v>362</v>
      </c>
      <c r="F686" s="174">
        <v>120</v>
      </c>
      <c r="G686" s="181">
        <f t="shared" si="26"/>
        <v>0.33149171270718231</v>
      </c>
      <c r="H686" s="177" t="str">
        <f t="shared" si="25"/>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686" s="236"/>
    </row>
    <row r="687" spans="1:9" s="179" customFormat="1" ht="49.9" customHeight="1" outlineLevel="1" x14ac:dyDescent="0.25">
      <c r="A687" s="486"/>
      <c r="B687" s="173" t="s">
        <v>453</v>
      </c>
      <c r="C687" s="102" t="s">
        <v>449</v>
      </c>
      <c r="D687" s="181">
        <v>0.15</v>
      </c>
      <c r="E687" s="197">
        <v>1</v>
      </c>
      <c r="F687" s="197">
        <v>1</v>
      </c>
      <c r="G687" s="181">
        <f t="shared" si="26"/>
        <v>1</v>
      </c>
      <c r="H687" s="177" t="str">
        <f t="shared" si="25"/>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687" s="236"/>
    </row>
    <row r="688" spans="1:9" s="179" customFormat="1" ht="49.9" customHeight="1" outlineLevel="1" x14ac:dyDescent="0.25">
      <c r="A688" s="486"/>
      <c r="B688" s="173" t="s">
        <v>454</v>
      </c>
      <c r="C688" s="102" t="s">
        <v>449</v>
      </c>
      <c r="D688" s="181">
        <v>0.15</v>
      </c>
      <c r="E688" s="197">
        <v>234</v>
      </c>
      <c r="F688" s="197">
        <v>37</v>
      </c>
      <c r="G688" s="181">
        <f t="shared" si="26"/>
        <v>0.15811965811965811</v>
      </c>
      <c r="H688" s="177" t="str">
        <f t="shared" si="25"/>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688" s="236"/>
    </row>
    <row r="689" spans="1:9" s="179" customFormat="1" ht="49.9" customHeight="1" outlineLevel="1" x14ac:dyDescent="0.25">
      <c r="A689" s="486"/>
      <c r="B689" s="173" t="s">
        <v>455</v>
      </c>
      <c r="C689" s="102" t="s">
        <v>449</v>
      </c>
      <c r="D689" s="181">
        <v>0.1</v>
      </c>
      <c r="E689" s="197">
        <v>1</v>
      </c>
      <c r="F689" s="197">
        <v>1</v>
      </c>
      <c r="G689" s="181">
        <f t="shared" si="26"/>
        <v>1</v>
      </c>
      <c r="H689" s="177" t="str">
        <f t="shared" si="25"/>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689" s="236"/>
    </row>
    <row r="690" spans="1:9" s="179" customFormat="1" ht="49.9" customHeight="1" outlineLevel="1" x14ac:dyDescent="0.25">
      <c r="A690" s="488" t="s">
        <v>132</v>
      </c>
      <c r="B690" s="173" t="s">
        <v>448</v>
      </c>
      <c r="C690" s="102" t="s">
        <v>449</v>
      </c>
      <c r="D690" s="181">
        <v>0.15</v>
      </c>
      <c r="E690" s="174">
        <v>20</v>
      </c>
      <c r="F690" s="174">
        <v>20</v>
      </c>
      <c r="G690" s="181">
        <f t="shared" si="26"/>
        <v>1</v>
      </c>
      <c r="H690" s="180" t="str">
        <f t="shared" si="25"/>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690" s="236"/>
    </row>
    <row r="691" spans="1:9" s="179" customFormat="1" ht="49.9" customHeight="1" outlineLevel="1" x14ac:dyDescent="0.25">
      <c r="A691" s="488"/>
      <c r="B691" s="173" t="s">
        <v>450</v>
      </c>
      <c r="C691" s="102" t="s">
        <v>449</v>
      </c>
      <c r="D691" s="181">
        <v>0.15</v>
      </c>
      <c r="E691" s="197">
        <v>4</v>
      </c>
      <c r="F691" s="197">
        <v>1</v>
      </c>
      <c r="G691" s="181">
        <f t="shared" si="26"/>
        <v>0.25</v>
      </c>
      <c r="H691" s="180" t="str">
        <f t="shared" si="25"/>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691" s="236"/>
    </row>
    <row r="692" spans="1:9" s="179" customFormat="1" ht="49.9" customHeight="1" outlineLevel="1" x14ac:dyDescent="0.25">
      <c r="A692" s="488"/>
      <c r="B692" s="173" t="s">
        <v>451</v>
      </c>
      <c r="C692" s="102" t="s">
        <v>449</v>
      </c>
      <c r="D692" s="181">
        <v>0.15</v>
      </c>
      <c r="E692" s="197">
        <v>1</v>
      </c>
      <c r="F692" s="197">
        <v>0.20399999999999999</v>
      </c>
      <c r="G692" s="181">
        <f t="shared" si="26"/>
        <v>0.20399999999999999</v>
      </c>
      <c r="H692" s="180" t="str">
        <f t="shared" si="25"/>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692" s="236"/>
    </row>
    <row r="693" spans="1:9" s="179" customFormat="1" ht="49.9" customHeight="1" outlineLevel="1" x14ac:dyDescent="0.25">
      <c r="A693" s="488"/>
      <c r="B693" s="173" t="s">
        <v>452</v>
      </c>
      <c r="C693" s="102" t="s">
        <v>449</v>
      </c>
      <c r="D693" s="181">
        <v>0.15</v>
      </c>
      <c r="E693" s="174">
        <v>362</v>
      </c>
      <c r="F693" s="174">
        <v>120</v>
      </c>
      <c r="G693" s="181">
        <f t="shared" si="26"/>
        <v>0.33149171270718231</v>
      </c>
      <c r="H693" s="180" t="str">
        <f t="shared" si="25"/>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693" s="236"/>
    </row>
    <row r="694" spans="1:9" s="179" customFormat="1" ht="49.9" customHeight="1" outlineLevel="1" x14ac:dyDescent="0.25">
      <c r="A694" s="488"/>
      <c r="B694" s="173" t="s">
        <v>453</v>
      </c>
      <c r="C694" s="102" t="s">
        <v>449</v>
      </c>
      <c r="D694" s="181">
        <v>0.15</v>
      </c>
      <c r="E694" s="197">
        <v>1</v>
      </c>
      <c r="F694" s="197">
        <v>1</v>
      </c>
      <c r="G694" s="181">
        <f t="shared" si="26"/>
        <v>1</v>
      </c>
      <c r="H694" s="180" t="str">
        <f t="shared" si="25"/>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694" s="236"/>
    </row>
    <row r="695" spans="1:9" s="179" customFormat="1" ht="49.9" customHeight="1" outlineLevel="1" x14ac:dyDescent="0.25">
      <c r="A695" s="488"/>
      <c r="B695" s="173" t="s">
        <v>454</v>
      </c>
      <c r="C695" s="102" t="s">
        <v>449</v>
      </c>
      <c r="D695" s="181">
        <v>0.15</v>
      </c>
      <c r="E695" s="197">
        <v>234</v>
      </c>
      <c r="F695" s="197">
        <v>0</v>
      </c>
      <c r="G695" s="181">
        <f t="shared" si="26"/>
        <v>0</v>
      </c>
      <c r="H695" s="180" t="str">
        <f t="shared" si="25"/>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695" s="236"/>
    </row>
    <row r="696" spans="1:9" s="179" customFormat="1" ht="49.9" customHeight="1" outlineLevel="1" x14ac:dyDescent="0.25">
      <c r="A696" s="489"/>
      <c r="B696" s="173" t="s">
        <v>455</v>
      </c>
      <c r="C696" s="102" t="s">
        <v>449</v>
      </c>
      <c r="D696" s="181">
        <v>0.1</v>
      </c>
      <c r="E696" s="197">
        <v>1</v>
      </c>
      <c r="F696" s="197">
        <v>1</v>
      </c>
      <c r="G696" s="181">
        <f t="shared" si="26"/>
        <v>1</v>
      </c>
      <c r="H696" s="180" t="str">
        <f t="shared" si="25"/>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696" s="236"/>
    </row>
    <row r="697" spans="1:9" s="179" customFormat="1" ht="55.15" customHeight="1" outlineLevel="1" x14ac:dyDescent="0.25">
      <c r="A697" s="487" t="s">
        <v>133</v>
      </c>
      <c r="B697" s="173" t="s">
        <v>448</v>
      </c>
      <c r="C697" s="102" t="s">
        <v>449</v>
      </c>
      <c r="D697" s="181">
        <v>0.15</v>
      </c>
      <c r="E697" s="174">
        <v>20</v>
      </c>
      <c r="F697" s="174">
        <v>20</v>
      </c>
      <c r="G697" s="181">
        <f t="shared" si="26"/>
        <v>1</v>
      </c>
      <c r="H697" s="177" t="s">
        <v>406</v>
      </c>
      <c r="I697" s="236"/>
    </row>
    <row r="698" spans="1:9" s="179" customFormat="1" ht="55.15" customHeight="1" outlineLevel="1" x14ac:dyDescent="0.25">
      <c r="A698" s="488"/>
      <c r="B698" s="173" t="s">
        <v>450</v>
      </c>
      <c r="C698" s="102" t="s">
        <v>449</v>
      </c>
      <c r="D698" s="181">
        <v>0.15</v>
      </c>
      <c r="E698" s="197">
        <v>4</v>
      </c>
      <c r="F698" s="197">
        <v>4</v>
      </c>
      <c r="G698" s="181">
        <f t="shared" si="26"/>
        <v>1</v>
      </c>
      <c r="H698" s="177" t="s">
        <v>407</v>
      </c>
      <c r="I698" s="236"/>
    </row>
    <row r="699" spans="1:9" s="179" customFormat="1" ht="55.15" customHeight="1" outlineLevel="1" x14ac:dyDescent="0.25">
      <c r="A699" s="488"/>
      <c r="B699" s="173" t="s">
        <v>451</v>
      </c>
      <c r="C699" s="102" t="s">
        <v>449</v>
      </c>
      <c r="D699" s="181">
        <v>0.15</v>
      </c>
      <c r="E699" s="197">
        <v>1</v>
      </c>
      <c r="F699" s="197">
        <v>1</v>
      </c>
      <c r="G699" s="181">
        <f t="shared" si="26"/>
        <v>1</v>
      </c>
      <c r="H699" s="177" t="s">
        <v>408</v>
      </c>
      <c r="I699" s="236"/>
    </row>
    <row r="700" spans="1:9" s="179" customFormat="1" ht="55.15" customHeight="1" outlineLevel="1" x14ac:dyDescent="0.25">
      <c r="A700" s="488"/>
      <c r="B700" s="173" t="s">
        <v>452</v>
      </c>
      <c r="C700" s="102" t="s">
        <v>449</v>
      </c>
      <c r="D700" s="181">
        <v>0.15</v>
      </c>
      <c r="E700" s="174">
        <v>362</v>
      </c>
      <c r="F700" s="174">
        <v>362</v>
      </c>
      <c r="G700" s="181">
        <f t="shared" si="26"/>
        <v>1</v>
      </c>
      <c r="H700" s="177" t="s">
        <v>409</v>
      </c>
      <c r="I700" s="236"/>
    </row>
    <row r="701" spans="1:9" s="179" customFormat="1" ht="55.15" customHeight="1" outlineLevel="1" x14ac:dyDescent="0.25">
      <c r="A701" s="488"/>
      <c r="B701" s="173" t="s">
        <v>453</v>
      </c>
      <c r="C701" s="102" t="s">
        <v>449</v>
      </c>
      <c r="D701" s="181">
        <v>0.15</v>
      </c>
      <c r="E701" s="197">
        <v>1</v>
      </c>
      <c r="F701" s="197">
        <v>1</v>
      </c>
      <c r="G701" s="181">
        <f t="shared" si="26"/>
        <v>1</v>
      </c>
      <c r="H701" s="177" t="s">
        <v>410</v>
      </c>
      <c r="I701" s="236"/>
    </row>
    <row r="702" spans="1:9" s="179" customFormat="1" ht="55.15" customHeight="1" outlineLevel="1" x14ac:dyDescent="0.25">
      <c r="A702" s="488"/>
      <c r="B702" s="173" t="s">
        <v>454</v>
      </c>
      <c r="C702" s="102" t="s">
        <v>449</v>
      </c>
      <c r="D702" s="181">
        <v>0.15</v>
      </c>
      <c r="E702" s="197">
        <v>1292</v>
      </c>
      <c r="F702" s="197">
        <v>1292</v>
      </c>
      <c r="G702" s="181">
        <f t="shared" si="26"/>
        <v>1</v>
      </c>
      <c r="H702" s="177" t="s">
        <v>411</v>
      </c>
      <c r="I702" s="236"/>
    </row>
    <row r="703" spans="1:9" s="179" customFormat="1" ht="55.15" customHeight="1" outlineLevel="1" x14ac:dyDescent="0.25">
      <c r="A703" s="489"/>
      <c r="B703" s="173" t="s">
        <v>455</v>
      </c>
      <c r="C703" s="102" t="s">
        <v>449</v>
      </c>
      <c r="D703" s="181">
        <v>0.1</v>
      </c>
      <c r="E703" s="197">
        <v>1</v>
      </c>
      <c r="F703" s="197">
        <v>1</v>
      </c>
      <c r="G703" s="181">
        <f t="shared" si="26"/>
        <v>1</v>
      </c>
      <c r="H703" s="177" t="s">
        <v>412</v>
      </c>
      <c r="I703" s="236"/>
    </row>
    <row r="705" spans="1:9" ht="25.5" customHeight="1" x14ac:dyDescent="0.3">
      <c r="A705" s="483" t="s">
        <v>199</v>
      </c>
      <c r="B705" s="484"/>
      <c r="C705" s="484"/>
      <c r="D705" s="484"/>
      <c r="E705" s="484"/>
      <c r="F705" s="484"/>
      <c r="G705" s="484"/>
      <c r="H705" s="485"/>
    </row>
    <row r="706" spans="1:9" ht="53.25" customHeight="1" x14ac:dyDescent="0.25">
      <c r="A706" s="175" t="s">
        <v>49</v>
      </c>
      <c r="B706" s="42" t="s">
        <v>182</v>
      </c>
      <c r="C706" s="46" t="s">
        <v>148</v>
      </c>
      <c r="D706" s="46" t="s">
        <v>156</v>
      </c>
      <c r="E706" s="46" t="s">
        <v>201</v>
      </c>
      <c r="F706" s="46" t="s">
        <v>202</v>
      </c>
      <c r="G706" s="46" t="s">
        <v>203</v>
      </c>
      <c r="H706" s="42" t="s">
        <v>171</v>
      </c>
    </row>
    <row r="707" spans="1:9" ht="49.9" customHeight="1" outlineLevel="1" x14ac:dyDescent="0.25">
      <c r="A707" s="519" t="s">
        <v>135</v>
      </c>
      <c r="B707" s="173" t="s">
        <v>448</v>
      </c>
      <c r="C707" s="102" t="s">
        <v>449</v>
      </c>
      <c r="D707" s="181">
        <v>0.15</v>
      </c>
      <c r="E707" s="174">
        <v>20</v>
      </c>
      <c r="F707" s="174">
        <v>20</v>
      </c>
      <c r="G707" s="181">
        <f t="shared" ref="G707:G784" si="27">F707/E707</f>
        <v>1</v>
      </c>
      <c r="H707" s="177" t="s">
        <v>406</v>
      </c>
      <c r="I707" s="242"/>
    </row>
    <row r="708" spans="1:9" ht="49.9" customHeight="1" outlineLevel="1" x14ac:dyDescent="0.25">
      <c r="A708" s="520"/>
      <c r="B708" s="173" t="s">
        <v>450</v>
      </c>
      <c r="C708" s="102" t="s">
        <v>449</v>
      </c>
      <c r="D708" s="181">
        <v>0.15</v>
      </c>
      <c r="E708" s="197">
        <v>8</v>
      </c>
      <c r="F708" s="197">
        <v>0.2</v>
      </c>
      <c r="G708" s="181">
        <f t="shared" si="27"/>
        <v>2.5000000000000001E-2</v>
      </c>
      <c r="H708" s="177" t="s">
        <v>407</v>
      </c>
      <c r="I708" s="242"/>
    </row>
    <row r="709" spans="1:9" ht="49.9" customHeight="1" outlineLevel="1" x14ac:dyDescent="0.25">
      <c r="A709" s="520"/>
      <c r="B709" s="173" t="s">
        <v>451</v>
      </c>
      <c r="C709" s="102" t="s">
        <v>449</v>
      </c>
      <c r="D709" s="181">
        <v>0.15</v>
      </c>
      <c r="E709" s="197">
        <v>2</v>
      </c>
      <c r="F709" s="197">
        <v>0.15</v>
      </c>
      <c r="G709" s="181">
        <f t="shared" si="27"/>
        <v>7.4999999999999997E-2</v>
      </c>
      <c r="H709" s="177" t="s">
        <v>408</v>
      </c>
      <c r="I709" s="242"/>
    </row>
    <row r="710" spans="1:9" ht="49.9" customHeight="1" outlineLevel="1" x14ac:dyDescent="0.25">
      <c r="A710" s="520"/>
      <c r="B710" s="173" t="s">
        <v>452</v>
      </c>
      <c r="C710" s="102" t="s">
        <v>449</v>
      </c>
      <c r="D710" s="181">
        <v>0.15</v>
      </c>
      <c r="E710" s="174">
        <v>362</v>
      </c>
      <c r="F710" s="174">
        <v>10</v>
      </c>
      <c r="G710" s="181">
        <f t="shared" si="27"/>
        <v>2.7624309392265192E-2</v>
      </c>
      <c r="H710" s="177" t="s">
        <v>409</v>
      </c>
      <c r="I710" s="242"/>
    </row>
    <row r="711" spans="1:9" ht="49.9" customHeight="1" outlineLevel="1" x14ac:dyDescent="0.25">
      <c r="A711" s="520"/>
      <c r="B711" s="173" t="s">
        <v>453</v>
      </c>
      <c r="C711" s="102" t="s">
        <v>449</v>
      </c>
      <c r="D711" s="181">
        <v>0.15</v>
      </c>
      <c r="E711" s="197">
        <v>1</v>
      </c>
      <c r="F711" s="197">
        <v>1</v>
      </c>
      <c r="G711" s="181">
        <f t="shared" si="27"/>
        <v>1</v>
      </c>
      <c r="H711" s="177" t="s">
        <v>410</v>
      </c>
      <c r="I711" s="242"/>
    </row>
    <row r="712" spans="1:9" ht="49.9" customHeight="1" outlineLevel="1" x14ac:dyDescent="0.25">
      <c r="A712" s="520"/>
      <c r="B712" s="173" t="s">
        <v>454</v>
      </c>
      <c r="C712" s="102" t="s">
        <v>449</v>
      </c>
      <c r="D712" s="181">
        <v>0.15</v>
      </c>
      <c r="E712" s="197">
        <v>759</v>
      </c>
      <c r="F712" s="197">
        <v>278</v>
      </c>
      <c r="G712" s="181">
        <f t="shared" si="27"/>
        <v>0.3662714097496706</v>
      </c>
      <c r="H712" s="177" t="s">
        <v>411</v>
      </c>
      <c r="I712" s="242"/>
    </row>
    <row r="713" spans="1:9" ht="49.9" customHeight="1" outlineLevel="1" x14ac:dyDescent="0.25">
      <c r="A713" s="521"/>
      <c r="B713" s="173" t="s">
        <v>455</v>
      </c>
      <c r="C713" s="102" t="s">
        <v>449</v>
      </c>
      <c r="D713" s="181">
        <v>0.1</v>
      </c>
      <c r="E713" s="197">
        <v>1</v>
      </c>
      <c r="F713" s="197">
        <v>1</v>
      </c>
      <c r="G713" s="181">
        <f t="shared" si="27"/>
        <v>1</v>
      </c>
      <c r="H713" s="177" t="s">
        <v>412</v>
      </c>
      <c r="I713" s="242"/>
    </row>
    <row r="714" spans="1:9" ht="49.9" customHeight="1" outlineLevel="1" x14ac:dyDescent="0.25">
      <c r="A714" s="479" t="s">
        <v>136</v>
      </c>
      <c r="B714" s="173" t="s">
        <v>448</v>
      </c>
      <c r="C714" s="102" t="s">
        <v>449</v>
      </c>
      <c r="D714" s="181">
        <v>0.15</v>
      </c>
      <c r="E714" s="174">
        <v>20</v>
      </c>
      <c r="F714" s="174">
        <v>20</v>
      </c>
      <c r="G714" s="181">
        <f t="shared" si="27"/>
        <v>1</v>
      </c>
      <c r="H714" s="177" t="s">
        <v>413</v>
      </c>
      <c r="I714" s="242"/>
    </row>
    <row r="715" spans="1:9" ht="49.9" customHeight="1" outlineLevel="1" x14ac:dyDescent="0.25">
      <c r="A715" s="480"/>
      <c r="B715" s="173" t="s">
        <v>450</v>
      </c>
      <c r="C715" s="102" t="s">
        <v>449</v>
      </c>
      <c r="D715" s="181">
        <v>0.15</v>
      </c>
      <c r="E715" s="197">
        <v>8</v>
      </c>
      <c r="F715" s="197">
        <v>0.45</v>
      </c>
      <c r="G715" s="181">
        <f t="shared" si="27"/>
        <v>5.6250000000000001E-2</v>
      </c>
      <c r="H715" s="177" t="s">
        <v>414</v>
      </c>
      <c r="I715" s="242"/>
    </row>
    <row r="716" spans="1:9" ht="49.9" customHeight="1" outlineLevel="1" x14ac:dyDescent="0.25">
      <c r="A716" s="480"/>
      <c r="B716" s="173" t="s">
        <v>451</v>
      </c>
      <c r="C716" s="102" t="s">
        <v>449</v>
      </c>
      <c r="D716" s="181">
        <v>0.15</v>
      </c>
      <c r="E716" s="197">
        <v>2</v>
      </c>
      <c r="F716" s="197">
        <v>0.26</v>
      </c>
      <c r="G716" s="181">
        <f t="shared" si="27"/>
        <v>0.13</v>
      </c>
      <c r="H716" s="177" t="s">
        <v>415</v>
      </c>
      <c r="I716" s="242"/>
    </row>
    <row r="717" spans="1:9" ht="49.9" customHeight="1" outlineLevel="1" x14ac:dyDescent="0.25">
      <c r="A717" s="480"/>
      <c r="B717" s="173" t="s">
        <v>452</v>
      </c>
      <c r="C717" s="102" t="s">
        <v>449</v>
      </c>
      <c r="D717" s="181">
        <v>0.15</v>
      </c>
      <c r="E717" s="174">
        <v>362</v>
      </c>
      <c r="F717" s="174">
        <v>16</v>
      </c>
      <c r="G717" s="181">
        <f t="shared" si="27"/>
        <v>4.4198895027624308E-2</v>
      </c>
      <c r="H717" s="177" t="s">
        <v>463</v>
      </c>
      <c r="I717" s="242"/>
    </row>
    <row r="718" spans="1:9" ht="49.9" customHeight="1" outlineLevel="1" x14ac:dyDescent="0.25">
      <c r="A718" s="480"/>
      <c r="B718" s="173" t="s">
        <v>453</v>
      </c>
      <c r="C718" s="102" t="s">
        <v>449</v>
      </c>
      <c r="D718" s="181">
        <v>0.15</v>
      </c>
      <c r="E718" s="197">
        <v>1</v>
      </c>
      <c r="F718" s="197">
        <v>1</v>
      </c>
      <c r="G718" s="181">
        <f t="shared" si="27"/>
        <v>1</v>
      </c>
      <c r="H718" s="177" t="s">
        <v>417</v>
      </c>
      <c r="I718" s="242"/>
    </row>
    <row r="719" spans="1:9" ht="49.9" customHeight="1" outlineLevel="1" x14ac:dyDescent="0.25">
      <c r="A719" s="480"/>
      <c r="B719" s="173" t="s">
        <v>454</v>
      </c>
      <c r="C719" s="102" t="s">
        <v>449</v>
      </c>
      <c r="D719" s="181">
        <v>0.15</v>
      </c>
      <c r="E719" s="197">
        <v>759</v>
      </c>
      <c r="F719" s="197">
        <v>489</v>
      </c>
      <c r="G719" s="181">
        <f t="shared" si="27"/>
        <v>0.64426877470355737</v>
      </c>
      <c r="H719" s="177" t="s">
        <v>418</v>
      </c>
      <c r="I719" s="242"/>
    </row>
    <row r="720" spans="1:9" ht="49.9" customHeight="1" outlineLevel="1" x14ac:dyDescent="0.25">
      <c r="A720" s="481"/>
      <c r="B720" s="173" t="s">
        <v>455</v>
      </c>
      <c r="C720" s="102" t="s">
        <v>449</v>
      </c>
      <c r="D720" s="181">
        <v>0.1</v>
      </c>
      <c r="E720" s="197">
        <v>1</v>
      </c>
      <c r="F720" s="197">
        <v>1</v>
      </c>
      <c r="G720" s="181">
        <f t="shared" si="27"/>
        <v>1</v>
      </c>
      <c r="H720" s="177" t="s">
        <v>419</v>
      </c>
      <c r="I720" s="242"/>
    </row>
    <row r="721" spans="1:9" ht="49.9" customHeight="1" outlineLevel="1" x14ac:dyDescent="0.25">
      <c r="A721" s="479" t="s">
        <v>137</v>
      </c>
      <c r="B721" s="173" t="s">
        <v>448</v>
      </c>
      <c r="C721" s="102" t="s">
        <v>449</v>
      </c>
      <c r="D721" s="181">
        <v>0.15</v>
      </c>
      <c r="E721" s="174">
        <v>20</v>
      </c>
      <c r="F721" s="174">
        <v>20</v>
      </c>
      <c r="G721" s="181">
        <f t="shared" si="27"/>
        <v>1</v>
      </c>
      <c r="H721" s="194" t="s">
        <v>420</v>
      </c>
      <c r="I721" s="242"/>
    </row>
    <row r="722" spans="1:9" ht="49.9" customHeight="1" outlineLevel="1" x14ac:dyDescent="0.25">
      <c r="A722" s="480"/>
      <c r="B722" s="173" t="s">
        <v>450</v>
      </c>
      <c r="C722" s="102" t="s">
        <v>449</v>
      </c>
      <c r="D722" s="181">
        <v>0.15</v>
      </c>
      <c r="E722" s="197">
        <v>8</v>
      </c>
      <c r="F722" s="197">
        <v>1</v>
      </c>
      <c r="G722" s="181">
        <f t="shared" si="27"/>
        <v>0.125</v>
      </c>
      <c r="H722" s="194" t="s">
        <v>421</v>
      </c>
      <c r="I722" s="242"/>
    </row>
    <row r="723" spans="1:9" ht="49.9" customHeight="1" outlineLevel="1" x14ac:dyDescent="0.25">
      <c r="A723" s="480"/>
      <c r="B723" s="173" t="s">
        <v>451</v>
      </c>
      <c r="C723" s="102" t="s">
        <v>449</v>
      </c>
      <c r="D723" s="181">
        <v>0.15</v>
      </c>
      <c r="E723" s="197">
        <v>2</v>
      </c>
      <c r="F723" s="197">
        <v>0.36</v>
      </c>
      <c r="G723" s="181">
        <f t="shared" si="27"/>
        <v>0.18</v>
      </c>
      <c r="H723" s="194" t="s">
        <v>422</v>
      </c>
      <c r="I723" s="242"/>
    </row>
    <row r="724" spans="1:9" ht="49.9" customHeight="1" outlineLevel="1" x14ac:dyDescent="0.25">
      <c r="A724" s="480"/>
      <c r="B724" s="173" t="s">
        <v>452</v>
      </c>
      <c r="C724" s="102" t="s">
        <v>449</v>
      </c>
      <c r="D724" s="181">
        <v>0.15</v>
      </c>
      <c r="E724" s="174">
        <v>362</v>
      </c>
      <c r="F724" s="174">
        <v>16</v>
      </c>
      <c r="G724" s="181">
        <f t="shared" si="27"/>
        <v>4.4198895027624308E-2</v>
      </c>
      <c r="H724" s="194" t="s">
        <v>423</v>
      </c>
      <c r="I724" s="242"/>
    </row>
    <row r="725" spans="1:9" ht="49.9" customHeight="1" outlineLevel="1" x14ac:dyDescent="0.25">
      <c r="A725" s="480"/>
      <c r="B725" s="173" t="s">
        <v>453</v>
      </c>
      <c r="C725" s="102" t="s">
        <v>449</v>
      </c>
      <c r="D725" s="181">
        <v>0.15</v>
      </c>
      <c r="E725" s="197">
        <v>1</v>
      </c>
      <c r="F725" s="197">
        <v>1</v>
      </c>
      <c r="G725" s="181">
        <f t="shared" si="27"/>
        <v>1</v>
      </c>
      <c r="H725" s="194" t="s">
        <v>424</v>
      </c>
      <c r="I725" s="242"/>
    </row>
    <row r="726" spans="1:9" ht="49.9" customHeight="1" outlineLevel="1" x14ac:dyDescent="0.25">
      <c r="A726" s="480"/>
      <c r="B726" s="173" t="s">
        <v>454</v>
      </c>
      <c r="C726" s="102" t="s">
        <v>449</v>
      </c>
      <c r="D726" s="181">
        <v>0.15</v>
      </c>
      <c r="E726" s="197">
        <v>4707</v>
      </c>
      <c r="F726" s="197">
        <v>1326</v>
      </c>
      <c r="G726" s="181">
        <f t="shared" si="27"/>
        <v>0.28170809432759719</v>
      </c>
      <c r="H726" s="194" t="s">
        <v>425</v>
      </c>
      <c r="I726" s="242"/>
    </row>
    <row r="727" spans="1:9" ht="49.9" customHeight="1" outlineLevel="1" x14ac:dyDescent="0.25">
      <c r="A727" s="481"/>
      <c r="B727" s="173" t="s">
        <v>455</v>
      </c>
      <c r="C727" s="102" t="s">
        <v>449</v>
      </c>
      <c r="D727" s="181">
        <v>0.1</v>
      </c>
      <c r="E727" s="197">
        <v>1</v>
      </c>
      <c r="F727" s="197">
        <v>1</v>
      </c>
      <c r="G727" s="181">
        <f t="shared" si="27"/>
        <v>1</v>
      </c>
      <c r="H727" s="194" t="s">
        <v>426</v>
      </c>
      <c r="I727" s="242"/>
    </row>
    <row r="728" spans="1:9" ht="49.9" customHeight="1" outlineLevel="1" x14ac:dyDescent="0.25">
      <c r="A728" s="479" t="s">
        <v>138</v>
      </c>
      <c r="B728" s="173" t="s">
        <v>448</v>
      </c>
      <c r="C728" s="102" t="s">
        <v>449</v>
      </c>
      <c r="D728" s="181">
        <v>0.15</v>
      </c>
      <c r="E728" s="174">
        <v>20</v>
      </c>
      <c r="F728" s="174">
        <v>20</v>
      </c>
      <c r="G728" s="181">
        <f t="shared" si="27"/>
        <v>1</v>
      </c>
      <c r="H728" s="194"/>
      <c r="I728" s="242"/>
    </row>
    <row r="729" spans="1:9" ht="49.9" customHeight="1" outlineLevel="1" x14ac:dyDescent="0.25">
      <c r="A729" s="480"/>
      <c r="B729" s="173" t="s">
        <v>450</v>
      </c>
      <c r="C729" s="102" t="s">
        <v>449</v>
      </c>
      <c r="D729" s="181">
        <v>0.15</v>
      </c>
      <c r="E729" s="197">
        <v>6</v>
      </c>
      <c r="F729" s="197">
        <v>1.6</v>
      </c>
      <c r="G729" s="181">
        <f t="shared" si="27"/>
        <v>0.26666666666666666</v>
      </c>
      <c r="H729" s="194"/>
      <c r="I729" s="242"/>
    </row>
    <row r="730" spans="1:9" ht="49.9" customHeight="1" outlineLevel="1" x14ac:dyDescent="0.25">
      <c r="A730" s="480"/>
      <c r="B730" s="173" t="s">
        <v>451</v>
      </c>
      <c r="C730" s="102" t="s">
        <v>449</v>
      </c>
      <c r="D730" s="181">
        <v>0.15</v>
      </c>
      <c r="E730" s="197">
        <v>1</v>
      </c>
      <c r="F730" s="197">
        <v>0.51</v>
      </c>
      <c r="G730" s="181">
        <f t="shared" si="27"/>
        <v>0.51</v>
      </c>
      <c r="H730" s="194"/>
      <c r="I730" s="242"/>
    </row>
    <row r="731" spans="1:9" ht="49.9" customHeight="1" outlineLevel="1" x14ac:dyDescent="0.25">
      <c r="A731" s="480"/>
      <c r="B731" s="173" t="s">
        <v>452</v>
      </c>
      <c r="C731" s="102" t="s">
        <v>449</v>
      </c>
      <c r="D731" s="181">
        <v>0.15</v>
      </c>
      <c r="E731" s="174">
        <v>362</v>
      </c>
      <c r="F731" s="174">
        <v>16</v>
      </c>
      <c r="G731" s="181">
        <f t="shared" si="27"/>
        <v>4.4198895027624308E-2</v>
      </c>
      <c r="H731" s="194"/>
      <c r="I731" s="242"/>
    </row>
    <row r="732" spans="1:9" ht="49.9" customHeight="1" outlineLevel="1" x14ac:dyDescent="0.25">
      <c r="A732" s="480"/>
      <c r="B732" s="173" t="s">
        <v>453</v>
      </c>
      <c r="C732" s="102" t="s">
        <v>449</v>
      </c>
      <c r="D732" s="181">
        <v>0.15</v>
      </c>
      <c r="E732" s="197">
        <v>1</v>
      </c>
      <c r="F732" s="197">
        <v>1</v>
      </c>
      <c r="G732" s="181">
        <f t="shared" si="27"/>
        <v>1</v>
      </c>
      <c r="H732" s="194"/>
      <c r="I732" s="242"/>
    </row>
    <row r="733" spans="1:9" ht="49.9" customHeight="1" outlineLevel="1" x14ac:dyDescent="0.25">
      <c r="A733" s="480"/>
      <c r="B733" s="173" t="s">
        <v>454</v>
      </c>
      <c r="C733" s="102" t="s">
        <v>449</v>
      </c>
      <c r="D733" s="181">
        <v>0.15</v>
      </c>
      <c r="E733" s="197">
        <v>4707</v>
      </c>
      <c r="F733" s="197">
        <v>1501</v>
      </c>
      <c r="G733" s="181">
        <f t="shared" si="27"/>
        <v>0.31888676439345653</v>
      </c>
      <c r="H733" s="194"/>
      <c r="I733" s="242"/>
    </row>
    <row r="734" spans="1:9" ht="49.9" customHeight="1" outlineLevel="1" x14ac:dyDescent="0.25">
      <c r="A734" s="481"/>
      <c r="B734" s="173" t="s">
        <v>455</v>
      </c>
      <c r="C734" s="102" t="s">
        <v>449</v>
      </c>
      <c r="D734" s="181">
        <v>0.1</v>
      </c>
      <c r="E734" s="197">
        <v>528678000</v>
      </c>
      <c r="F734" s="197">
        <v>516118000</v>
      </c>
      <c r="G734" s="181">
        <f t="shared" si="27"/>
        <v>0.97624262783773863</v>
      </c>
      <c r="H734" s="43"/>
      <c r="I734" s="242"/>
    </row>
    <row r="735" spans="1:9" ht="49.9" customHeight="1" outlineLevel="1" x14ac:dyDescent="0.25">
      <c r="A735" s="479" t="s">
        <v>139</v>
      </c>
      <c r="B735" s="173" t="s">
        <v>448</v>
      </c>
      <c r="C735" s="102" t="s">
        <v>449</v>
      </c>
      <c r="D735" s="181">
        <v>0.15</v>
      </c>
      <c r="E735" s="174">
        <v>20</v>
      </c>
      <c r="F735" s="174">
        <v>20</v>
      </c>
      <c r="G735" s="181">
        <f>F735/E735</f>
        <v>1</v>
      </c>
      <c r="H735" s="195" t="s">
        <v>464</v>
      </c>
      <c r="I735" s="242"/>
    </row>
    <row r="736" spans="1:9" ht="49.9" customHeight="1" outlineLevel="1" x14ac:dyDescent="0.25">
      <c r="A736" s="480"/>
      <c r="B736" s="173" t="s">
        <v>450</v>
      </c>
      <c r="C736" s="102" t="s">
        <v>449</v>
      </c>
      <c r="D736" s="181">
        <v>0.15</v>
      </c>
      <c r="E736" s="214">
        <v>8</v>
      </c>
      <c r="F736" s="197">
        <v>2.4</v>
      </c>
      <c r="G736" s="181">
        <f t="shared" ref="G736:G748" si="28">F736/E736</f>
        <v>0.3</v>
      </c>
      <c r="H736" s="195" t="s">
        <v>457</v>
      </c>
      <c r="I736" s="242"/>
    </row>
    <row r="737" spans="1:9" ht="49.9" customHeight="1" outlineLevel="1" x14ac:dyDescent="0.25">
      <c r="A737" s="480"/>
      <c r="B737" s="173" t="s">
        <v>451</v>
      </c>
      <c r="C737" s="102" t="s">
        <v>449</v>
      </c>
      <c r="D737" s="181">
        <v>0.15</v>
      </c>
      <c r="E737" s="214">
        <v>2</v>
      </c>
      <c r="F737" s="197">
        <v>0.65</v>
      </c>
      <c r="G737" s="181">
        <f t="shared" si="28"/>
        <v>0.32500000000000001</v>
      </c>
      <c r="H737" s="195" t="s">
        <v>465</v>
      </c>
      <c r="I737" s="242"/>
    </row>
    <row r="738" spans="1:9" ht="49.9" customHeight="1" outlineLevel="1" x14ac:dyDescent="0.25">
      <c r="A738" s="480"/>
      <c r="B738" s="173" t="s">
        <v>452</v>
      </c>
      <c r="C738" s="102" t="s">
        <v>449</v>
      </c>
      <c r="D738" s="181">
        <v>0.15</v>
      </c>
      <c r="E738" s="215">
        <v>766</v>
      </c>
      <c r="F738" s="174">
        <v>357</v>
      </c>
      <c r="G738" s="181">
        <f t="shared" si="28"/>
        <v>0.4660574412532637</v>
      </c>
      <c r="H738" s="195" t="s">
        <v>466</v>
      </c>
      <c r="I738" s="242"/>
    </row>
    <row r="739" spans="1:9" ht="49.9" customHeight="1" outlineLevel="1" x14ac:dyDescent="0.25">
      <c r="A739" s="480"/>
      <c r="B739" s="173" t="s">
        <v>453</v>
      </c>
      <c r="C739" s="102" t="s">
        <v>449</v>
      </c>
      <c r="D739" s="181">
        <v>0.15</v>
      </c>
      <c r="E739" s="197">
        <v>1</v>
      </c>
      <c r="F739" s="197">
        <v>1</v>
      </c>
      <c r="G739" s="181">
        <f t="shared" si="28"/>
        <v>1</v>
      </c>
      <c r="H739" s="195" t="s">
        <v>467</v>
      </c>
      <c r="I739" s="242"/>
    </row>
    <row r="740" spans="1:9" ht="49.9" customHeight="1" outlineLevel="1" x14ac:dyDescent="0.25">
      <c r="A740" s="480"/>
      <c r="B740" s="173" t="s">
        <v>454</v>
      </c>
      <c r="C740" s="102" t="s">
        <v>449</v>
      </c>
      <c r="D740" s="181">
        <v>0.15</v>
      </c>
      <c r="E740" s="197">
        <v>4707</v>
      </c>
      <c r="F740" s="197">
        <v>2706</v>
      </c>
      <c r="G740" s="181">
        <f t="shared" si="28"/>
        <v>0.57488846398980242</v>
      </c>
      <c r="H740" s="195" t="s">
        <v>468</v>
      </c>
      <c r="I740" s="242"/>
    </row>
    <row r="741" spans="1:9" ht="49.9" customHeight="1" outlineLevel="1" x14ac:dyDescent="0.25">
      <c r="A741" s="481"/>
      <c r="B741" s="173" t="s">
        <v>455</v>
      </c>
      <c r="C741" s="102" t="s">
        <v>449</v>
      </c>
      <c r="D741" s="181">
        <v>0.1</v>
      </c>
      <c r="E741" s="200">
        <v>1</v>
      </c>
      <c r="F741" s="200">
        <v>1</v>
      </c>
      <c r="G741" s="181">
        <f t="shared" si="28"/>
        <v>1</v>
      </c>
      <c r="H741" s="195" t="s">
        <v>462</v>
      </c>
      <c r="I741" s="242"/>
    </row>
    <row r="742" spans="1:9" ht="49.9" customHeight="1" outlineLevel="1" x14ac:dyDescent="0.25">
      <c r="A742" s="479" t="s">
        <v>140</v>
      </c>
      <c r="B742" s="173" t="s">
        <v>448</v>
      </c>
      <c r="C742" s="102" t="s">
        <v>449</v>
      </c>
      <c r="D742" s="181">
        <v>0.15</v>
      </c>
      <c r="E742" s="174">
        <v>20</v>
      </c>
      <c r="F742" s="174">
        <v>20</v>
      </c>
      <c r="G742" s="181">
        <f>F742/E742</f>
        <v>1</v>
      </c>
      <c r="H742" s="195" t="s">
        <v>475</v>
      </c>
    </row>
    <row r="743" spans="1:9" ht="49.9" customHeight="1" outlineLevel="1" x14ac:dyDescent="0.25">
      <c r="A743" s="480"/>
      <c r="B743" s="173" t="s">
        <v>450</v>
      </c>
      <c r="C743" s="102" t="s">
        <v>449</v>
      </c>
      <c r="D743" s="181">
        <v>0.15</v>
      </c>
      <c r="E743" s="214">
        <v>8</v>
      </c>
      <c r="F743" s="197">
        <v>3</v>
      </c>
      <c r="G743" s="181">
        <f t="shared" si="28"/>
        <v>0.375</v>
      </c>
      <c r="H743" s="195" t="s">
        <v>348</v>
      </c>
    </row>
    <row r="744" spans="1:9" ht="49.9" customHeight="1" outlineLevel="1" x14ac:dyDescent="0.25">
      <c r="A744" s="480"/>
      <c r="B744" s="173" t="s">
        <v>451</v>
      </c>
      <c r="C744" s="102" t="s">
        <v>449</v>
      </c>
      <c r="D744" s="181">
        <v>0.15</v>
      </c>
      <c r="E744" s="214">
        <v>2</v>
      </c>
      <c r="F744" s="197">
        <v>1</v>
      </c>
      <c r="G744" s="181">
        <f t="shared" si="28"/>
        <v>0.5</v>
      </c>
      <c r="H744" s="195" t="s">
        <v>476</v>
      </c>
    </row>
    <row r="745" spans="1:9" ht="49.9" customHeight="1" outlineLevel="1" x14ac:dyDescent="0.25">
      <c r="A745" s="480"/>
      <c r="B745" s="173" t="s">
        <v>452</v>
      </c>
      <c r="C745" s="102" t="s">
        <v>449</v>
      </c>
      <c r="D745" s="181">
        <v>0.15</v>
      </c>
      <c r="E745" s="215">
        <v>766</v>
      </c>
      <c r="F745" s="174">
        <v>463</v>
      </c>
      <c r="G745" s="181">
        <f t="shared" si="28"/>
        <v>0.6044386422976501</v>
      </c>
      <c r="H745" s="195" t="s">
        <v>477</v>
      </c>
    </row>
    <row r="746" spans="1:9" ht="49.9" customHeight="1" outlineLevel="1" x14ac:dyDescent="0.25">
      <c r="A746" s="480"/>
      <c r="B746" s="173" t="s">
        <v>453</v>
      </c>
      <c r="C746" s="102" t="s">
        <v>449</v>
      </c>
      <c r="D746" s="181">
        <v>0.15</v>
      </c>
      <c r="E746" s="197">
        <v>1</v>
      </c>
      <c r="F746" s="197">
        <v>1</v>
      </c>
      <c r="G746" s="181">
        <f t="shared" si="28"/>
        <v>1</v>
      </c>
      <c r="H746" s="195" t="s">
        <v>472</v>
      </c>
    </row>
    <row r="747" spans="1:9" ht="49.9" customHeight="1" outlineLevel="1" x14ac:dyDescent="0.25">
      <c r="A747" s="480"/>
      <c r="B747" s="173" t="s">
        <v>454</v>
      </c>
      <c r="C747" s="102" t="s">
        <v>449</v>
      </c>
      <c r="D747" s="181">
        <v>0.15</v>
      </c>
      <c r="E747" s="197">
        <v>4707</v>
      </c>
      <c r="F747" s="197">
        <v>3504</v>
      </c>
      <c r="G747" s="181">
        <f t="shared" si="28"/>
        <v>0.74442319949012115</v>
      </c>
      <c r="H747" s="195" t="s">
        <v>473</v>
      </c>
    </row>
    <row r="748" spans="1:9" ht="49.9" customHeight="1" outlineLevel="1" x14ac:dyDescent="0.25">
      <c r="A748" s="481"/>
      <c r="B748" s="173" t="s">
        <v>455</v>
      </c>
      <c r="C748" s="102" t="s">
        <v>449</v>
      </c>
      <c r="D748" s="181">
        <v>0.1</v>
      </c>
      <c r="E748" s="200">
        <v>1</v>
      </c>
      <c r="F748" s="200">
        <v>0.92</v>
      </c>
      <c r="G748" s="181">
        <f t="shared" si="28"/>
        <v>0.92</v>
      </c>
      <c r="H748" s="195" t="s">
        <v>474</v>
      </c>
    </row>
    <row r="749" spans="1:9" ht="49.9" customHeight="1" outlineLevel="1" x14ac:dyDescent="0.25">
      <c r="A749" s="479" t="s">
        <v>128</v>
      </c>
      <c r="B749" s="203" t="s">
        <v>448</v>
      </c>
      <c r="C749" s="102" t="s">
        <v>449</v>
      </c>
      <c r="D749" s="181">
        <v>0.15</v>
      </c>
      <c r="E749" s="204">
        <v>20</v>
      </c>
      <c r="F749" s="204">
        <v>20</v>
      </c>
      <c r="G749" s="181">
        <f>F749/E749</f>
        <v>1</v>
      </c>
      <c r="H749" s="213" t="s">
        <v>523</v>
      </c>
    </row>
    <row r="750" spans="1:9" ht="49.9" customHeight="1" outlineLevel="1" x14ac:dyDescent="0.25">
      <c r="A750" s="480"/>
      <c r="B750" s="203" t="s">
        <v>450</v>
      </c>
      <c r="C750" s="102" t="s">
        <v>449</v>
      </c>
      <c r="D750" s="181">
        <v>0.15</v>
      </c>
      <c r="E750" s="214">
        <v>8</v>
      </c>
      <c r="F750" s="197">
        <v>3.8</v>
      </c>
      <c r="G750" s="181">
        <f t="shared" ref="G750:G755" si="29">F750/E750</f>
        <v>0.47499999999999998</v>
      </c>
      <c r="H750" s="213" t="s">
        <v>524</v>
      </c>
    </row>
    <row r="751" spans="1:9" ht="49.9" customHeight="1" outlineLevel="1" x14ac:dyDescent="0.25">
      <c r="A751" s="480"/>
      <c r="B751" s="203" t="s">
        <v>451</v>
      </c>
      <c r="C751" s="102" t="s">
        <v>449</v>
      </c>
      <c r="D751" s="181">
        <v>0.15</v>
      </c>
      <c r="E751" s="214">
        <v>2</v>
      </c>
      <c r="F751" s="197">
        <v>1.26</v>
      </c>
      <c r="G751" s="181">
        <f t="shared" si="29"/>
        <v>0.63</v>
      </c>
      <c r="H751" s="213" t="s">
        <v>525</v>
      </c>
    </row>
    <row r="752" spans="1:9" ht="49.9" customHeight="1" outlineLevel="1" x14ac:dyDescent="0.25">
      <c r="A752" s="480"/>
      <c r="B752" s="203" t="s">
        <v>452</v>
      </c>
      <c r="C752" s="102" t="s">
        <v>449</v>
      </c>
      <c r="D752" s="181">
        <v>0.15</v>
      </c>
      <c r="E752" s="215">
        <v>766</v>
      </c>
      <c r="F752" s="204">
        <v>440</v>
      </c>
      <c r="G752" s="181">
        <f t="shared" si="29"/>
        <v>0.5744125326370757</v>
      </c>
      <c r="H752" s="195" t="s">
        <v>530</v>
      </c>
    </row>
    <row r="753" spans="1:8" ht="49.9" customHeight="1" outlineLevel="1" x14ac:dyDescent="0.25">
      <c r="A753" s="480"/>
      <c r="B753" s="203" t="s">
        <v>453</v>
      </c>
      <c r="C753" s="102" t="s">
        <v>449</v>
      </c>
      <c r="D753" s="181">
        <v>0.15</v>
      </c>
      <c r="E753" s="197">
        <v>1</v>
      </c>
      <c r="F753" s="197">
        <v>1.17</v>
      </c>
      <c r="G753" s="181">
        <f t="shared" si="29"/>
        <v>1.17</v>
      </c>
      <c r="H753" s="213" t="s">
        <v>526</v>
      </c>
    </row>
    <row r="754" spans="1:8" ht="49.9" customHeight="1" outlineLevel="1" x14ac:dyDescent="0.25">
      <c r="A754" s="480"/>
      <c r="B754" s="203" t="s">
        <v>454</v>
      </c>
      <c r="C754" s="102" t="s">
        <v>449</v>
      </c>
      <c r="D754" s="181">
        <v>0.15</v>
      </c>
      <c r="E754" s="197">
        <v>4707</v>
      </c>
      <c r="F754" s="197">
        <v>3769</v>
      </c>
      <c r="G754" s="181">
        <f t="shared" si="29"/>
        <v>0.80072232844699387</v>
      </c>
      <c r="H754" s="213" t="s">
        <v>527</v>
      </c>
    </row>
    <row r="755" spans="1:8" ht="49.9" customHeight="1" outlineLevel="1" x14ac:dyDescent="0.25">
      <c r="A755" s="481"/>
      <c r="B755" s="203" t="s">
        <v>455</v>
      </c>
      <c r="C755" s="102" t="s">
        <v>449</v>
      </c>
      <c r="D755" s="181">
        <v>0.1</v>
      </c>
      <c r="E755" s="200">
        <v>1</v>
      </c>
      <c r="F755" s="200">
        <v>1</v>
      </c>
      <c r="G755" s="181">
        <f t="shared" si="29"/>
        <v>1</v>
      </c>
      <c r="H755" s="213" t="s">
        <v>528</v>
      </c>
    </row>
    <row r="756" spans="1:8" ht="40.15" customHeight="1" outlineLevel="1" x14ac:dyDescent="0.25">
      <c r="A756" s="479" t="s">
        <v>129</v>
      </c>
      <c r="B756" s="227" t="s">
        <v>448</v>
      </c>
      <c r="C756" s="102" t="s">
        <v>449</v>
      </c>
      <c r="D756" s="181">
        <v>0.15</v>
      </c>
      <c r="E756" s="228">
        <v>20</v>
      </c>
      <c r="F756" s="228">
        <v>20</v>
      </c>
      <c r="G756" s="181">
        <f>F756/E756</f>
        <v>1</v>
      </c>
      <c r="H756" s="213" t="s">
        <v>523</v>
      </c>
    </row>
    <row r="757" spans="1:8" ht="40.15" customHeight="1" outlineLevel="1" x14ac:dyDescent="0.25">
      <c r="A757" s="480"/>
      <c r="B757" s="227" t="s">
        <v>450</v>
      </c>
      <c r="C757" s="102" t="s">
        <v>449</v>
      </c>
      <c r="D757" s="181">
        <v>0.15</v>
      </c>
      <c r="E757" s="214">
        <v>8</v>
      </c>
      <c r="F757" s="197">
        <v>4.5999999999999996</v>
      </c>
      <c r="G757" s="181">
        <f t="shared" ref="G757:G762" si="30">F757/E757</f>
        <v>0.57499999999999996</v>
      </c>
      <c r="H757" s="213" t="s">
        <v>524</v>
      </c>
    </row>
    <row r="758" spans="1:8" ht="40.15" customHeight="1" outlineLevel="1" x14ac:dyDescent="0.25">
      <c r="A758" s="480"/>
      <c r="B758" s="227" t="s">
        <v>451</v>
      </c>
      <c r="C758" s="102" t="s">
        <v>449</v>
      </c>
      <c r="D758" s="181">
        <v>0.15</v>
      </c>
      <c r="E758" s="214">
        <v>2</v>
      </c>
      <c r="F758" s="197">
        <v>1.39</v>
      </c>
      <c r="G758" s="181">
        <f t="shared" si="30"/>
        <v>0.69499999999999995</v>
      </c>
      <c r="H758" s="213" t="s">
        <v>525</v>
      </c>
    </row>
    <row r="759" spans="1:8" ht="40.15" customHeight="1" outlineLevel="1" x14ac:dyDescent="0.25">
      <c r="A759" s="480"/>
      <c r="B759" s="227" t="s">
        <v>452</v>
      </c>
      <c r="C759" s="102" t="s">
        <v>449</v>
      </c>
      <c r="D759" s="181">
        <v>0.15</v>
      </c>
      <c r="E759" s="215">
        <v>766</v>
      </c>
      <c r="F759" s="228">
        <v>529</v>
      </c>
      <c r="G759" s="181">
        <f t="shared" si="30"/>
        <v>0.69060052219321144</v>
      </c>
      <c r="H759" s="195" t="s">
        <v>530</v>
      </c>
    </row>
    <row r="760" spans="1:8" ht="40.15" customHeight="1" outlineLevel="1" x14ac:dyDescent="0.25">
      <c r="A760" s="480"/>
      <c r="B760" s="227" t="s">
        <v>453</v>
      </c>
      <c r="C760" s="102" t="s">
        <v>449</v>
      </c>
      <c r="D760" s="181">
        <v>0.15</v>
      </c>
      <c r="E760" s="197">
        <v>1</v>
      </c>
      <c r="F760" s="197">
        <v>1.67</v>
      </c>
      <c r="G760" s="181">
        <f t="shared" si="30"/>
        <v>1.67</v>
      </c>
      <c r="H760" s="213" t="s">
        <v>526</v>
      </c>
    </row>
    <row r="761" spans="1:8" ht="40.15" customHeight="1" outlineLevel="1" x14ac:dyDescent="0.25">
      <c r="A761" s="480"/>
      <c r="B761" s="227" t="s">
        <v>454</v>
      </c>
      <c r="C761" s="102" t="s">
        <v>449</v>
      </c>
      <c r="D761" s="181">
        <v>0.15</v>
      </c>
      <c r="E761" s="197">
        <v>4707</v>
      </c>
      <c r="F761" s="197">
        <v>3972</v>
      </c>
      <c r="G761" s="181">
        <f t="shared" si="30"/>
        <v>0.84384958572339075</v>
      </c>
      <c r="H761" s="213" t="s">
        <v>527</v>
      </c>
    </row>
    <row r="762" spans="1:8" ht="40.15" customHeight="1" outlineLevel="1" x14ac:dyDescent="0.25">
      <c r="A762" s="481"/>
      <c r="B762" s="227" t="s">
        <v>455</v>
      </c>
      <c r="C762" s="102" t="s">
        <v>449</v>
      </c>
      <c r="D762" s="181">
        <v>0.1</v>
      </c>
      <c r="E762" s="200">
        <v>1</v>
      </c>
      <c r="F762" s="200">
        <v>1</v>
      </c>
      <c r="G762" s="181">
        <f t="shared" si="30"/>
        <v>1</v>
      </c>
      <c r="H762" s="213" t="s">
        <v>528</v>
      </c>
    </row>
    <row r="763" spans="1:8" ht="40.15" customHeight="1" outlineLevel="1" x14ac:dyDescent="0.25">
      <c r="A763" s="479" t="s">
        <v>130</v>
      </c>
      <c r="B763" s="233" t="s">
        <v>448</v>
      </c>
      <c r="C763" s="102" t="s">
        <v>449</v>
      </c>
      <c r="D763" s="181">
        <v>0.15</v>
      </c>
      <c r="E763" s="234">
        <v>20</v>
      </c>
      <c r="F763" s="234">
        <v>20</v>
      </c>
      <c r="G763" s="181">
        <f>F763/E763</f>
        <v>1</v>
      </c>
      <c r="H763" s="245" t="s">
        <v>543</v>
      </c>
    </row>
    <row r="764" spans="1:8" ht="40.15" customHeight="1" outlineLevel="1" x14ac:dyDescent="0.25">
      <c r="A764" s="480"/>
      <c r="B764" s="233" t="s">
        <v>450</v>
      </c>
      <c r="C764" s="102" t="s">
        <v>449</v>
      </c>
      <c r="D764" s="181">
        <v>0.15</v>
      </c>
      <c r="E764" s="214">
        <v>8</v>
      </c>
      <c r="F764" s="197">
        <v>5.65</v>
      </c>
      <c r="G764" s="181">
        <f t="shared" ref="G764:G783" si="31">F764/E764</f>
        <v>0.70625000000000004</v>
      </c>
      <c r="H764" s="245" t="s">
        <v>541</v>
      </c>
    </row>
    <row r="765" spans="1:8" ht="40.15" customHeight="1" outlineLevel="1" x14ac:dyDescent="0.25">
      <c r="A765" s="480"/>
      <c r="B765" s="233" t="s">
        <v>451</v>
      </c>
      <c r="C765" s="102" t="s">
        <v>449</v>
      </c>
      <c r="D765" s="181">
        <v>0.15</v>
      </c>
      <c r="E765" s="214">
        <v>2</v>
      </c>
      <c r="F765" s="197">
        <v>1.56</v>
      </c>
      <c r="G765" s="181">
        <f t="shared" si="31"/>
        <v>0.78</v>
      </c>
      <c r="H765" s="245" t="s">
        <v>542</v>
      </c>
    </row>
    <row r="766" spans="1:8" ht="40.15" customHeight="1" outlineLevel="1" x14ac:dyDescent="0.25">
      <c r="A766" s="480"/>
      <c r="B766" s="233" t="s">
        <v>452</v>
      </c>
      <c r="C766" s="102" t="s">
        <v>449</v>
      </c>
      <c r="D766" s="181">
        <v>0.15</v>
      </c>
      <c r="E766" s="215">
        <v>766</v>
      </c>
      <c r="F766" s="234">
        <v>622</v>
      </c>
      <c r="G766" s="181">
        <f t="shared" si="31"/>
        <v>0.81201044386422971</v>
      </c>
      <c r="H766" s="245" t="s">
        <v>539</v>
      </c>
    </row>
    <row r="767" spans="1:8" ht="40.15" customHeight="1" outlineLevel="1" x14ac:dyDescent="0.25">
      <c r="A767" s="480"/>
      <c r="B767" s="233" t="s">
        <v>453</v>
      </c>
      <c r="C767" s="102" t="s">
        <v>449</v>
      </c>
      <c r="D767" s="181">
        <v>0.15</v>
      </c>
      <c r="E767" s="197">
        <v>1</v>
      </c>
      <c r="F767" s="197">
        <v>1</v>
      </c>
      <c r="G767" s="181">
        <f t="shared" si="31"/>
        <v>1</v>
      </c>
      <c r="H767" s="245" t="s">
        <v>540</v>
      </c>
    </row>
    <row r="768" spans="1:8" ht="40.15" customHeight="1" outlineLevel="1" x14ac:dyDescent="0.25">
      <c r="A768" s="480"/>
      <c r="B768" s="233" t="s">
        <v>454</v>
      </c>
      <c r="C768" s="102" t="s">
        <v>449</v>
      </c>
      <c r="D768" s="181">
        <v>0.15</v>
      </c>
      <c r="E768" s="197">
        <v>4707</v>
      </c>
      <c r="F768" s="197">
        <v>3972</v>
      </c>
      <c r="G768" s="181">
        <f t="shared" si="31"/>
        <v>0.84384958572339075</v>
      </c>
      <c r="H768" s="245" t="s">
        <v>538</v>
      </c>
    </row>
    <row r="769" spans="1:8" ht="40.15" customHeight="1" outlineLevel="1" x14ac:dyDescent="0.25">
      <c r="A769" s="481"/>
      <c r="B769" s="233" t="s">
        <v>455</v>
      </c>
      <c r="C769" s="102" t="s">
        <v>449</v>
      </c>
      <c r="D769" s="181">
        <v>0.1</v>
      </c>
      <c r="E769" s="200">
        <v>1</v>
      </c>
      <c r="F769" s="200">
        <v>1</v>
      </c>
      <c r="G769" s="181">
        <f t="shared" si="31"/>
        <v>1</v>
      </c>
      <c r="H769" s="245" t="s">
        <v>544</v>
      </c>
    </row>
    <row r="770" spans="1:8" ht="49.9" customHeight="1" outlineLevel="1" x14ac:dyDescent="0.25">
      <c r="A770" s="479" t="s">
        <v>131</v>
      </c>
      <c r="B770" s="247" t="s">
        <v>448</v>
      </c>
      <c r="C770" s="102" t="s">
        <v>449</v>
      </c>
      <c r="D770" s="181">
        <v>0.15</v>
      </c>
      <c r="E770" s="248">
        <v>20</v>
      </c>
      <c r="F770" s="248">
        <v>20</v>
      </c>
      <c r="G770" s="181">
        <f>F770/E770</f>
        <v>1</v>
      </c>
      <c r="H770" s="245" t="s">
        <v>570</v>
      </c>
    </row>
    <row r="771" spans="1:8" ht="49.9" customHeight="1" outlineLevel="1" x14ac:dyDescent="0.25">
      <c r="A771" s="480"/>
      <c r="B771" s="247" t="s">
        <v>450</v>
      </c>
      <c r="C771" s="102" t="s">
        <v>449</v>
      </c>
      <c r="D771" s="181">
        <v>0.15</v>
      </c>
      <c r="E771" s="214">
        <v>8</v>
      </c>
      <c r="F771" s="197">
        <v>6.5</v>
      </c>
      <c r="G771" s="181">
        <f t="shared" si="31"/>
        <v>0.8125</v>
      </c>
      <c r="H771" s="245" t="s">
        <v>554</v>
      </c>
    </row>
    <row r="772" spans="1:8" ht="49.9" customHeight="1" outlineLevel="1" x14ac:dyDescent="0.25">
      <c r="A772" s="480"/>
      <c r="B772" s="247" t="s">
        <v>451</v>
      </c>
      <c r="C772" s="102" t="s">
        <v>449</v>
      </c>
      <c r="D772" s="181">
        <v>0.15</v>
      </c>
      <c r="E772" s="214">
        <v>2</v>
      </c>
      <c r="F772" s="197">
        <v>1.77</v>
      </c>
      <c r="G772" s="181">
        <f>F772/E772</f>
        <v>0.88500000000000001</v>
      </c>
      <c r="H772" s="245" t="s">
        <v>555</v>
      </c>
    </row>
    <row r="773" spans="1:8" ht="49.9" customHeight="1" outlineLevel="1" x14ac:dyDescent="0.25">
      <c r="A773" s="480"/>
      <c r="B773" s="247" t="s">
        <v>452</v>
      </c>
      <c r="C773" s="102" t="s">
        <v>449</v>
      </c>
      <c r="D773" s="181">
        <v>0.15</v>
      </c>
      <c r="E773" s="215">
        <v>766</v>
      </c>
      <c r="F773" s="248">
        <v>691</v>
      </c>
      <c r="G773" s="181">
        <f t="shared" si="31"/>
        <v>0.90208877284595301</v>
      </c>
      <c r="H773" s="245" t="s">
        <v>556</v>
      </c>
    </row>
    <row r="774" spans="1:8" ht="49.9" customHeight="1" outlineLevel="1" x14ac:dyDescent="0.25">
      <c r="A774" s="480"/>
      <c r="B774" s="247" t="s">
        <v>453</v>
      </c>
      <c r="C774" s="102" t="s">
        <v>449</v>
      </c>
      <c r="D774" s="181">
        <v>0.15</v>
      </c>
      <c r="E774" s="197">
        <v>1</v>
      </c>
      <c r="F774" s="197">
        <v>1</v>
      </c>
      <c r="G774" s="181">
        <f t="shared" si="31"/>
        <v>1</v>
      </c>
      <c r="H774" s="252" t="s">
        <v>546</v>
      </c>
    </row>
    <row r="775" spans="1:8" ht="49.9" customHeight="1" outlineLevel="1" x14ac:dyDescent="0.25">
      <c r="A775" s="480"/>
      <c r="B775" s="247" t="s">
        <v>454</v>
      </c>
      <c r="C775" s="102" t="s">
        <v>449</v>
      </c>
      <c r="D775" s="181">
        <v>0.15</v>
      </c>
      <c r="E775" s="197">
        <v>4707</v>
      </c>
      <c r="F775" s="197">
        <v>4841</v>
      </c>
      <c r="G775" s="181">
        <f t="shared" si="31"/>
        <v>1.0284682387932866</v>
      </c>
      <c r="H775" s="252" t="s">
        <v>552</v>
      </c>
    </row>
    <row r="776" spans="1:8" ht="49.9" customHeight="1" outlineLevel="1" x14ac:dyDescent="0.25">
      <c r="A776" s="481"/>
      <c r="B776" s="247" t="s">
        <v>455</v>
      </c>
      <c r="C776" s="102" t="s">
        <v>449</v>
      </c>
      <c r="D776" s="181">
        <v>0.1</v>
      </c>
      <c r="E776" s="200">
        <v>1</v>
      </c>
      <c r="F776" s="200">
        <v>1</v>
      </c>
      <c r="G776" s="181">
        <f t="shared" si="31"/>
        <v>1</v>
      </c>
      <c r="H776" s="245" t="s">
        <v>544</v>
      </c>
    </row>
    <row r="777" spans="1:8" ht="49.9" customHeight="1" outlineLevel="1" x14ac:dyDescent="0.25">
      <c r="A777" s="516" t="s">
        <v>132</v>
      </c>
      <c r="B777" s="253" t="s">
        <v>448</v>
      </c>
      <c r="C777" s="102" t="s">
        <v>449</v>
      </c>
      <c r="D777" s="181">
        <v>0.15</v>
      </c>
      <c r="E777" s="254">
        <v>20</v>
      </c>
      <c r="F777" s="254">
        <v>20</v>
      </c>
      <c r="G777" s="181">
        <f>F777/E777</f>
        <v>1</v>
      </c>
      <c r="H777" s="245" t="s">
        <v>567</v>
      </c>
    </row>
    <row r="778" spans="1:8" ht="49.9" customHeight="1" outlineLevel="1" x14ac:dyDescent="0.25">
      <c r="A778" s="517"/>
      <c r="B778" s="253" t="s">
        <v>450</v>
      </c>
      <c r="C778" s="102" t="s">
        <v>449</v>
      </c>
      <c r="D778" s="181">
        <v>0.15</v>
      </c>
      <c r="E778" s="214">
        <v>8</v>
      </c>
      <c r="F778" s="197">
        <v>7.1</v>
      </c>
      <c r="G778" s="181">
        <f t="shared" si="31"/>
        <v>0.88749999999999996</v>
      </c>
      <c r="H778" s="245" t="s">
        <v>564</v>
      </c>
    </row>
    <row r="779" spans="1:8" ht="49.9" customHeight="1" outlineLevel="1" x14ac:dyDescent="0.25">
      <c r="A779" s="517"/>
      <c r="B779" s="253" t="s">
        <v>451</v>
      </c>
      <c r="C779" s="102" t="s">
        <v>449</v>
      </c>
      <c r="D779" s="181">
        <v>0.15</v>
      </c>
      <c r="E779" s="214">
        <v>2</v>
      </c>
      <c r="F779" s="197">
        <v>1.94</v>
      </c>
      <c r="G779" s="181">
        <f>F779/E779</f>
        <v>0.97</v>
      </c>
      <c r="H779" s="245" t="s">
        <v>569</v>
      </c>
    </row>
    <row r="780" spans="1:8" ht="49.9" customHeight="1" outlineLevel="1" x14ac:dyDescent="0.25">
      <c r="A780" s="517"/>
      <c r="B780" s="253" t="s">
        <v>452</v>
      </c>
      <c r="C780" s="102" t="s">
        <v>449</v>
      </c>
      <c r="D780" s="181">
        <v>0.15</v>
      </c>
      <c r="E780" s="215">
        <v>766</v>
      </c>
      <c r="F780" s="254">
        <v>756</v>
      </c>
      <c r="G780" s="181">
        <f t="shared" si="31"/>
        <v>0.98694516971279378</v>
      </c>
      <c r="H780" s="245" t="s">
        <v>571</v>
      </c>
    </row>
    <row r="781" spans="1:8" ht="49.9" customHeight="1" outlineLevel="1" x14ac:dyDescent="0.25">
      <c r="A781" s="517"/>
      <c r="B781" s="253" t="s">
        <v>453</v>
      </c>
      <c r="C781" s="102" t="s">
        <v>449</v>
      </c>
      <c r="D781" s="181">
        <v>0.15</v>
      </c>
      <c r="E781" s="197">
        <v>1</v>
      </c>
      <c r="F781" s="197">
        <v>1</v>
      </c>
      <c r="G781" s="181">
        <f t="shared" si="31"/>
        <v>1</v>
      </c>
      <c r="H781" s="245" t="s">
        <v>565</v>
      </c>
    </row>
    <row r="782" spans="1:8" ht="49.9" customHeight="1" outlineLevel="1" x14ac:dyDescent="0.25">
      <c r="A782" s="517"/>
      <c r="B782" s="253" t="s">
        <v>454</v>
      </c>
      <c r="C782" s="102" t="s">
        <v>449</v>
      </c>
      <c r="D782" s="181">
        <v>0.15</v>
      </c>
      <c r="E782" s="197">
        <v>4707</v>
      </c>
      <c r="F782" s="197">
        <v>4898</v>
      </c>
      <c r="G782" s="181">
        <f t="shared" si="31"/>
        <v>1.040577862757595</v>
      </c>
      <c r="H782" s="245" t="s">
        <v>568</v>
      </c>
    </row>
    <row r="783" spans="1:8" ht="49.9" customHeight="1" outlineLevel="1" x14ac:dyDescent="0.25">
      <c r="A783" s="518"/>
      <c r="B783" s="253" t="s">
        <v>455</v>
      </c>
      <c r="C783" s="102" t="s">
        <v>449</v>
      </c>
      <c r="D783" s="181">
        <v>0.1</v>
      </c>
      <c r="E783" s="200">
        <v>1</v>
      </c>
      <c r="F783" s="200">
        <v>1</v>
      </c>
      <c r="G783" s="181">
        <f t="shared" si="31"/>
        <v>1</v>
      </c>
      <c r="H783" s="245" t="s">
        <v>566</v>
      </c>
    </row>
    <row r="784" spans="1:8" outlineLevel="1" x14ac:dyDescent="0.25">
      <c r="A784" s="43" t="s">
        <v>133</v>
      </c>
      <c r="B784" s="540"/>
      <c r="C784" s="540"/>
      <c r="D784" s="540"/>
      <c r="E784" s="540"/>
      <c r="F784" s="540"/>
      <c r="G784" s="540" t="e">
        <f t="shared" si="27"/>
        <v>#DIV/0!</v>
      </c>
      <c r="H784" s="540"/>
    </row>
    <row r="786" spans="1:8" ht="20.25" x14ac:dyDescent="0.3">
      <c r="A786" s="483" t="s">
        <v>186</v>
      </c>
      <c r="B786" s="484"/>
      <c r="C786" s="484"/>
      <c r="D786" s="484"/>
      <c r="E786" s="484"/>
      <c r="F786" s="484"/>
      <c r="G786" s="484"/>
      <c r="H786" s="485"/>
    </row>
    <row r="787" spans="1:8" ht="54.75" customHeight="1" x14ac:dyDescent="0.25">
      <c r="A787" s="175" t="s">
        <v>61</v>
      </c>
      <c r="B787" s="42" t="s">
        <v>182</v>
      </c>
      <c r="C787" s="46" t="s">
        <v>148</v>
      </c>
      <c r="D787" s="46" t="s">
        <v>159</v>
      </c>
      <c r="E787" s="46" t="s">
        <v>187</v>
      </c>
      <c r="F787" s="46" t="s">
        <v>188</v>
      </c>
      <c r="G787" s="46" t="s">
        <v>189</v>
      </c>
      <c r="H787" s="42" t="s">
        <v>171</v>
      </c>
    </row>
    <row r="788" spans="1:8" ht="49.9" customHeight="1" x14ac:dyDescent="0.25">
      <c r="A788" s="479" t="s">
        <v>135</v>
      </c>
      <c r="B788" s="276" t="s">
        <v>448</v>
      </c>
      <c r="C788" s="102" t="s">
        <v>449</v>
      </c>
      <c r="D788" s="181">
        <v>0.15</v>
      </c>
      <c r="E788" s="279">
        <v>20</v>
      </c>
      <c r="F788" s="279">
        <v>20</v>
      </c>
      <c r="G788" s="181">
        <f>F788/E788</f>
        <v>1</v>
      </c>
      <c r="H788" s="290" t="s">
        <v>580</v>
      </c>
    </row>
    <row r="789" spans="1:8" ht="49.9" customHeight="1" x14ac:dyDescent="0.25">
      <c r="A789" s="480"/>
      <c r="B789" s="276" t="s">
        <v>450</v>
      </c>
      <c r="C789" s="102" t="s">
        <v>449</v>
      </c>
      <c r="D789" s="181">
        <v>0.15</v>
      </c>
      <c r="E789" s="214">
        <v>6</v>
      </c>
      <c r="F789" s="197">
        <v>0</v>
      </c>
      <c r="G789" s="181">
        <f t="shared" ref="G789:G794" si="32">F789/E789</f>
        <v>0</v>
      </c>
      <c r="H789" s="290" t="s">
        <v>596</v>
      </c>
    </row>
    <row r="790" spans="1:8" ht="49.9" customHeight="1" x14ac:dyDescent="0.25">
      <c r="A790" s="480"/>
      <c r="B790" s="276" t="s">
        <v>451</v>
      </c>
      <c r="C790" s="102" t="s">
        <v>449</v>
      </c>
      <c r="D790" s="181">
        <v>0.15</v>
      </c>
      <c r="E790" s="214">
        <v>2</v>
      </c>
      <c r="F790" s="197">
        <v>0</v>
      </c>
      <c r="G790" s="181">
        <f t="shared" si="32"/>
        <v>0</v>
      </c>
      <c r="H790" s="290" t="s">
        <v>597</v>
      </c>
    </row>
    <row r="791" spans="1:8" ht="49.9" customHeight="1" x14ac:dyDescent="0.25">
      <c r="A791" s="480"/>
      <c r="B791" s="276" t="s">
        <v>452</v>
      </c>
      <c r="C791" s="102" t="s">
        <v>449</v>
      </c>
      <c r="D791" s="181">
        <v>0.15</v>
      </c>
      <c r="E791" s="277">
        <v>1072</v>
      </c>
      <c r="F791" s="279">
        <v>11</v>
      </c>
      <c r="G791" s="181">
        <f t="shared" si="32"/>
        <v>1.0261194029850746E-2</v>
      </c>
      <c r="H791" s="290" t="s">
        <v>588</v>
      </c>
    </row>
    <row r="792" spans="1:8" ht="49.9" customHeight="1" x14ac:dyDescent="0.25">
      <c r="A792" s="480"/>
      <c r="B792" s="276" t="s">
        <v>453</v>
      </c>
      <c r="C792" s="102" t="s">
        <v>449</v>
      </c>
      <c r="D792" s="181">
        <v>0.15</v>
      </c>
      <c r="E792" s="197">
        <v>1</v>
      </c>
      <c r="F792" s="197">
        <v>1</v>
      </c>
      <c r="G792" s="181">
        <f t="shared" si="32"/>
        <v>1</v>
      </c>
      <c r="H792" s="290" t="s">
        <v>601</v>
      </c>
    </row>
    <row r="793" spans="1:8" ht="49.9" customHeight="1" x14ac:dyDescent="0.25">
      <c r="A793" s="480"/>
      <c r="B793" s="276" t="s">
        <v>454</v>
      </c>
      <c r="C793" s="102" t="s">
        <v>449</v>
      </c>
      <c r="D793" s="181">
        <v>0.15</v>
      </c>
      <c r="E793" s="197">
        <v>1097</v>
      </c>
      <c r="F793" s="197">
        <v>0</v>
      </c>
      <c r="G793" s="181">
        <f t="shared" si="32"/>
        <v>0</v>
      </c>
      <c r="H793" s="290" t="s">
        <v>598</v>
      </c>
    </row>
    <row r="794" spans="1:8" ht="49.9" customHeight="1" x14ac:dyDescent="0.25">
      <c r="A794" s="481"/>
      <c r="B794" s="276" t="s">
        <v>455</v>
      </c>
      <c r="C794" s="102" t="s">
        <v>449</v>
      </c>
      <c r="D794" s="181">
        <v>0.1</v>
      </c>
      <c r="E794" s="200">
        <v>1</v>
      </c>
      <c r="F794" s="200">
        <v>1</v>
      </c>
      <c r="G794" s="181">
        <f t="shared" si="32"/>
        <v>1</v>
      </c>
      <c r="H794" s="290" t="s">
        <v>599</v>
      </c>
    </row>
    <row r="795" spans="1:8" ht="49.9" customHeight="1" x14ac:dyDescent="0.25">
      <c r="A795" s="479" t="s">
        <v>136</v>
      </c>
      <c r="B795" s="294" t="s">
        <v>448</v>
      </c>
      <c r="C795" s="102" t="s">
        <v>449</v>
      </c>
      <c r="D795" s="181">
        <v>0.15</v>
      </c>
      <c r="E795" s="297">
        <v>20</v>
      </c>
      <c r="F795" s="312">
        <v>20</v>
      </c>
      <c r="G795" s="319">
        <f>F795/E795</f>
        <v>1</v>
      </c>
      <c r="H795" s="252" t="s">
        <v>609</v>
      </c>
    </row>
    <row r="796" spans="1:8" ht="49.9" customHeight="1" x14ac:dyDescent="0.25">
      <c r="A796" s="480"/>
      <c r="B796" s="294" t="s">
        <v>450</v>
      </c>
      <c r="C796" s="102" t="s">
        <v>449</v>
      </c>
      <c r="D796" s="181">
        <v>0.15</v>
      </c>
      <c r="E796" s="214">
        <v>6</v>
      </c>
      <c r="F796" s="214">
        <v>0.45</v>
      </c>
      <c r="G796" s="319">
        <f t="shared" ref="G796:G801" si="33">F796/E796</f>
        <v>7.4999999999999997E-2</v>
      </c>
      <c r="H796" s="252" t="s">
        <v>604</v>
      </c>
    </row>
    <row r="797" spans="1:8" ht="49.9" customHeight="1" x14ac:dyDescent="0.25">
      <c r="A797" s="480"/>
      <c r="B797" s="294" t="s">
        <v>451</v>
      </c>
      <c r="C797" s="102" t="s">
        <v>449</v>
      </c>
      <c r="D797" s="181">
        <v>0.15</v>
      </c>
      <c r="E797" s="214">
        <v>2</v>
      </c>
      <c r="F797" s="214">
        <v>0.34</v>
      </c>
      <c r="G797" s="319">
        <f t="shared" si="33"/>
        <v>0.17</v>
      </c>
      <c r="H797" s="252" t="s">
        <v>605</v>
      </c>
    </row>
    <row r="798" spans="1:8" ht="49.9" customHeight="1" x14ac:dyDescent="0.25">
      <c r="A798" s="480"/>
      <c r="B798" s="294" t="s">
        <v>452</v>
      </c>
      <c r="C798" s="102" t="s">
        <v>449</v>
      </c>
      <c r="D798" s="181">
        <v>0.15</v>
      </c>
      <c r="E798" s="295">
        <v>1072</v>
      </c>
      <c r="F798" s="312">
        <v>110</v>
      </c>
      <c r="G798" s="319">
        <f t="shared" si="33"/>
        <v>0.10261194029850747</v>
      </c>
      <c r="H798" s="252" t="s">
        <v>610</v>
      </c>
    </row>
    <row r="799" spans="1:8" ht="49.9" customHeight="1" x14ac:dyDescent="0.25">
      <c r="A799" s="480"/>
      <c r="B799" s="294" t="s">
        <v>453</v>
      </c>
      <c r="C799" s="102" t="s">
        <v>449</v>
      </c>
      <c r="D799" s="181">
        <v>0.15</v>
      </c>
      <c r="E799" s="197">
        <v>1</v>
      </c>
      <c r="F799" s="214">
        <v>1</v>
      </c>
      <c r="G799" s="319">
        <f t="shared" si="33"/>
        <v>1</v>
      </c>
      <c r="H799" s="252" t="s">
        <v>607</v>
      </c>
    </row>
    <row r="800" spans="1:8" ht="49.9" customHeight="1" x14ac:dyDescent="0.25">
      <c r="A800" s="480"/>
      <c r="B800" s="294" t="s">
        <v>454</v>
      </c>
      <c r="C800" s="102" t="s">
        <v>449</v>
      </c>
      <c r="D800" s="181">
        <v>0.15</v>
      </c>
      <c r="E800" s="197">
        <v>1097</v>
      </c>
      <c r="F800" s="214">
        <v>32</v>
      </c>
      <c r="G800" s="319">
        <f t="shared" si="33"/>
        <v>2.9170464904284411E-2</v>
      </c>
      <c r="H800" s="252" t="s">
        <v>603</v>
      </c>
    </row>
    <row r="801" spans="1:8" ht="49.9" customHeight="1" x14ac:dyDescent="0.25">
      <c r="A801" s="481"/>
      <c r="B801" s="294" t="s">
        <v>455</v>
      </c>
      <c r="C801" s="102" t="s">
        <v>449</v>
      </c>
      <c r="D801" s="181">
        <v>0.1</v>
      </c>
      <c r="E801" s="200">
        <v>1</v>
      </c>
      <c r="F801" s="144">
        <v>1</v>
      </c>
      <c r="G801" s="319">
        <f t="shared" si="33"/>
        <v>1</v>
      </c>
      <c r="H801" s="252" t="s">
        <v>608</v>
      </c>
    </row>
    <row r="802" spans="1:8" ht="49.9" customHeight="1" x14ac:dyDescent="0.25">
      <c r="A802" s="479" t="s">
        <v>137</v>
      </c>
      <c r="B802" s="313" t="s">
        <v>448</v>
      </c>
      <c r="C802" s="102" t="s">
        <v>449</v>
      </c>
      <c r="D802" s="181">
        <v>0.15</v>
      </c>
      <c r="E802" s="316">
        <v>20</v>
      </c>
      <c r="F802" s="312">
        <v>20</v>
      </c>
      <c r="G802" s="181">
        <f>F802/E802</f>
        <v>1</v>
      </c>
      <c r="H802" s="252" t="s">
        <v>613</v>
      </c>
    </row>
    <row r="803" spans="1:8" ht="49.9" customHeight="1" x14ac:dyDescent="0.25">
      <c r="A803" s="480"/>
      <c r="B803" s="313" t="s">
        <v>450</v>
      </c>
      <c r="C803" s="102" t="s">
        <v>449</v>
      </c>
      <c r="D803" s="181">
        <v>0.15</v>
      </c>
      <c r="E803" s="214">
        <v>6</v>
      </c>
      <c r="F803" s="214">
        <v>1</v>
      </c>
      <c r="G803" s="181">
        <f t="shared" ref="G803:G808" si="34">F803/E803</f>
        <v>0.16666666666666666</v>
      </c>
      <c r="H803" s="252" t="s">
        <v>619</v>
      </c>
    </row>
    <row r="804" spans="1:8" ht="49.9" customHeight="1" x14ac:dyDescent="0.25">
      <c r="A804" s="480"/>
      <c r="B804" s="313" t="s">
        <v>451</v>
      </c>
      <c r="C804" s="102" t="s">
        <v>449</v>
      </c>
      <c r="D804" s="181">
        <v>0.15</v>
      </c>
      <c r="E804" s="214">
        <v>2</v>
      </c>
      <c r="F804" s="214">
        <v>0.5</v>
      </c>
      <c r="G804" s="181">
        <f t="shared" si="34"/>
        <v>0.25</v>
      </c>
      <c r="H804" s="252" t="s">
        <v>623</v>
      </c>
    </row>
    <row r="805" spans="1:8" ht="49.9" customHeight="1" x14ac:dyDescent="0.25">
      <c r="A805" s="480"/>
      <c r="B805" s="313" t="s">
        <v>452</v>
      </c>
      <c r="C805" s="102" t="s">
        <v>449</v>
      </c>
      <c r="D805" s="181">
        <v>0.15</v>
      </c>
      <c r="E805" s="312">
        <v>1072</v>
      </c>
      <c r="F805" s="312">
        <v>196</v>
      </c>
      <c r="G805" s="181">
        <f t="shared" si="34"/>
        <v>0.18283582089552239</v>
      </c>
      <c r="H805" s="252" t="s">
        <v>633</v>
      </c>
    </row>
    <row r="806" spans="1:8" ht="49.9" customHeight="1" x14ac:dyDescent="0.25">
      <c r="A806" s="480"/>
      <c r="B806" s="313" t="s">
        <v>453</v>
      </c>
      <c r="C806" s="102" t="s">
        <v>449</v>
      </c>
      <c r="D806" s="181">
        <v>0.15</v>
      </c>
      <c r="E806" s="197">
        <v>1</v>
      </c>
      <c r="F806" s="214">
        <v>1</v>
      </c>
      <c r="G806" s="181">
        <f t="shared" si="34"/>
        <v>1</v>
      </c>
      <c r="H806" s="252" t="s">
        <v>629</v>
      </c>
    </row>
    <row r="807" spans="1:8" ht="49.9" customHeight="1" x14ac:dyDescent="0.25">
      <c r="A807" s="480"/>
      <c r="B807" s="313" t="s">
        <v>454</v>
      </c>
      <c r="C807" s="102" t="s">
        <v>449</v>
      </c>
      <c r="D807" s="181">
        <v>0.15</v>
      </c>
      <c r="E807" s="197">
        <v>1097</v>
      </c>
      <c r="F807" s="214">
        <v>87</v>
      </c>
      <c r="G807" s="181">
        <f t="shared" si="34"/>
        <v>7.9307201458523241E-2</v>
      </c>
      <c r="H807" s="252" t="s">
        <v>636</v>
      </c>
    </row>
    <row r="808" spans="1:8" ht="49.9" customHeight="1" x14ac:dyDescent="0.25">
      <c r="A808" s="481"/>
      <c r="B808" s="313" t="s">
        <v>455</v>
      </c>
      <c r="C808" s="102" t="s">
        <v>449</v>
      </c>
      <c r="D808" s="181">
        <v>0.1</v>
      </c>
      <c r="E808" s="200">
        <v>1</v>
      </c>
      <c r="F808" s="144">
        <v>1</v>
      </c>
      <c r="G808" s="181">
        <f t="shared" si="34"/>
        <v>1</v>
      </c>
      <c r="H808" s="252" t="s">
        <v>640</v>
      </c>
    </row>
    <row r="809" spans="1:8" ht="16.5" customHeight="1" x14ac:dyDescent="0.25">
      <c r="A809" s="43"/>
      <c r="B809" s="43"/>
      <c r="C809" s="43"/>
      <c r="D809" s="43"/>
      <c r="E809" s="43"/>
      <c r="F809" s="43"/>
      <c r="G809" s="43"/>
      <c r="H809" s="43"/>
    </row>
    <row r="810" spans="1:8" ht="16.5" customHeight="1" x14ac:dyDescent="0.25">
      <c r="A810" s="43" t="s">
        <v>138</v>
      </c>
      <c r="B810" s="43"/>
      <c r="C810" s="43"/>
      <c r="D810" s="43"/>
      <c r="E810" s="43"/>
      <c r="F810" s="43"/>
      <c r="G810" s="43" t="e">
        <f t="shared" ref="G810:G818" si="35">F810/E810</f>
        <v>#DIV/0!</v>
      </c>
      <c r="H810" s="43"/>
    </row>
    <row r="811" spans="1:8" ht="16.5" customHeight="1" x14ac:dyDescent="0.25">
      <c r="A811" s="43" t="s">
        <v>139</v>
      </c>
      <c r="B811" s="43"/>
      <c r="C811" s="43"/>
      <c r="D811" s="43"/>
      <c r="E811" s="43"/>
      <c r="F811" s="43"/>
      <c r="G811" s="43" t="e">
        <f t="shared" si="35"/>
        <v>#DIV/0!</v>
      </c>
      <c r="H811" s="43"/>
    </row>
    <row r="812" spans="1:8" ht="16.5" customHeight="1" x14ac:dyDescent="0.25">
      <c r="A812" s="43" t="s">
        <v>140</v>
      </c>
      <c r="B812" s="43"/>
      <c r="C812" s="43"/>
      <c r="D812" s="43"/>
      <c r="E812" s="43"/>
      <c r="F812" s="43"/>
      <c r="G812" s="43" t="e">
        <f t="shared" si="35"/>
        <v>#DIV/0!</v>
      </c>
      <c r="H812" s="43"/>
    </row>
    <row r="813" spans="1:8" x14ac:dyDescent="0.25">
      <c r="A813" s="43" t="s">
        <v>128</v>
      </c>
      <c r="B813" s="43"/>
      <c r="C813" s="43"/>
      <c r="D813" s="43"/>
      <c r="E813" s="43"/>
      <c r="F813" s="43"/>
      <c r="G813" s="43" t="e">
        <f t="shared" si="35"/>
        <v>#DIV/0!</v>
      </c>
      <c r="H813" s="43"/>
    </row>
    <row r="814" spans="1:8" x14ac:dyDescent="0.25">
      <c r="A814" s="43" t="s">
        <v>129</v>
      </c>
      <c r="B814" s="43"/>
      <c r="C814" s="43"/>
      <c r="D814" s="43"/>
      <c r="E814" s="43"/>
      <c r="F814" s="43"/>
      <c r="G814" s="43" t="e">
        <f t="shared" si="35"/>
        <v>#DIV/0!</v>
      </c>
      <c r="H814" s="43"/>
    </row>
    <row r="815" spans="1:8" x14ac:dyDescent="0.25">
      <c r="A815" s="43" t="s">
        <v>130</v>
      </c>
      <c r="B815" s="43"/>
      <c r="C815" s="43"/>
      <c r="D815" s="43"/>
      <c r="E815" s="43"/>
      <c r="F815" s="43"/>
      <c r="G815" s="43" t="e">
        <f t="shared" si="35"/>
        <v>#DIV/0!</v>
      </c>
      <c r="H815" s="43"/>
    </row>
    <row r="816" spans="1:8" x14ac:dyDescent="0.25">
      <c r="A816" s="43" t="s">
        <v>131</v>
      </c>
      <c r="B816" s="43"/>
      <c r="C816" s="43"/>
      <c r="D816" s="43"/>
      <c r="E816" s="43"/>
      <c r="F816" s="43"/>
      <c r="G816" s="43" t="e">
        <f t="shared" si="35"/>
        <v>#DIV/0!</v>
      </c>
      <c r="H816" s="43"/>
    </row>
    <row r="817" spans="1:8" x14ac:dyDescent="0.25">
      <c r="A817" s="43" t="s">
        <v>132</v>
      </c>
      <c r="B817" s="43"/>
      <c r="C817" s="43"/>
      <c r="D817" s="43"/>
      <c r="E817" s="43"/>
      <c r="F817" s="43"/>
      <c r="G817" s="43" t="e">
        <f t="shared" si="35"/>
        <v>#DIV/0!</v>
      </c>
      <c r="H817" s="43"/>
    </row>
    <row r="818" spans="1:8" x14ac:dyDescent="0.25">
      <c r="A818" s="43" t="s">
        <v>133</v>
      </c>
      <c r="B818" s="43"/>
      <c r="C818" s="43"/>
      <c r="D818" s="43"/>
      <c r="E818" s="43"/>
      <c r="F818" s="43"/>
      <c r="G818" s="43" t="e">
        <f t="shared" si="35"/>
        <v>#DIV/0!</v>
      </c>
      <c r="H818" s="43"/>
    </row>
    <row r="820" spans="1:8" ht="20.25" hidden="1" x14ac:dyDescent="0.3">
      <c r="A820" s="483" t="s">
        <v>190</v>
      </c>
      <c r="B820" s="484"/>
      <c r="C820" s="484"/>
      <c r="D820" s="484"/>
      <c r="E820" s="484"/>
      <c r="F820" s="484"/>
      <c r="G820" s="484"/>
      <c r="H820" s="485"/>
    </row>
    <row r="821" spans="1:8" ht="52.5" hidden="1" customHeight="1" x14ac:dyDescent="0.25">
      <c r="A821" s="175" t="s">
        <v>62</v>
      </c>
      <c r="B821" s="42" t="s">
        <v>182</v>
      </c>
      <c r="C821" s="46" t="s">
        <v>148</v>
      </c>
      <c r="D821" s="46" t="s">
        <v>162</v>
      </c>
      <c r="E821" s="46" t="s">
        <v>191</v>
      </c>
      <c r="F821" s="46" t="s">
        <v>192</v>
      </c>
      <c r="G821" s="46" t="s">
        <v>193</v>
      </c>
      <c r="H821" s="42" t="s">
        <v>171</v>
      </c>
    </row>
    <row r="822" spans="1:8" ht="16.5" hidden="1" customHeight="1" x14ac:dyDescent="0.25">
      <c r="A822" s="43" t="s">
        <v>135</v>
      </c>
      <c r="B822" s="43"/>
      <c r="C822" s="43"/>
      <c r="D822" s="43"/>
      <c r="E822" s="43"/>
      <c r="F822" s="43"/>
      <c r="G822" s="43" t="e">
        <f>F822/E822</f>
        <v>#DIV/0!</v>
      </c>
      <c r="H822" s="43"/>
    </row>
    <row r="823" spans="1:8" ht="16.5" hidden="1" customHeight="1" x14ac:dyDescent="0.25">
      <c r="A823" s="43" t="s">
        <v>136</v>
      </c>
      <c r="B823" s="43"/>
      <c r="C823" s="43"/>
      <c r="D823" s="43"/>
      <c r="E823" s="43"/>
      <c r="F823" s="43"/>
      <c r="G823" s="43" t="e">
        <f t="shared" ref="G823:G833" si="36">F823/E823</f>
        <v>#DIV/0!</v>
      </c>
      <c r="H823" s="43"/>
    </row>
    <row r="824" spans="1:8" ht="16.5" hidden="1" customHeight="1" x14ac:dyDescent="0.25">
      <c r="A824" s="43" t="s">
        <v>137</v>
      </c>
      <c r="B824" s="43"/>
      <c r="C824" s="43"/>
      <c r="D824" s="43"/>
      <c r="E824" s="43"/>
      <c r="F824" s="43"/>
      <c r="G824" s="43" t="e">
        <f t="shared" si="36"/>
        <v>#DIV/0!</v>
      </c>
      <c r="H824" s="43"/>
    </row>
    <row r="825" spans="1:8" ht="16.5" hidden="1" customHeight="1" x14ac:dyDescent="0.25">
      <c r="A825" s="43" t="s">
        <v>138</v>
      </c>
      <c r="B825" s="43"/>
      <c r="C825" s="43"/>
      <c r="D825" s="43"/>
      <c r="E825" s="43"/>
      <c r="F825" s="43"/>
      <c r="G825" s="43" t="e">
        <f t="shared" si="36"/>
        <v>#DIV/0!</v>
      </c>
      <c r="H825" s="43"/>
    </row>
    <row r="826" spans="1:8" ht="16.5" hidden="1" customHeight="1" x14ac:dyDescent="0.25">
      <c r="A826" s="43" t="s">
        <v>139</v>
      </c>
      <c r="B826" s="43"/>
      <c r="C826" s="43"/>
      <c r="D826" s="43"/>
      <c r="E826" s="43"/>
      <c r="F826" s="43"/>
      <c r="G826" s="43" t="e">
        <f t="shared" si="36"/>
        <v>#DIV/0!</v>
      </c>
      <c r="H826" s="43"/>
    </row>
    <row r="827" spans="1:8" ht="16.5" hidden="1" customHeight="1" x14ac:dyDescent="0.25">
      <c r="A827" s="43" t="s">
        <v>140</v>
      </c>
      <c r="B827" s="43"/>
      <c r="C827" s="43"/>
      <c r="D827" s="43"/>
      <c r="E827" s="43"/>
      <c r="F827" s="43"/>
      <c r="G827" s="43" t="e">
        <f t="shared" si="36"/>
        <v>#DIV/0!</v>
      </c>
      <c r="H827" s="43"/>
    </row>
    <row r="828" spans="1:8" hidden="1" x14ac:dyDescent="0.25">
      <c r="A828" s="43" t="s">
        <v>128</v>
      </c>
      <c r="B828" s="43"/>
      <c r="C828" s="43"/>
      <c r="D828" s="43"/>
      <c r="E828" s="43"/>
      <c r="F828" s="43"/>
      <c r="G828" s="43" t="e">
        <f t="shared" si="36"/>
        <v>#DIV/0!</v>
      </c>
      <c r="H828" s="43"/>
    </row>
    <row r="829" spans="1:8" hidden="1" x14ac:dyDescent="0.25">
      <c r="A829" s="43" t="s">
        <v>129</v>
      </c>
      <c r="B829" s="43"/>
      <c r="C829" s="43"/>
      <c r="D829" s="43"/>
      <c r="E829" s="43"/>
      <c r="F829" s="43"/>
      <c r="G829" s="43" t="e">
        <f t="shared" si="36"/>
        <v>#DIV/0!</v>
      </c>
      <c r="H829" s="43"/>
    </row>
    <row r="830" spans="1:8" hidden="1" x14ac:dyDescent="0.25">
      <c r="A830" s="43" t="s">
        <v>130</v>
      </c>
      <c r="B830" s="43"/>
      <c r="C830" s="43"/>
      <c r="D830" s="43"/>
      <c r="E830" s="43"/>
      <c r="F830" s="43"/>
      <c r="G830" s="43" t="e">
        <f t="shared" si="36"/>
        <v>#DIV/0!</v>
      </c>
      <c r="H830" s="43"/>
    </row>
    <row r="831" spans="1:8" hidden="1" x14ac:dyDescent="0.25">
      <c r="A831" s="43" t="s">
        <v>131</v>
      </c>
      <c r="B831" s="43"/>
      <c r="C831" s="43"/>
      <c r="D831" s="43"/>
      <c r="E831" s="43"/>
      <c r="F831" s="43"/>
      <c r="G831" s="43" t="e">
        <f t="shared" si="36"/>
        <v>#DIV/0!</v>
      </c>
      <c r="H831" s="43"/>
    </row>
    <row r="832" spans="1:8" hidden="1" x14ac:dyDescent="0.25">
      <c r="A832" s="43" t="s">
        <v>132</v>
      </c>
      <c r="B832" s="43"/>
      <c r="C832" s="43"/>
      <c r="D832" s="43"/>
      <c r="E832" s="43"/>
      <c r="F832" s="43"/>
      <c r="G832" s="43" t="e">
        <f t="shared" si="36"/>
        <v>#DIV/0!</v>
      </c>
      <c r="H832" s="43"/>
    </row>
    <row r="833" spans="1:8" hidden="1" x14ac:dyDescent="0.25">
      <c r="A833" s="43" t="s">
        <v>133</v>
      </c>
      <c r="B833" s="43"/>
      <c r="C833" s="43"/>
      <c r="D833" s="43"/>
      <c r="E833" s="43"/>
      <c r="F833" s="43"/>
      <c r="G833" s="43" t="e">
        <f t="shared" si="36"/>
        <v>#DIV/0!</v>
      </c>
      <c r="H833" s="43"/>
    </row>
    <row r="834" spans="1:8" hidden="1" x14ac:dyDescent="0.25"/>
    <row r="835" spans="1:8" ht="20.25" hidden="1" x14ac:dyDescent="0.3">
      <c r="A835" s="483" t="s">
        <v>194</v>
      </c>
      <c r="B835" s="484"/>
      <c r="C835" s="484"/>
      <c r="D835" s="484"/>
      <c r="E835" s="484"/>
      <c r="F835" s="484"/>
      <c r="G835" s="484"/>
      <c r="H835" s="485"/>
    </row>
    <row r="836" spans="1:8" ht="63.75" hidden="1" customHeight="1" x14ac:dyDescent="0.25">
      <c r="A836" s="175" t="s">
        <v>63</v>
      </c>
      <c r="B836" s="42" t="s">
        <v>182</v>
      </c>
      <c r="C836" s="46" t="s">
        <v>148</v>
      </c>
      <c r="D836" s="46" t="s">
        <v>165</v>
      </c>
      <c r="E836" s="46" t="s">
        <v>195</v>
      </c>
      <c r="F836" s="46" t="s">
        <v>196</v>
      </c>
      <c r="G836" s="46" t="s">
        <v>197</v>
      </c>
      <c r="H836" s="42" t="s">
        <v>171</v>
      </c>
    </row>
    <row r="837" spans="1:8" hidden="1" x14ac:dyDescent="0.25">
      <c r="A837" s="43" t="s">
        <v>135</v>
      </c>
      <c r="B837" s="43"/>
      <c r="C837" s="43"/>
      <c r="D837" s="43"/>
      <c r="E837" s="43"/>
      <c r="F837" s="43"/>
      <c r="G837" s="43" t="e">
        <f>F837/E837</f>
        <v>#DIV/0!</v>
      </c>
      <c r="H837" s="43"/>
    </row>
    <row r="838" spans="1:8" hidden="1" x14ac:dyDescent="0.25">
      <c r="A838" s="43" t="s">
        <v>136</v>
      </c>
      <c r="B838" s="43"/>
      <c r="C838" s="43"/>
      <c r="D838" s="43"/>
      <c r="E838" s="43"/>
      <c r="F838" s="43"/>
      <c r="G838" s="43" t="e">
        <f t="shared" ref="G838:G848" si="37">F838/E838</f>
        <v>#DIV/0!</v>
      </c>
      <c r="H838" s="43"/>
    </row>
    <row r="839" spans="1:8" hidden="1" x14ac:dyDescent="0.25">
      <c r="A839" s="43" t="s">
        <v>137</v>
      </c>
      <c r="B839" s="43"/>
      <c r="C839" s="43"/>
      <c r="D839" s="43"/>
      <c r="E839" s="43"/>
      <c r="F839" s="43"/>
      <c r="G839" s="43" t="e">
        <f t="shared" si="37"/>
        <v>#DIV/0!</v>
      </c>
      <c r="H839" s="43"/>
    </row>
    <row r="840" spans="1:8" hidden="1" x14ac:dyDescent="0.25">
      <c r="A840" s="43" t="s">
        <v>138</v>
      </c>
      <c r="B840" s="43"/>
      <c r="C840" s="43"/>
      <c r="D840" s="43"/>
      <c r="E840" s="43"/>
      <c r="F840" s="43"/>
      <c r="G840" s="43" t="e">
        <f t="shared" si="37"/>
        <v>#DIV/0!</v>
      </c>
      <c r="H840" s="43"/>
    </row>
    <row r="841" spans="1:8" hidden="1" x14ac:dyDescent="0.25">
      <c r="A841" s="43" t="s">
        <v>139</v>
      </c>
      <c r="B841" s="43"/>
      <c r="C841" s="43"/>
      <c r="D841" s="43"/>
      <c r="E841" s="43"/>
      <c r="F841" s="43"/>
      <c r="G841" s="43" t="e">
        <f t="shared" si="37"/>
        <v>#DIV/0!</v>
      </c>
      <c r="H841" s="43"/>
    </row>
    <row r="842" spans="1:8" hidden="1" x14ac:dyDescent="0.25">
      <c r="A842" s="43" t="s">
        <v>140</v>
      </c>
      <c r="B842" s="43"/>
      <c r="C842" s="43"/>
      <c r="D842" s="43"/>
      <c r="E842" s="43"/>
      <c r="F842" s="43"/>
      <c r="G842" s="43" t="e">
        <f t="shared" si="37"/>
        <v>#DIV/0!</v>
      </c>
      <c r="H842" s="43"/>
    </row>
    <row r="843" spans="1:8" hidden="1" x14ac:dyDescent="0.25">
      <c r="A843" s="43" t="s">
        <v>128</v>
      </c>
      <c r="B843" s="43"/>
      <c r="C843" s="43"/>
      <c r="D843" s="43"/>
      <c r="E843" s="43"/>
      <c r="F843" s="43"/>
      <c r="G843" s="43" t="e">
        <f t="shared" si="37"/>
        <v>#DIV/0!</v>
      </c>
      <c r="H843" s="43"/>
    </row>
    <row r="844" spans="1:8" hidden="1" x14ac:dyDescent="0.25">
      <c r="A844" s="43" t="s">
        <v>129</v>
      </c>
      <c r="B844" s="43"/>
      <c r="C844" s="43"/>
      <c r="D844" s="43"/>
      <c r="E844" s="43"/>
      <c r="F844" s="43"/>
      <c r="G844" s="43" t="e">
        <f t="shared" si="37"/>
        <v>#DIV/0!</v>
      </c>
      <c r="H844" s="43"/>
    </row>
    <row r="845" spans="1:8" hidden="1" x14ac:dyDescent="0.25">
      <c r="A845" s="43" t="s">
        <v>130</v>
      </c>
      <c r="B845" s="43"/>
      <c r="C845" s="43"/>
      <c r="D845" s="43"/>
      <c r="E845" s="43"/>
      <c r="F845" s="43"/>
      <c r="G845" s="43" t="e">
        <f t="shared" si="37"/>
        <v>#DIV/0!</v>
      </c>
      <c r="H845" s="43"/>
    </row>
    <row r="846" spans="1:8" hidden="1" x14ac:dyDescent="0.25">
      <c r="A846" s="43" t="s">
        <v>131</v>
      </c>
      <c r="B846" s="43"/>
      <c r="C846" s="43"/>
      <c r="D846" s="43"/>
      <c r="E846" s="43"/>
      <c r="F846" s="43"/>
      <c r="G846" s="43" t="e">
        <f t="shared" si="37"/>
        <v>#DIV/0!</v>
      </c>
      <c r="H846" s="43"/>
    </row>
    <row r="847" spans="1:8" hidden="1" x14ac:dyDescent="0.25">
      <c r="A847" s="43" t="s">
        <v>132</v>
      </c>
      <c r="B847" s="43"/>
      <c r="C847" s="43"/>
      <c r="D847" s="43"/>
      <c r="E847" s="43"/>
      <c r="F847" s="43"/>
      <c r="G847" s="43" t="e">
        <f t="shared" si="37"/>
        <v>#DIV/0!</v>
      </c>
      <c r="H847" s="43"/>
    </row>
    <row r="848" spans="1:8" ht="22.15" hidden="1" customHeight="1" x14ac:dyDescent="0.25">
      <c r="A848" s="43" t="s">
        <v>133</v>
      </c>
      <c r="B848" s="43"/>
      <c r="C848" s="43"/>
      <c r="D848" s="43"/>
      <c r="E848" s="43"/>
      <c r="F848" s="43"/>
      <c r="G848" s="43" t="e">
        <f t="shared" si="37"/>
        <v>#DIV/0!</v>
      </c>
      <c r="H848" s="43"/>
    </row>
    <row r="849" spans="1:38" ht="26.25" customHeight="1" x14ac:dyDescent="0.25">
      <c r="A849" s="26" t="s">
        <v>34</v>
      </c>
      <c r="B849" s="24"/>
      <c r="C849" s="24"/>
      <c r="D849" s="25"/>
      <c r="E849" s="62"/>
      <c r="F849" s="25"/>
      <c r="G849" s="25"/>
      <c r="H849" s="25"/>
      <c r="I849" s="25"/>
      <c r="J849" s="25"/>
      <c r="K849" s="25"/>
      <c r="L849" s="25"/>
      <c r="M849" s="25"/>
      <c r="N849" s="25"/>
      <c r="O849" s="25"/>
      <c r="P849" s="24"/>
      <c r="Q849" s="24"/>
      <c r="R849" s="24"/>
      <c r="S849" s="24"/>
      <c r="T849" s="24"/>
      <c r="U849" s="24"/>
      <c r="V849" s="24"/>
      <c r="W849" s="24"/>
      <c r="X849" s="27"/>
      <c r="Y849" s="27"/>
      <c r="Z849" s="27"/>
      <c r="AA849" s="27"/>
      <c r="AB849" s="27"/>
      <c r="AC849" s="27"/>
      <c r="AD849" s="41"/>
      <c r="AE849" s="41"/>
      <c r="AF849" s="27"/>
      <c r="AG849" s="27"/>
      <c r="AH849" s="27"/>
      <c r="AI849" s="27"/>
      <c r="AJ849" s="27"/>
      <c r="AK849" s="27"/>
      <c r="AL849" s="41"/>
    </row>
    <row r="850" spans="1:38" ht="43.5" customHeight="1" x14ac:dyDescent="0.25">
      <c r="A850" s="263" t="s">
        <v>35</v>
      </c>
      <c r="B850" s="352" t="s">
        <v>36</v>
      </c>
      <c r="C850" s="353"/>
      <c r="D850" s="353"/>
      <c r="E850" s="353"/>
      <c r="F850" s="353"/>
      <c r="G850" s="353"/>
      <c r="H850" s="354"/>
      <c r="I850" s="355" t="s">
        <v>37</v>
      </c>
      <c r="J850" s="356"/>
      <c r="K850" s="356"/>
      <c r="L850" s="356"/>
      <c r="M850" s="356"/>
      <c r="N850" s="356"/>
      <c r="O850" s="357"/>
      <c r="P850" s="24"/>
      <c r="Q850" s="24"/>
      <c r="R850" s="24"/>
      <c r="S850" s="24"/>
      <c r="T850" s="24"/>
      <c r="U850" s="24"/>
      <c r="V850" s="24"/>
      <c r="W850" s="24"/>
      <c r="X850" s="24"/>
      <c r="Y850" s="24"/>
      <c r="Z850" s="24"/>
      <c r="AA850" s="24"/>
      <c r="AB850" s="24"/>
      <c r="AC850" s="24"/>
      <c r="AD850" s="40"/>
      <c r="AE850" s="40"/>
      <c r="AF850" s="24"/>
      <c r="AG850" s="24"/>
      <c r="AH850" s="24"/>
      <c r="AI850" s="24"/>
      <c r="AJ850" s="24"/>
      <c r="AK850" s="24"/>
      <c r="AL850" s="40"/>
    </row>
    <row r="851" spans="1:38" ht="15" customHeight="1" x14ac:dyDescent="0.25">
      <c r="A851" s="265">
        <v>13</v>
      </c>
      <c r="B851" s="358" t="s">
        <v>89</v>
      </c>
      <c r="C851" s="358"/>
      <c r="D851" s="358"/>
      <c r="E851" s="358"/>
      <c r="F851" s="358"/>
      <c r="G851" s="358"/>
      <c r="H851" s="358"/>
      <c r="I851" s="358" t="s">
        <v>80</v>
      </c>
      <c r="J851" s="358"/>
      <c r="K851" s="358"/>
      <c r="L851" s="358"/>
      <c r="M851" s="358"/>
      <c r="N851" s="358"/>
      <c r="O851" s="358"/>
    </row>
    <row r="852" spans="1:38" x14ac:dyDescent="0.25">
      <c r="A852" s="265">
        <v>14</v>
      </c>
      <c r="B852" s="358" t="s">
        <v>258</v>
      </c>
      <c r="C852" s="358"/>
      <c r="D852" s="358"/>
      <c r="E852" s="358"/>
      <c r="F852" s="358"/>
      <c r="G852" s="358"/>
      <c r="H852" s="358"/>
      <c r="I852" s="359" t="s">
        <v>572</v>
      </c>
      <c r="J852" s="359"/>
      <c r="K852" s="359"/>
      <c r="L852" s="359"/>
      <c r="M852" s="359"/>
      <c r="N852" s="359"/>
      <c r="O852" s="359"/>
    </row>
  </sheetData>
  <mergeCells count="453">
    <mergeCell ref="B608:B610"/>
    <mergeCell ref="C608:C610"/>
    <mergeCell ref="B613:B614"/>
    <mergeCell ref="C613:C614"/>
    <mergeCell ref="A608:A614"/>
    <mergeCell ref="A802:A808"/>
    <mergeCell ref="A419:A425"/>
    <mergeCell ref="B419:B421"/>
    <mergeCell ref="C419:C421"/>
    <mergeCell ref="C581:C582"/>
    <mergeCell ref="B569:B571"/>
    <mergeCell ref="B482:B484"/>
    <mergeCell ref="C482:C484"/>
    <mergeCell ref="B487:B488"/>
    <mergeCell ref="C487:C488"/>
    <mergeCell ref="B496:B498"/>
    <mergeCell ref="C496:C498"/>
    <mergeCell ref="A645:G645"/>
    <mergeCell ref="A660:H660"/>
    <mergeCell ref="A662:A668"/>
    <mergeCell ref="A669:A675"/>
    <mergeCell ref="A676:A682"/>
    <mergeCell ref="C553:C554"/>
    <mergeCell ref="A541:A547"/>
    <mergeCell ref="E419:E421"/>
    <mergeCell ref="F419:F421"/>
    <mergeCell ref="B424:B425"/>
    <mergeCell ref="C424:C425"/>
    <mergeCell ref="D424:D425"/>
    <mergeCell ref="E424:E425"/>
    <mergeCell ref="F424:F425"/>
    <mergeCell ref="F286:F288"/>
    <mergeCell ref="F293:F295"/>
    <mergeCell ref="D305:D306"/>
    <mergeCell ref="E305:E306"/>
    <mergeCell ref="F305:F306"/>
    <mergeCell ref="B298:B299"/>
    <mergeCell ref="C298:C299"/>
    <mergeCell ref="D298:D299"/>
    <mergeCell ref="E298:E299"/>
    <mergeCell ref="F298:F299"/>
    <mergeCell ref="B300:B302"/>
    <mergeCell ref="D300:D302"/>
    <mergeCell ref="E300:E302"/>
    <mergeCell ref="F300:F302"/>
    <mergeCell ref="D314:D316"/>
    <mergeCell ref="E314:E316"/>
    <mergeCell ref="F314:F316"/>
    <mergeCell ref="A262:H262"/>
    <mergeCell ref="A277:L277"/>
    <mergeCell ref="A279:A285"/>
    <mergeCell ref="B279:B281"/>
    <mergeCell ref="C279:C281"/>
    <mergeCell ref="D279:D281"/>
    <mergeCell ref="E279:E281"/>
    <mergeCell ref="F279:F281"/>
    <mergeCell ref="B284:B285"/>
    <mergeCell ref="C284:C285"/>
    <mergeCell ref="D284:D285"/>
    <mergeCell ref="E284:E285"/>
    <mergeCell ref="F284:F285"/>
    <mergeCell ref="A286:A292"/>
    <mergeCell ref="B286:B288"/>
    <mergeCell ref="C286:C288"/>
    <mergeCell ref="B291:B292"/>
    <mergeCell ref="A527:A533"/>
    <mergeCell ref="B527:B529"/>
    <mergeCell ref="C527:C529"/>
    <mergeCell ref="C291:C292"/>
    <mergeCell ref="C378:C379"/>
    <mergeCell ref="B520:B522"/>
    <mergeCell ref="C520:C522"/>
    <mergeCell ref="A293:A299"/>
    <mergeCell ref="B293:B295"/>
    <mergeCell ref="C293:C295"/>
    <mergeCell ref="A300:A306"/>
    <mergeCell ref="A451:L451"/>
    <mergeCell ref="A466:G466"/>
    <mergeCell ref="D291:D292"/>
    <mergeCell ref="E291:E292"/>
    <mergeCell ref="F291:F292"/>
    <mergeCell ref="D286:D288"/>
    <mergeCell ref="E286:E288"/>
    <mergeCell ref="D293:D295"/>
    <mergeCell ref="E293:E295"/>
    <mergeCell ref="B852:H852"/>
    <mergeCell ref="I852:O852"/>
    <mergeCell ref="B850:H850"/>
    <mergeCell ref="I850:O850"/>
    <mergeCell ref="B851:H851"/>
    <mergeCell ref="I851:O851"/>
    <mergeCell ref="E399:E400"/>
    <mergeCell ref="F399:F400"/>
    <mergeCell ref="A394:A400"/>
    <mergeCell ref="A583:A589"/>
    <mergeCell ref="B583:B585"/>
    <mergeCell ref="C583:C585"/>
    <mergeCell ref="B588:B589"/>
    <mergeCell ref="C588:C589"/>
    <mergeCell ref="A777:A783"/>
    <mergeCell ref="C548:C550"/>
    <mergeCell ref="B553:B554"/>
    <mergeCell ref="A690:A696"/>
    <mergeCell ref="A697:A703"/>
    <mergeCell ref="A705:H705"/>
    <mergeCell ref="A707:A713"/>
    <mergeCell ref="A763:A769"/>
    <mergeCell ref="A403:L403"/>
    <mergeCell ref="A436:L436"/>
    <mergeCell ref="A59:A68"/>
    <mergeCell ref="B60:B61"/>
    <mergeCell ref="B63:B64"/>
    <mergeCell ref="A683:A689"/>
    <mergeCell ref="C518:C519"/>
    <mergeCell ref="A182:A193"/>
    <mergeCell ref="B182:B183"/>
    <mergeCell ref="B185:B187"/>
    <mergeCell ref="B188:B189"/>
    <mergeCell ref="B191:B192"/>
    <mergeCell ref="B394:B396"/>
    <mergeCell ref="C394:C396"/>
    <mergeCell ref="C300:C302"/>
    <mergeCell ref="B305:B306"/>
    <mergeCell ref="C305:C306"/>
    <mergeCell ref="A314:A320"/>
    <mergeCell ref="B314:B316"/>
    <mergeCell ref="C314:C316"/>
    <mergeCell ref="B336:B337"/>
    <mergeCell ref="C336:C337"/>
    <mergeCell ref="C546:C547"/>
    <mergeCell ref="A576:A582"/>
    <mergeCell ref="B576:B578"/>
    <mergeCell ref="C576:C578"/>
    <mergeCell ref="A247:H247"/>
    <mergeCell ref="B156:B157"/>
    <mergeCell ref="A159:A169"/>
    <mergeCell ref="B161:B163"/>
    <mergeCell ref="B164:B165"/>
    <mergeCell ref="B167:B168"/>
    <mergeCell ref="A170:A181"/>
    <mergeCell ref="A198:A210"/>
    <mergeCell ref="B201:B204"/>
    <mergeCell ref="B205:B207"/>
    <mergeCell ref="B209:B210"/>
    <mergeCell ref="A196:H196"/>
    <mergeCell ref="A148:A158"/>
    <mergeCell ref="B150:B152"/>
    <mergeCell ref="B153:B154"/>
    <mergeCell ref="B214:B217"/>
    <mergeCell ref="B218:B220"/>
    <mergeCell ref="B222:B223"/>
    <mergeCell ref="A211:A223"/>
    <mergeCell ref="A224:A236"/>
    <mergeCell ref="B227:B230"/>
    <mergeCell ref="B231:B233"/>
    <mergeCell ref="B235:B236"/>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13:B14"/>
    <mergeCell ref="B15:B16"/>
    <mergeCell ref="B35:B36"/>
    <mergeCell ref="A5:B5"/>
    <mergeCell ref="C5:L5"/>
    <mergeCell ref="A7:H7"/>
    <mergeCell ref="A9:A18"/>
    <mergeCell ref="B10:B11"/>
    <mergeCell ref="A104:A114"/>
    <mergeCell ref="B106:B108"/>
    <mergeCell ref="B109:B110"/>
    <mergeCell ref="B112:B113"/>
    <mergeCell ref="A93:A103"/>
    <mergeCell ref="B95:B97"/>
    <mergeCell ref="B98:B99"/>
    <mergeCell ref="B101:B102"/>
    <mergeCell ref="B65:B66"/>
    <mergeCell ref="A70:H70"/>
    <mergeCell ref="A72:A81"/>
    <mergeCell ref="B73:B74"/>
    <mergeCell ref="B75:B76"/>
    <mergeCell ref="B77:B78"/>
    <mergeCell ref="A49:A58"/>
    <mergeCell ref="B50:B51"/>
    <mergeCell ref="B53:B54"/>
    <mergeCell ref="B55:B56"/>
    <mergeCell ref="A82:A92"/>
    <mergeCell ref="B84:B86"/>
    <mergeCell ref="B87:B88"/>
    <mergeCell ref="B90:B91"/>
    <mergeCell ref="A115:A125"/>
    <mergeCell ref="A126:A136"/>
    <mergeCell ref="B117:B119"/>
    <mergeCell ref="B120:B121"/>
    <mergeCell ref="B123:B124"/>
    <mergeCell ref="A137:A147"/>
    <mergeCell ref="B139:B141"/>
    <mergeCell ref="B142:B143"/>
    <mergeCell ref="B145:B146"/>
    <mergeCell ref="B128:B130"/>
    <mergeCell ref="B131:B132"/>
    <mergeCell ref="B134:B135"/>
    <mergeCell ref="B319:B320"/>
    <mergeCell ref="C319:C320"/>
    <mergeCell ref="D319:D320"/>
    <mergeCell ref="E319:E320"/>
    <mergeCell ref="F319:F320"/>
    <mergeCell ref="A307:A313"/>
    <mergeCell ref="B307:B309"/>
    <mergeCell ref="C307:C309"/>
    <mergeCell ref="D307:D309"/>
    <mergeCell ref="E307:E309"/>
    <mergeCell ref="F307:F309"/>
    <mergeCell ref="B312:B313"/>
    <mergeCell ref="C312:C313"/>
    <mergeCell ref="D312:D313"/>
    <mergeCell ref="E312:E313"/>
    <mergeCell ref="F312:F313"/>
    <mergeCell ref="D336:D337"/>
    <mergeCell ref="E336:E337"/>
    <mergeCell ref="F336:F337"/>
    <mergeCell ref="A322:L322"/>
    <mergeCell ref="A324:A330"/>
    <mergeCell ref="B324:B326"/>
    <mergeCell ref="C324:C326"/>
    <mergeCell ref="D324:D326"/>
    <mergeCell ref="E324:E326"/>
    <mergeCell ref="F324:F326"/>
    <mergeCell ref="B329:B330"/>
    <mergeCell ref="C329:C330"/>
    <mergeCell ref="D329:D330"/>
    <mergeCell ref="E329:E330"/>
    <mergeCell ref="F329:F330"/>
    <mergeCell ref="A331:A337"/>
    <mergeCell ref="B331:B333"/>
    <mergeCell ref="C331:C333"/>
    <mergeCell ref="D331:D333"/>
    <mergeCell ref="E331:E333"/>
    <mergeCell ref="F331:F333"/>
    <mergeCell ref="E350:E351"/>
    <mergeCell ref="F357:F358"/>
    <mergeCell ref="A352:A358"/>
    <mergeCell ref="B352:B354"/>
    <mergeCell ref="C352:C354"/>
    <mergeCell ref="B343:B344"/>
    <mergeCell ref="C343:C344"/>
    <mergeCell ref="D343:D344"/>
    <mergeCell ref="E343:E344"/>
    <mergeCell ref="F343:F344"/>
    <mergeCell ref="A338:A344"/>
    <mergeCell ref="B338:B340"/>
    <mergeCell ref="C338:C340"/>
    <mergeCell ref="D338:D340"/>
    <mergeCell ref="E338:E340"/>
    <mergeCell ref="F338:F340"/>
    <mergeCell ref="D352:D354"/>
    <mergeCell ref="E352:E354"/>
    <mergeCell ref="F352:F354"/>
    <mergeCell ref="B357:B358"/>
    <mergeCell ref="C357:C358"/>
    <mergeCell ref="D357:D358"/>
    <mergeCell ref="E357:E358"/>
    <mergeCell ref="F350:F351"/>
    <mergeCell ref="A345:A351"/>
    <mergeCell ref="B345:B347"/>
    <mergeCell ref="C345:C347"/>
    <mergeCell ref="D345:D347"/>
    <mergeCell ref="A405:A411"/>
    <mergeCell ref="B405:B407"/>
    <mergeCell ref="C405:C407"/>
    <mergeCell ref="D405:D407"/>
    <mergeCell ref="A359:A365"/>
    <mergeCell ref="B359:B361"/>
    <mergeCell ref="C359:C361"/>
    <mergeCell ref="A380:A386"/>
    <mergeCell ref="E345:E347"/>
    <mergeCell ref="F345:F347"/>
    <mergeCell ref="B350:B351"/>
    <mergeCell ref="C350:C351"/>
    <mergeCell ref="D350:D351"/>
    <mergeCell ref="A714:A720"/>
    <mergeCell ref="A721:A727"/>
    <mergeCell ref="A728:A734"/>
    <mergeCell ref="A786:H786"/>
    <mergeCell ref="B501:B502"/>
    <mergeCell ref="C501:C502"/>
    <mergeCell ref="A475:A481"/>
    <mergeCell ref="D371:D372"/>
    <mergeCell ref="E371:E372"/>
    <mergeCell ref="B475:B477"/>
    <mergeCell ref="C475:C477"/>
    <mergeCell ref="B480:B481"/>
    <mergeCell ref="C480:C481"/>
    <mergeCell ref="A482:A488"/>
    <mergeCell ref="A373:A379"/>
    <mergeCell ref="D373:D375"/>
    <mergeCell ref="E373:E375"/>
    <mergeCell ref="B410:B411"/>
    <mergeCell ref="C410:C411"/>
    <mergeCell ref="A468:A474"/>
    <mergeCell ref="B468:B470"/>
    <mergeCell ref="C468:C470"/>
    <mergeCell ref="B473:B474"/>
    <mergeCell ref="C473:C474"/>
    <mergeCell ref="B412:B414"/>
    <mergeCell ref="C412:C414"/>
    <mergeCell ref="D412:D414"/>
    <mergeCell ref="B417:B418"/>
    <mergeCell ref="C417:C418"/>
    <mergeCell ref="D417:D418"/>
    <mergeCell ref="D419:D421"/>
    <mergeCell ref="A820:H820"/>
    <mergeCell ref="A835:H835"/>
    <mergeCell ref="A735:A741"/>
    <mergeCell ref="A742:A748"/>
    <mergeCell ref="A756:A762"/>
    <mergeCell ref="A749:A755"/>
    <mergeCell ref="A770:A776"/>
    <mergeCell ref="A788:A794"/>
    <mergeCell ref="A795:A801"/>
    <mergeCell ref="F359:F361"/>
    <mergeCell ref="B364:B365"/>
    <mergeCell ref="C364:C365"/>
    <mergeCell ref="D364:D365"/>
    <mergeCell ref="B366:B368"/>
    <mergeCell ref="C366:C368"/>
    <mergeCell ref="D366:D368"/>
    <mergeCell ref="E366:E368"/>
    <mergeCell ref="F366:F368"/>
    <mergeCell ref="D359:D361"/>
    <mergeCell ref="E359:E361"/>
    <mergeCell ref="E364:E365"/>
    <mergeCell ref="F364:F365"/>
    <mergeCell ref="F394:F396"/>
    <mergeCell ref="B399:B400"/>
    <mergeCell ref="C399:C400"/>
    <mergeCell ref="D399:D400"/>
    <mergeCell ref="A366:A372"/>
    <mergeCell ref="B378:B379"/>
    <mergeCell ref="F380:F382"/>
    <mergeCell ref="B385:B386"/>
    <mergeCell ref="C385:C386"/>
    <mergeCell ref="A387:A393"/>
    <mergeCell ref="B387:B389"/>
    <mergeCell ref="C387:C389"/>
    <mergeCell ref="D387:D389"/>
    <mergeCell ref="D378:D379"/>
    <mergeCell ref="E378:E379"/>
    <mergeCell ref="B373:B375"/>
    <mergeCell ref="C373:C375"/>
    <mergeCell ref="F371:F372"/>
    <mergeCell ref="B371:B372"/>
    <mergeCell ref="C371:C372"/>
    <mergeCell ref="F405:F407"/>
    <mergeCell ref="D410:D411"/>
    <mergeCell ref="E410:E411"/>
    <mergeCell ref="C539:C540"/>
    <mergeCell ref="B525:B526"/>
    <mergeCell ref="C525:C526"/>
    <mergeCell ref="B532:B533"/>
    <mergeCell ref="C532:C533"/>
    <mergeCell ref="C508:C509"/>
    <mergeCell ref="A511:G511"/>
    <mergeCell ref="A489:A495"/>
    <mergeCell ref="B489:B491"/>
    <mergeCell ref="C489:C491"/>
    <mergeCell ref="C513:C515"/>
    <mergeCell ref="B518:B519"/>
    <mergeCell ref="B503:B505"/>
    <mergeCell ref="C503:C505"/>
    <mergeCell ref="B508:B509"/>
    <mergeCell ref="B513:B515"/>
    <mergeCell ref="A520:A526"/>
    <mergeCell ref="A503:A509"/>
    <mergeCell ref="B494:B495"/>
    <mergeCell ref="C494:C495"/>
    <mergeCell ref="A496:A502"/>
    <mergeCell ref="C541:C543"/>
    <mergeCell ref="B546:B547"/>
    <mergeCell ref="C560:C561"/>
    <mergeCell ref="C569:C571"/>
    <mergeCell ref="B574:B575"/>
    <mergeCell ref="C574:C575"/>
    <mergeCell ref="A569:A575"/>
    <mergeCell ref="A594:A600"/>
    <mergeCell ref="B594:B596"/>
    <mergeCell ref="C594:C596"/>
    <mergeCell ref="B599:B600"/>
    <mergeCell ref="C599:C600"/>
    <mergeCell ref="A592:G592"/>
    <mergeCell ref="B581:B582"/>
    <mergeCell ref="A630:G630"/>
    <mergeCell ref="A548:A554"/>
    <mergeCell ref="B548:B550"/>
    <mergeCell ref="F410:F411"/>
    <mergeCell ref="E387:E389"/>
    <mergeCell ref="F385:F386"/>
    <mergeCell ref="F378:F379"/>
    <mergeCell ref="F373:F375"/>
    <mergeCell ref="F387:F389"/>
    <mergeCell ref="B392:B393"/>
    <mergeCell ref="C392:C393"/>
    <mergeCell ref="D392:D393"/>
    <mergeCell ref="E392:E393"/>
    <mergeCell ref="F392:F393"/>
    <mergeCell ref="D385:D386"/>
    <mergeCell ref="E385:E386"/>
    <mergeCell ref="D380:D382"/>
    <mergeCell ref="E405:E407"/>
    <mergeCell ref="D394:D396"/>
    <mergeCell ref="E394:E396"/>
    <mergeCell ref="E380:E382"/>
    <mergeCell ref="B380:B382"/>
    <mergeCell ref="C380:C382"/>
    <mergeCell ref="E417:E418"/>
    <mergeCell ref="F417:F418"/>
    <mergeCell ref="A412:A418"/>
    <mergeCell ref="B601:B603"/>
    <mergeCell ref="C601:C603"/>
    <mergeCell ref="B606:B607"/>
    <mergeCell ref="C606:C607"/>
    <mergeCell ref="A601:A607"/>
    <mergeCell ref="A534:A540"/>
    <mergeCell ref="B534:B536"/>
    <mergeCell ref="A513:A519"/>
    <mergeCell ref="A562:A568"/>
    <mergeCell ref="B562:B564"/>
    <mergeCell ref="C562:C564"/>
    <mergeCell ref="B567:B568"/>
    <mergeCell ref="C567:C568"/>
    <mergeCell ref="A555:A561"/>
    <mergeCell ref="B555:B557"/>
    <mergeCell ref="C555:C557"/>
    <mergeCell ref="B560:B561"/>
    <mergeCell ref="C534:C536"/>
    <mergeCell ref="E412:E414"/>
    <mergeCell ref="F412:F414"/>
    <mergeCell ref="B539:B540"/>
    <mergeCell ref="B541:B543"/>
  </mergeCells>
  <phoneticPr fontId="72" type="noConversion"/>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2022-06-08T22:34:14Z</dcterms:modified>
</cp:coreProperties>
</file>