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01"/>
  <workbookPr defaultThemeVersion="124226"/>
  <mc:AlternateContent xmlns:mc="http://schemas.openxmlformats.org/markup-compatibility/2006">
    <mc:Choice Requires="x15">
      <x15ac:absPath xmlns:x15ac="http://schemas.microsoft.com/office/spreadsheetml/2010/11/ac" url="C:\Users\YULIED.PENARANDA.SDA\Desktop\2021\OCTUBRE\Plan de Acción septiembre\PLAN DE ACCIÓN FINAL\PLAN DE ACCION III-TRIM-2021\"/>
    </mc:Choice>
  </mc:AlternateContent>
  <xr:revisionPtr revIDLastSave="0" documentId="13_ncr:1_{629D2A59-6411-4AC9-B4F3-78DD53B38369}" xr6:coauthVersionLast="47" xr6:coauthVersionMax="47" xr10:uidLastSave="{00000000-0000-0000-0000-000000000000}"/>
  <bookViews>
    <workbookView xWindow="-120" yWindow="-120" windowWidth="20730" windowHeight="11160" activeTab="1" xr2:uid="{00000000-000D-0000-FFFF-FFFF00000000}"/>
  </bookViews>
  <sheets>
    <sheet name="GESTIÓN" sheetId="5" r:id="rId1"/>
    <sheet name="INVERSIÓN" sheetId="6" r:id="rId2"/>
    <sheet name="ACTIVIDADES" sheetId="7" r:id="rId3"/>
    <sheet name="TERRITORIALIZACIÓN " sheetId="17" r:id="rId4"/>
    <sheet name="SPI" sheetId="15" r:id="rId5"/>
  </sheets>
  <externalReferences>
    <externalReference r:id="rId6"/>
    <externalReference r:id="rId7"/>
    <externalReference r:id="rId8"/>
  </externalReferences>
  <definedNames>
    <definedName name="_xlnm._FilterDatabase" localSheetId="2" hidden="1">ACTIVIDADES!$A$8:$X$8</definedName>
    <definedName name="_xlnm._FilterDatabase" localSheetId="0" hidden="1">GESTIÓN!$A$11:$FC$11</definedName>
    <definedName name="_xlnm._FilterDatabase" localSheetId="1" hidden="1">INVERSIÓN!$A$9:$FB$61</definedName>
    <definedName name="_xlnm.Print_Area" localSheetId="2">ACTIVIDADES!$A$1:$V$70</definedName>
    <definedName name="_xlnm.Print_Area" localSheetId="0">GESTIÓN!$A$1:$FC$16</definedName>
    <definedName name="_xlnm.Print_Area" localSheetId="1">INVERSIÓN!$A$1:$FA$62</definedName>
    <definedName name="CONDICION_POBLACIONAL" localSheetId="4">[1]Variables!$C$1:$C$24</definedName>
    <definedName name="CONDICION_POBLACIONAL">[2]Variables!$C$1:$C$24</definedName>
    <definedName name="GRUPO_ETAREO" localSheetId="4">[1]Variables!$A$1:$A$8</definedName>
    <definedName name="GRUPO_ETAREO">[2]Variables!$A$1:$A$8</definedName>
    <definedName name="GRUPO_ETAREOS" localSheetId="4">#REF!</definedName>
    <definedName name="GRUPO_ETAREOS">#REF!</definedName>
    <definedName name="GRUPO_ETARIO" localSheetId="4">#REF!</definedName>
    <definedName name="GRUPO_ETARIO">#REF!</definedName>
    <definedName name="GRUPO_ETNICO" localSheetId="4">#REF!</definedName>
    <definedName name="GRUPO_ETNICO">#REF!</definedName>
    <definedName name="GRUPOETNICO">#REF!</definedName>
    <definedName name="GRUPOS_ETNICOS" localSheetId="4">[1]Variables!$H$1:$H$8</definedName>
    <definedName name="GRUPOS_ETNICOS">[2]Variables!$H$1:$H$8</definedName>
    <definedName name="LOCALIDAD" localSheetId="4">#REF!</definedName>
    <definedName name="LOCALIDAD">#REF!</definedName>
    <definedName name="LOCALIZACION" localSheetId="4">#REF!</definedName>
    <definedName name="LOCALIZACION">#REF!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52" i="17" l="1"/>
  <c r="H52" i="17"/>
  <c r="H54" i="17" s="1"/>
  <c r="I52" i="17"/>
  <c r="J52" i="17"/>
  <c r="K52" i="17"/>
  <c r="L52" i="17"/>
  <c r="L54" i="17" s="1"/>
  <c r="M52" i="17"/>
  <c r="M54" i="17" s="1"/>
  <c r="G53" i="17"/>
  <c r="H53" i="17"/>
  <c r="I53" i="17"/>
  <c r="I54" i="17" s="1"/>
  <c r="J53" i="17"/>
  <c r="J54" i="17" s="1"/>
  <c r="K53" i="17"/>
  <c r="L53" i="17"/>
  <c r="M53" i="17"/>
  <c r="AB49" i="17"/>
  <c r="AB43" i="17"/>
  <c r="AB37" i="17"/>
  <c r="AB31" i="17"/>
  <c r="AB25" i="17"/>
  <c r="AB19" i="17"/>
  <c r="AB13" i="17"/>
  <c r="AB47" i="17"/>
  <c r="AB41" i="17"/>
  <c r="AB35" i="17"/>
  <c r="AB29" i="17"/>
  <c r="AB23" i="17"/>
  <c r="AB17" i="17"/>
  <c r="AB11" i="17"/>
  <c r="P52" i="17"/>
  <c r="Q52" i="17"/>
  <c r="R52" i="17"/>
  <c r="S52" i="17"/>
  <c r="T52" i="17"/>
  <c r="U52" i="17"/>
  <c r="V52" i="17"/>
  <c r="W52" i="17"/>
  <c r="X52" i="17"/>
  <c r="Y52" i="17"/>
  <c r="P53" i="17"/>
  <c r="Q53" i="17"/>
  <c r="R53" i="17"/>
  <c r="S53" i="17"/>
  <c r="T53" i="17"/>
  <c r="U53" i="17"/>
  <c r="V53" i="17"/>
  <c r="W53" i="17"/>
  <c r="X53" i="17"/>
  <c r="Y53" i="17"/>
  <c r="O49" i="17"/>
  <c r="O43" i="17"/>
  <c r="O37" i="17"/>
  <c r="O31" i="17"/>
  <c r="O25" i="17"/>
  <c r="O19" i="17"/>
  <c r="O53" i="17" s="1"/>
  <c r="O13" i="17"/>
  <c r="O47" i="17"/>
  <c r="O41" i="17"/>
  <c r="O35" i="17"/>
  <c r="O29" i="17"/>
  <c r="O23" i="17"/>
  <c r="O17" i="17"/>
  <c r="O11" i="17"/>
  <c r="O52" i="17" s="1"/>
  <c r="O54" i="17" s="1"/>
  <c r="ES37" i="6"/>
  <c r="ER36" i="6"/>
  <c r="ER37" i="6"/>
  <c r="AT44" i="6"/>
  <c r="ER44" i="6" s="1"/>
  <c r="AT43" i="6"/>
  <c r="ER43" i="6" s="1"/>
  <c r="ER39" i="6"/>
  <c r="ER40" i="6"/>
  <c r="ER41" i="6"/>
  <c r="ER42" i="6"/>
  <c r="ER38" i="6"/>
  <c r="EV16" i="6"/>
  <c r="ER10" i="6"/>
  <c r="BE42" i="6"/>
  <c r="BE28" i="6"/>
  <c r="W54" i="17" l="1"/>
  <c r="K54" i="17"/>
  <c r="AB52" i="17"/>
  <c r="S54" i="17"/>
  <c r="G54" i="17"/>
  <c r="AB15" i="17"/>
  <c r="U54" i="17"/>
  <c r="AB21" i="17"/>
  <c r="T54" i="17"/>
  <c r="AB27" i="17"/>
  <c r="AB33" i="17"/>
  <c r="R54" i="17"/>
  <c r="AB39" i="17"/>
  <c r="AB45" i="17"/>
  <c r="X54" i="17"/>
  <c r="P54" i="17"/>
  <c r="AB51" i="17"/>
  <c r="AB53" i="17"/>
  <c r="Y54" i="17"/>
  <c r="Q54" i="17"/>
  <c r="V54" i="17"/>
  <c r="M15" i="17"/>
  <c r="O15" i="17"/>
  <c r="AE53" i="17"/>
  <c r="AD53" i="17"/>
  <c r="AC53" i="17"/>
  <c r="E53" i="17"/>
  <c r="AE52" i="17"/>
  <c r="AD52" i="17"/>
  <c r="AC52" i="17"/>
  <c r="E52" i="17"/>
  <c r="Y51" i="17"/>
  <c r="X51" i="17"/>
  <c r="W51" i="17"/>
  <c r="V51" i="17"/>
  <c r="U51" i="17"/>
  <c r="T51" i="17"/>
  <c r="O51" i="17"/>
  <c r="M51" i="17"/>
  <c r="L51" i="17"/>
  <c r="K51" i="17"/>
  <c r="J51" i="17"/>
  <c r="I51" i="17"/>
  <c r="H51" i="17"/>
  <c r="G51" i="17"/>
  <c r="E51" i="17"/>
  <c r="Y50" i="17"/>
  <c r="X50" i="17"/>
  <c r="W50" i="17"/>
  <c r="V50" i="17"/>
  <c r="U50" i="17"/>
  <c r="T50" i="17"/>
  <c r="M50" i="17"/>
  <c r="L50" i="17"/>
  <c r="K50" i="17"/>
  <c r="J50" i="17"/>
  <c r="I50" i="17"/>
  <c r="H50" i="17"/>
  <c r="G50" i="17"/>
  <c r="E50" i="17"/>
  <c r="AA49" i="17"/>
  <c r="Z49" i="17"/>
  <c r="N49" i="17"/>
  <c r="F49" i="17"/>
  <c r="AB48" i="17"/>
  <c r="AA48" i="17"/>
  <c r="Z48" i="17"/>
  <c r="O48" i="17"/>
  <c r="N48" i="17"/>
  <c r="F48" i="17"/>
  <c r="AA47" i="17"/>
  <c r="Z47" i="17"/>
  <c r="N47" i="17"/>
  <c r="F47" i="17"/>
  <c r="AX46" i="17"/>
  <c r="AB46" i="17"/>
  <c r="AA46" i="17"/>
  <c r="Z46" i="17"/>
  <c r="O46" i="17"/>
  <c r="N46" i="17"/>
  <c r="F46" i="17"/>
  <c r="Y45" i="17"/>
  <c r="X45" i="17"/>
  <c r="W45" i="17"/>
  <c r="V45" i="17"/>
  <c r="U45" i="17"/>
  <c r="T45" i="17"/>
  <c r="O45" i="17"/>
  <c r="M45" i="17"/>
  <c r="L45" i="17"/>
  <c r="K45" i="17"/>
  <c r="J45" i="17"/>
  <c r="I45" i="17"/>
  <c r="H45" i="17"/>
  <c r="G45" i="17"/>
  <c r="E45" i="17"/>
  <c r="Y44" i="17"/>
  <c r="X44" i="17"/>
  <c r="W44" i="17"/>
  <c r="V44" i="17"/>
  <c r="U44" i="17"/>
  <c r="T44" i="17"/>
  <c r="M44" i="17"/>
  <c r="L44" i="17"/>
  <c r="K44" i="17"/>
  <c r="J44" i="17"/>
  <c r="I44" i="17"/>
  <c r="H44" i="17"/>
  <c r="G44" i="17"/>
  <c r="E44" i="17"/>
  <c r="AA43" i="17"/>
  <c r="Z43" i="17"/>
  <c r="Z45" i="17" s="1"/>
  <c r="N43" i="17"/>
  <c r="F43" i="17"/>
  <c r="AB42" i="17"/>
  <c r="AB44" i="17" s="1"/>
  <c r="AA42" i="17"/>
  <c r="Z42" i="17"/>
  <c r="O42" i="17"/>
  <c r="O44" i="17" s="1"/>
  <c r="N42" i="17"/>
  <c r="F42" i="17"/>
  <c r="AA41" i="17"/>
  <c r="Z41" i="17"/>
  <c r="N41" i="17"/>
  <c r="F41" i="17"/>
  <c r="F45" i="17" s="1"/>
  <c r="AX40" i="17"/>
  <c r="AA40" i="17"/>
  <c r="Z40" i="17"/>
  <c r="N40" i="17"/>
  <c r="F40" i="17"/>
  <c r="Y39" i="17"/>
  <c r="X39" i="17"/>
  <c r="W39" i="17"/>
  <c r="V39" i="17"/>
  <c r="U39" i="17"/>
  <c r="T39" i="17"/>
  <c r="O39" i="17"/>
  <c r="M39" i="17"/>
  <c r="L39" i="17"/>
  <c r="K39" i="17"/>
  <c r="J39" i="17"/>
  <c r="I39" i="17"/>
  <c r="H39" i="17"/>
  <c r="G39" i="17"/>
  <c r="E39" i="17"/>
  <c r="Y38" i="17"/>
  <c r="X38" i="17"/>
  <c r="W38" i="17"/>
  <c r="V38" i="17"/>
  <c r="U38" i="17"/>
  <c r="T38" i="17"/>
  <c r="M38" i="17"/>
  <c r="L38" i="17"/>
  <c r="K38" i="17"/>
  <c r="J38" i="17"/>
  <c r="I38" i="17"/>
  <c r="H38" i="17"/>
  <c r="G38" i="17"/>
  <c r="E38" i="17"/>
  <c r="AA37" i="17"/>
  <c r="Z37" i="17"/>
  <c r="N37" i="17"/>
  <c r="F37" i="17"/>
  <c r="AB36" i="17"/>
  <c r="AA36" i="17"/>
  <c r="Z36" i="17"/>
  <c r="O36" i="17"/>
  <c r="N36" i="17"/>
  <c r="F36" i="17"/>
  <c r="AA35" i="17"/>
  <c r="Z35" i="17"/>
  <c r="N35" i="17"/>
  <c r="F35" i="17"/>
  <c r="F39" i="17" s="1"/>
  <c r="AX34" i="17"/>
  <c r="AB34" i="17"/>
  <c r="AA34" i="17"/>
  <c r="Z34" i="17"/>
  <c r="O34" i="17"/>
  <c r="O38" i="17" s="1"/>
  <c r="N34" i="17"/>
  <c r="F34" i="17"/>
  <c r="F38" i="17" s="1"/>
  <c r="AA33" i="17"/>
  <c r="Z33" i="17"/>
  <c r="Y33" i="17"/>
  <c r="X33" i="17"/>
  <c r="W33" i="17"/>
  <c r="O33" i="17"/>
  <c r="N33" i="17"/>
  <c r="M33" i="17"/>
  <c r="L33" i="17"/>
  <c r="K33" i="17"/>
  <c r="J33" i="17"/>
  <c r="I33" i="17"/>
  <c r="H33" i="17"/>
  <c r="G33" i="17"/>
  <c r="E33" i="17"/>
  <c r="AB32" i="17"/>
  <c r="AA32" i="17"/>
  <c r="Z32" i="17"/>
  <c r="Y32" i="17"/>
  <c r="X32" i="17"/>
  <c r="W32" i="17"/>
  <c r="V32" i="17"/>
  <c r="U32" i="17"/>
  <c r="T32" i="17"/>
  <c r="N32" i="17"/>
  <c r="M32" i="17"/>
  <c r="L32" i="17"/>
  <c r="K32" i="17"/>
  <c r="J32" i="17"/>
  <c r="I32" i="17"/>
  <c r="H32" i="17"/>
  <c r="G32" i="17"/>
  <c r="E32" i="17"/>
  <c r="F31" i="17"/>
  <c r="O30" i="17"/>
  <c r="O32" i="17" s="1"/>
  <c r="F30" i="17"/>
  <c r="F29" i="17"/>
  <c r="AX28" i="17"/>
  <c r="F28" i="17"/>
  <c r="Y27" i="17"/>
  <c r="X27" i="17"/>
  <c r="W27" i="17"/>
  <c r="V27" i="17"/>
  <c r="U27" i="17"/>
  <c r="T27" i="17"/>
  <c r="O27" i="17"/>
  <c r="M27" i="17"/>
  <c r="L27" i="17"/>
  <c r="K27" i="17"/>
  <c r="J27" i="17"/>
  <c r="I27" i="17"/>
  <c r="H27" i="17"/>
  <c r="G27" i="17"/>
  <c r="E27" i="17"/>
  <c r="Y26" i="17"/>
  <c r="X26" i="17"/>
  <c r="W26" i="17"/>
  <c r="V26" i="17"/>
  <c r="U26" i="17"/>
  <c r="T26" i="17"/>
  <c r="M26" i="17"/>
  <c r="L26" i="17"/>
  <c r="K26" i="17"/>
  <c r="J26" i="17"/>
  <c r="I26" i="17"/>
  <c r="H26" i="17"/>
  <c r="G26" i="17"/>
  <c r="E26" i="17"/>
  <c r="AA25" i="17"/>
  <c r="Z25" i="17"/>
  <c r="N25" i="17"/>
  <c r="F25" i="17"/>
  <c r="AB24" i="17"/>
  <c r="AB26" i="17" s="1"/>
  <c r="AA24" i="17"/>
  <c r="Z24" i="17"/>
  <c r="O24" i="17"/>
  <c r="O26" i="17" s="1"/>
  <c r="N24" i="17"/>
  <c r="F24" i="17"/>
  <c r="AA23" i="17"/>
  <c r="Z23" i="17"/>
  <c r="N23" i="17"/>
  <c r="F23" i="17"/>
  <c r="AX22" i="17"/>
  <c r="AA22" i="17"/>
  <c r="Z22" i="17"/>
  <c r="N22" i="17"/>
  <c r="F22" i="17"/>
  <c r="Y21" i="17"/>
  <c r="X21" i="17"/>
  <c r="W21" i="17"/>
  <c r="V21" i="17"/>
  <c r="U21" i="17"/>
  <c r="T21" i="17"/>
  <c r="O21" i="17"/>
  <c r="M21" i="17"/>
  <c r="L21" i="17"/>
  <c r="K21" i="17"/>
  <c r="J21" i="17"/>
  <c r="I21" i="17"/>
  <c r="H21" i="17"/>
  <c r="G21" i="17"/>
  <c r="E21" i="17"/>
  <c r="Y20" i="17"/>
  <c r="X20" i="17"/>
  <c r="W20" i="17"/>
  <c r="V20" i="17"/>
  <c r="U20" i="17"/>
  <c r="T20" i="17"/>
  <c r="M20" i="17"/>
  <c r="L20" i="17"/>
  <c r="K20" i="17"/>
  <c r="J20" i="17"/>
  <c r="I20" i="17"/>
  <c r="H20" i="17"/>
  <c r="G20" i="17"/>
  <c r="E20" i="17"/>
  <c r="AA19" i="17"/>
  <c r="Z19" i="17"/>
  <c r="N19" i="17"/>
  <c r="F19" i="17"/>
  <c r="AB18" i="17"/>
  <c r="AB20" i="17" s="1"/>
  <c r="AA18" i="17"/>
  <c r="Z18" i="17"/>
  <c r="O18" i="17"/>
  <c r="O20" i="17" s="1"/>
  <c r="N18" i="17"/>
  <c r="F18" i="17"/>
  <c r="AA17" i="17"/>
  <c r="Z17" i="17"/>
  <c r="N17" i="17"/>
  <c r="F17" i="17"/>
  <c r="AX16" i="17"/>
  <c r="AA16" i="17"/>
  <c r="Z16" i="17"/>
  <c r="N16" i="17"/>
  <c r="N20" i="17" s="1"/>
  <c r="F16" i="17"/>
  <c r="Y15" i="17"/>
  <c r="X15" i="17"/>
  <c r="W15" i="17"/>
  <c r="V15" i="17"/>
  <c r="U15" i="17"/>
  <c r="T15" i="17"/>
  <c r="L15" i="17"/>
  <c r="K15" i="17"/>
  <c r="J15" i="17"/>
  <c r="I15" i="17"/>
  <c r="H15" i="17"/>
  <c r="G15" i="17"/>
  <c r="E15" i="17"/>
  <c r="Y14" i="17"/>
  <c r="X14" i="17"/>
  <c r="W14" i="17"/>
  <c r="V14" i="17"/>
  <c r="U14" i="17"/>
  <c r="T14" i="17"/>
  <c r="M14" i="17"/>
  <c r="L14" i="17"/>
  <c r="K14" i="17"/>
  <c r="J14" i="17"/>
  <c r="I14" i="17"/>
  <c r="H14" i="17"/>
  <c r="G14" i="17"/>
  <c r="E14" i="17"/>
  <c r="AA13" i="17"/>
  <c r="Z13" i="17"/>
  <c r="N13" i="17"/>
  <c r="F13" i="17"/>
  <c r="AB12" i="17"/>
  <c r="AB14" i="17" s="1"/>
  <c r="AA12" i="17"/>
  <c r="AA14" i="17" s="1"/>
  <c r="Z12" i="17"/>
  <c r="Z14" i="17" s="1"/>
  <c r="O12" i="17"/>
  <c r="N12" i="17"/>
  <c r="F12" i="17"/>
  <c r="AA11" i="17"/>
  <c r="Z11" i="17"/>
  <c r="N11" i="17"/>
  <c r="F11" i="17"/>
  <c r="F52" i="17" s="1"/>
  <c r="AX10" i="17"/>
  <c r="O10" i="17"/>
  <c r="O14" i="17" s="1"/>
  <c r="N10" i="17"/>
  <c r="N14" i="17" s="1"/>
  <c r="F10" i="17"/>
  <c r="F14" i="17" s="1"/>
  <c r="BF12" i="5"/>
  <c r="BE11" i="6"/>
  <c r="AA52" i="17" l="1"/>
  <c r="N53" i="17"/>
  <c r="O50" i="17"/>
  <c r="AE54" i="17"/>
  <c r="N15" i="17"/>
  <c r="N52" i="17"/>
  <c r="N54" i="17" s="1"/>
  <c r="AA21" i="17"/>
  <c r="AB54" i="17"/>
  <c r="Z52" i="17"/>
  <c r="F53" i="17"/>
  <c r="F54" i="17" s="1"/>
  <c r="N26" i="17"/>
  <c r="AA39" i="17"/>
  <c r="AA45" i="17"/>
  <c r="N51" i="17"/>
  <c r="AA51" i="17"/>
  <c r="AA53" i="17"/>
  <c r="Z27" i="17"/>
  <c r="F27" i="17"/>
  <c r="F20" i="17"/>
  <c r="N21" i="17"/>
  <c r="F26" i="17"/>
  <c r="AA54" i="17"/>
  <c r="Z20" i="17"/>
  <c r="Z38" i="17"/>
  <c r="N50" i="17"/>
  <c r="AA20" i="17"/>
  <c r="E54" i="17"/>
  <c r="AA44" i="17"/>
  <c r="Z50" i="17"/>
  <c r="Z53" i="17"/>
  <c r="Z54" i="17" s="1"/>
  <c r="AA27" i="17"/>
  <c r="F44" i="17"/>
  <c r="N45" i="17"/>
  <c r="AA26" i="17"/>
  <c r="AB38" i="17"/>
  <c r="F32" i="17"/>
  <c r="Z44" i="17"/>
  <c r="N44" i="17"/>
  <c r="F51" i="17"/>
  <c r="AA50" i="17"/>
  <c r="AC54" i="17"/>
  <c r="Z26" i="17"/>
  <c r="AA38" i="17"/>
  <c r="F50" i="17"/>
  <c r="AB50" i="17"/>
  <c r="AD54" i="17"/>
  <c r="N39" i="17"/>
  <c r="Z51" i="17"/>
  <c r="Z21" i="17"/>
  <c r="F21" i="17"/>
  <c r="N27" i="17"/>
  <c r="F33" i="17"/>
  <c r="N38" i="17"/>
  <c r="Z39" i="17"/>
  <c r="F15" i="17"/>
  <c r="Z15" i="17"/>
  <c r="AA15" i="17"/>
  <c r="BE56" i="6"/>
  <c r="AS42" i="6" l="1"/>
  <c r="BB42" i="6"/>
  <c r="AS28" i="6"/>
  <c r="AS14" i="6"/>
  <c r="ET24" i="6"/>
  <c r="BC24" i="6"/>
  <c r="BB24" i="6"/>
  <c r="BD12" i="6"/>
  <c r="BA12" i="6"/>
  <c r="BE12" i="6"/>
  <c r="BA59" i="6" l="1"/>
  <c r="G646" i="15" l="1"/>
  <c r="G645" i="15"/>
  <c r="G644" i="15"/>
  <c r="G643" i="15"/>
  <c r="G642" i="15"/>
  <c r="G641" i="15"/>
  <c r="G640" i="15"/>
  <c r="K323" i="15"/>
  <c r="K324" i="15"/>
  <c r="K325" i="15"/>
  <c r="K326" i="15"/>
  <c r="K327" i="15"/>
  <c r="K328" i="15"/>
  <c r="H328" i="15"/>
  <c r="H327" i="15"/>
  <c r="H326" i="15"/>
  <c r="H325" i="15"/>
  <c r="H324" i="15"/>
  <c r="H323" i="15"/>
  <c r="H322" i="15"/>
  <c r="BE14" i="6" l="1"/>
  <c r="BD14" i="6"/>
  <c r="BC14" i="6"/>
  <c r="BB54" i="6"/>
  <c r="BA54" i="6"/>
  <c r="BB53" i="6"/>
  <c r="BA53" i="6"/>
  <c r="AS53" i="6"/>
  <c r="BC47" i="6"/>
  <c r="BB47" i="6"/>
  <c r="BA47" i="6"/>
  <c r="BB46" i="6"/>
  <c r="BE39" i="6"/>
  <c r="BC42" i="6"/>
  <c r="BC40" i="6"/>
  <c r="BC39" i="6"/>
  <c r="BA40" i="6"/>
  <c r="BB40" i="6"/>
  <c r="BB39" i="6"/>
  <c r="AS39" i="6"/>
  <c r="BA39" i="6"/>
  <c r="BB32" i="6"/>
  <c r="AS32" i="6"/>
  <c r="BC26" i="6"/>
  <c r="BB26" i="6"/>
  <c r="BA26" i="6"/>
  <c r="BD25" i="6"/>
  <c r="BC25" i="6"/>
  <c r="BB25" i="6"/>
  <c r="AS25" i="6"/>
  <c r="BA25" i="6" s="1"/>
  <c r="BC19" i="6"/>
  <c r="BB19" i="6"/>
  <c r="BA19" i="6"/>
  <c r="BC18" i="6"/>
  <c r="BB18" i="6"/>
  <c r="AS18" i="6"/>
  <c r="BC12" i="6"/>
  <c r="BB12" i="6"/>
  <c r="BA11" i="6"/>
  <c r="BC11" i="6" l="1"/>
  <c r="BB11" i="6"/>
  <c r="EV52" i="6"/>
  <c r="EU52" i="6"/>
  <c r="ET52" i="6"/>
  <c r="ES52" i="6"/>
  <c r="ER53" i="6"/>
  <c r="ER54" i="6"/>
  <c r="ER55" i="6"/>
  <c r="ER56" i="6"/>
  <c r="ER57" i="6"/>
  <c r="ER52" i="6"/>
  <c r="BE55" i="6"/>
  <c r="BE54" i="6"/>
  <c r="BE53" i="6"/>
  <c r="BE52" i="6"/>
  <c r="BD56" i="6"/>
  <c r="BD55" i="6"/>
  <c r="BD54" i="6"/>
  <c r="BD53" i="6"/>
  <c r="BD52" i="6"/>
  <c r="BC56" i="6"/>
  <c r="BC55" i="6"/>
  <c r="BC54" i="6"/>
  <c r="BC53" i="6"/>
  <c r="BC52" i="6"/>
  <c r="BB56" i="6"/>
  <c r="BB55" i="6"/>
  <c r="BB52" i="6"/>
  <c r="BA52" i="6"/>
  <c r="AT58" i="6"/>
  <c r="AT57" i="6"/>
  <c r="EU24" i="6" l="1"/>
  <c r="ES24" i="6"/>
  <c r="EV24" i="6" l="1"/>
  <c r="ER25" i="6"/>
  <c r="ER26" i="6"/>
  <c r="ER27" i="6"/>
  <c r="ER28" i="6"/>
  <c r="ER29" i="6"/>
  <c r="ER24" i="6"/>
  <c r="BE24" i="6"/>
  <c r="BD24" i="6"/>
  <c r="BC27" i="6"/>
  <c r="BC28" i="6"/>
  <c r="BB27" i="6"/>
  <c r="BB28" i="6"/>
  <c r="BA24" i="6"/>
  <c r="AT30" i="6"/>
  <c r="AT29" i="6"/>
  <c r="EV17" i="6" l="1"/>
  <c r="EU17" i="6"/>
  <c r="ET17" i="6"/>
  <c r="ES17" i="6"/>
  <c r="ER18" i="6"/>
  <c r="ER19" i="6"/>
  <c r="ER20" i="6"/>
  <c r="ER21" i="6"/>
  <c r="ER22" i="6"/>
  <c r="ER17" i="6"/>
  <c r="BE17" i="6"/>
  <c r="BD17" i="6"/>
  <c r="BC17" i="6"/>
  <c r="BB17" i="6"/>
  <c r="BC20" i="6"/>
  <c r="BC21" i="6"/>
  <c r="BB20" i="6"/>
  <c r="BB21" i="6"/>
  <c r="AT23" i="6"/>
  <c r="AT22" i="6"/>
  <c r="EU10" i="6" l="1"/>
  <c r="ES10" i="6"/>
  <c r="ER11" i="6"/>
  <c r="ER12" i="6"/>
  <c r="ER13" i="6"/>
  <c r="ER14" i="6"/>
  <c r="BE13" i="6"/>
  <c r="BE10" i="6"/>
  <c r="ET10" i="6" s="1"/>
  <c r="BD13" i="6"/>
  <c r="BD11" i="6"/>
  <c r="BD10" i="6"/>
  <c r="BC13" i="6"/>
  <c r="BB14" i="6"/>
  <c r="BB13" i="6"/>
  <c r="BB10" i="6"/>
  <c r="AT16" i="6"/>
  <c r="AT15" i="6"/>
  <c r="ER15" i="6" s="1"/>
  <c r="EV31" i="6" l="1"/>
  <c r="EU31" i="6"/>
  <c r="ET31" i="6"/>
  <c r="ES31" i="6"/>
  <c r="ER32" i="6"/>
  <c r="ER33" i="6"/>
  <c r="ER34" i="6"/>
  <c r="ER35" i="6"/>
  <c r="ER31" i="6"/>
  <c r="BE34" i="6"/>
  <c r="BE31" i="6"/>
  <c r="BE32" i="6"/>
  <c r="BD31" i="6"/>
  <c r="BC32" i="6"/>
  <c r="BC33" i="6"/>
  <c r="BC34" i="6"/>
  <c r="BC35" i="6"/>
  <c r="BC31" i="6"/>
  <c r="BB35" i="6"/>
  <c r="BB34" i="6"/>
  <c r="BB33" i="6"/>
  <c r="BB31" i="6"/>
  <c r="BD13" i="5"/>
  <c r="EV45" i="6" l="1"/>
  <c r="EU45" i="6"/>
  <c r="ET45" i="6"/>
  <c r="ES45" i="6"/>
  <c r="ER46" i="6"/>
  <c r="ER47" i="6"/>
  <c r="ER48" i="6"/>
  <c r="ER49" i="6"/>
  <c r="ER50" i="6"/>
  <c r="ER45" i="6"/>
  <c r="BD45" i="6"/>
  <c r="BE45" i="6"/>
  <c r="BC49" i="6"/>
  <c r="BC48" i="6"/>
  <c r="BC46" i="6"/>
  <c r="BC45" i="6"/>
  <c r="BB49" i="6"/>
  <c r="BB48" i="6"/>
  <c r="BB45" i="6"/>
  <c r="AR30" i="6"/>
  <c r="AR29" i="6"/>
  <c r="ET16" i="5" l="1"/>
  <c r="ET15" i="5"/>
  <c r="ET14" i="5"/>
  <c r="ET13" i="5"/>
  <c r="ET12" i="5"/>
  <c r="BG16" i="5"/>
  <c r="BG15" i="5"/>
  <c r="BG14" i="5"/>
  <c r="BG13" i="5"/>
  <c r="BG12" i="5"/>
  <c r="BF14" i="5"/>
  <c r="BE16" i="5"/>
  <c r="BE15" i="5"/>
  <c r="BE14" i="5"/>
  <c r="EW14" i="5" s="1"/>
  <c r="BE13" i="5"/>
  <c r="EW13" i="5" s="1"/>
  <c r="BE12" i="5"/>
  <c r="BD16" i="5"/>
  <c r="BD15" i="5"/>
  <c r="BD14" i="5"/>
  <c r="BD12" i="5"/>
  <c r="EU12" i="5" l="1"/>
  <c r="EW12" i="5"/>
  <c r="EV12" i="5"/>
  <c r="BE35" i="6" l="1"/>
  <c r="BE33" i="6"/>
  <c r="BE25" i="6"/>
  <c r="BC60" i="6"/>
  <c r="BD49" i="6"/>
  <c r="AQ49" i="6"/>
  <c r="BA49" i="6" s="1"/>
  <c r="AB60" i="6"/>
  <c r="BA56" i="6"/>
  <c r="BA55" i="6"/>
  <c r="BE49" i="6"/>
  <c r="BE48" i="6"/>
  <c r="BE47" i="6"/>
  <c r="BE46" i="6"/>
  <c r="BA45" i="6"/>
  <c r="BE40" i="6"/>
  <c r="BE41" i="6"/>
  <c r="BD39" i="6"/>
  <c r="BA31" i="6"/>
  <c r="BE27" i="6"/>
  <c r="BE26" i="6"/>
  <c r="BE21" i="6"/>
  <c r="BE20" i="6"/>
  <c r="BE19" i="6"/>
  <c r="BE18" i="6"/>
  <c r="BA21" i="6"/>
  <c r="BA14" i="6"/>
  <c r="BA42" i="6"/>
  <c r="BE60" i="6" l="1"/>
  <c r="G639" i="15"/>
  <c r="G638" i="15"/>
  <c r="G637" i="15"/>
  <c r="G636" i="15"/>
  <c r="G635" i="15"/>
  <c r="G634" i="15"/>
  <c r="G633" i="15"/>
  <c r="K321" i="15"/>
  <c r="K320" i="15"/>
  <c r="K319" i="15"/>
  <c r="K318" i="15"/>
  <c r="K317" i="15"/>
  <c r="K316" i="15"/>
  <c r="K315" i="15"/>
  <c r="H321" i="15"/>
  <c r="H320" i="15"/>
  <c r="H319" i="15"/>
  <c r="H318" i="15"/>
  <c r="H317" i="15"/>
  <c r="H316" i="15"/>
  <c r="H315" i="15"/>
  <c r="AQ60" i="6"/>
  <c r="AU53" i="6" l="1"/>
  <c r="AQ53" i="6"/>
  <c r="AU39" i="6"/>
  <c r="AQ39" i="6"/>
  <c r="AQ32" i="6"/>
  <c r="AU25" i="6"/>
  <c r="AU18" i="6"/>
  <c r="AQ18" i="6"/>
  <c r="BA18" i="6" l="1"/>
  <c r="AR58" i="6" l="1"/>
  <c r="AR57" i="6"/>
  <c r="AR16" i="6" l="1"/>
  <c r="AR15" i="6"/>
  <c r="AR23" i="6"/>
  <c r="AR22" i="6"/>
  <c r="AR44" i="6" l="1"/>
  <c r="AR43" i="6"/>
  <c r="EX14" i="5" l="1"/>
  <c r="EV55" i="6" l="1"/>
  <c r="BC38" i="6"/>
  <c r="BC41" i="6"/>
  <c r="EV40" i="6"/>
  <c r="EV33" i="6"/>
  <c r="EV26" i="6"/>
  <c r="EU21" i="6"/>
  <c r="EV19" i="6"/>
  <c r="EU20" i="6"/>
  <c r="EV13" i="6"/>
  <c r="EV12" i="6"/>
  <c r="BB58" i="6"/>
  <c r="EU49" i="6"/>
  <c r="EU46" i="6"/>
  <c r="BB41" i="6"/>
  <c r="BB38" i="6"/>
  <c r="BB22" i="6"/>
  <c r="EV20" i="6"/>
  <c r="EV21" i="6"/>
  <c r="EV27" i="6"/>
  <c r="EV34" i="6"/>
  <c r="EV35" i="6"/>
  <c r="EV38" i="6"/>
  <c r="EV41" i="6"/>
  <c r="EV46" i="6"/>
  <c r="EV47" i="6"/>
  <c r="EV48" i="6"/>
  <c r="EV54" i="6"/>
  <c r="EV56" i="6"/>
  <c r="EU11" i="6"/>
  <c r="EU12" i="6"/>
  <c r="EU14" i="6"/>
  <c r="EU26" i="6"/>
  <c r="EU27" i="6"/>
  <c r="EU34" i="6"/>
  <c r="EU35" i="6"/>
  <c r="EU38" i="6"/>
  <c r="EU41" i="6"/>
  <c r="EU42" i="6"/>
  <c r="EU47" i="6"/>
  <c r="EU48" i="6"/>
  <c r="EU54" i="6"/>
  <c r="EU56" i="6"/>
  <c r="BB59" i="6" l="1"/>
  <c r="EU25" i="6"/>
  <c r="EU18" i="6"/>
  <c r="EU28" i="6"/>
  <c r="EU13" i="6"/>
  <c r="EU40" i="6"/>
  <c r="EU53" i="6"/>
  <c r="EU55" i="6"/>
  <c r="EU39" i="6"/>
  <c r="EU32" i="6"/>
  <c r="EU33" i="6"/>
  <c r="EU19" i="6"/>
  <c r="ET14" i="6"/>
  <c r="ET19" i="6"/>
  <c r="ET20" i="6"/>
  <c r="ET21" i="6"/>
  <c r="ET26" i="6"/>
  <c r="ET27" i="6"/>
  <c r="ET33" i="6"/>
  <c r="ET34" i="6"/>
  <c r="ET35" i="6"/>
  <c r="ET38" i="6"/>
  <c r="ET40" i="6"/>
  <c r="ET41" i="6"/>
  <c r="ET46" i="6"/>
  <c r="ET47" i="6"/>
  <c r="ET48" i="6"/>
  <c r="ET49" i="6"/>
  <c r="ET54" i="6"/>
  <c r="ET55" i="6"/>
  <c r="ET56" i="6"/>
  <c r="ES11" i="6"/>
  <c r="ES12" i="6"/>
  <c r="ES13" i="6"/>
  <c r="ES14" i="6"/>
  <c r="ES18" i="6"/>
  <c r="ES19" i="6"/>
  <c r="ES20" i="6"/>
  <c r="ES21" i="6"/>
  <c r="ES25" i="6"/>
  <c r="ES26" i="6"/>
  <c r="ES27" i="6"/>
  <c r="ES28" i="6"/>
  <c r="ES32" i="6"/>
  <c r="ES33" i="6"/>
  <c r="ES34" i="6"/>
  <c r="ES35" i="6"/>
  <c r="ES38" i="6"/>
  <c r="ES39" i="6"/>
  <c r="ES40" i="6"/>
  <c r="ES41" i="6"/>
  <c r="ES42" i="6"/>
  <c r="ES46" i="6"/>
  <c r="ES47" i="6"/>
  <c r="ES48" i="6"/>
  <c r="ES49" i="6"/>
  <c r="ES53" i="6"/>
  <c r="ES54" i="6"/>
  <c r="ES55" i="6"/>
  <c r="ES56" i="6"/>
  <c r="ET13" i="6" l="1"/>
  <c r="EV14" i="5"/>
  <c r="G632" i="15"/>
  <c r="G631" i="15"/>
  <c r="G630" i="15"/>
  <c r="G629" i="15"/>
  <c r="G628" i="15"/>
  <c r="G627" i="15"/>
  <c r="G626" i="15"/>
  <c r="F473" i="15"/>
  <c r="F472" i="15"/>
  <c r="F471" i="15"/>
  <c r="F470" i="15"/>
  <c r="F469" i="15"/>
  <c r="F468" i="15"/>
  <c r="F467" i="15"/>
  <c r="H314" i="15"/>
  <c r="H313" i="15"/>
  <c r="H312" i="15"/>
  <c r="H310" i="15"/>
  <c r="H309" i="15"/>
  <c r="H308" i="15"/>
  <c r="K314" i="15"/>
  <c r="K313" i="15"/>
  <c r="K312" i="15"/>
  <c r="K311" i="15"/>
  <c r="K310" i="15"/>
  <c r="K309" i="15"/>
  <c r="K308" i="15"/>
  <c r="ET11" i="6" l="1"/>
  <c r="AP57" i="6" l="1"/>
  <c r="AP43" i="6"/>
  <c r="AP29" i="6"/>
  <c r="AP22" i="6" l="1"/>
  <c r="AP15" i="6" l="1"/>
  <c r="ET53" i="6" l="1"/>
  <c r="BE38" i="6" l="1"/>
  <c r="BD38" i="6"/>
  <c r="BA17" i="6"/>
  <c r="Z50" i="6"/>
  <c r="AM43" i="6"/>
  <c r="AP58" i="6"/>
  <c r="AP51" i="6"/>
  <c r="AP44" i="6"/>
  <c r="AP37" i="6"/>
  <c r="AP30" i="6"/>
  <c r="AP23" i="6"/>
  <c r="AP16" i="6"/>
  <c r="BC14" i="5"/>
  <c r="BC12" i="5"/>
  <c r="I12" i="5" s="1"/>
  <c r="EX12" i="5" s="1"/>
  <c r="G45" i="6"/>
  <c r="H302" i="15" l="1"/>
  <c r="G620" i="15"/>
  <c r="G625" i="15"/>
  <c r="G624" i="15"/>
  <c r="G623" i="15"/>
  <c r="G622" i="15"/>
  <c r="G621" i="15"/>
  <c r="G619" i="15"/>
  <c r="G612" i="15"/>
  <c r="H307" i="15"/>
  <c r="H306" i="15"/>
  <c r="H305" i="15"/>
  <c r="H301" i="15"/>
  <c r="K302" i="15"/>
  <c r="K303" i="15"/>
  <c r="K304" i="15"/>
  <c r="K305" i="15"/>
  <c r="K306" i="15"/>
  <c r="K307" i="15"/>
  <c r="G618" i="15" l="1"/>
  <c r="G617" i="15"/>
  <c r="G616" i="15"/>
  <c r="G615" i="15"/>
  <c r="G614" i="15"/>
  <c r="G613" i="15"/>
  <c r="H300" i="15" l="1"/>
  <c r="H299" i="15"/>
  <c r="H298" i="15"/>
  <c r="H295" i="15"/>
  <c r="H294" i="15"/>
  <c r="K295" i="15"/>
  <c r="K296" i="15"/>
  <c r="K297" i="15"/>
  <c r="K298" i="15"/>
  <c r="K299" i="15"/>
  <c r="K300" i="15"/>
  <c r="K293" i="15"/>
  <c r="G694" i="15"/>
  <c r="G693" i="15"/>
  <c r="G692" i="15"/>
  <c r="G691" i="15"/>
  <c r="G690" i="15"/>
  <c r="G689" i="15"/>
  <c r="G688" i="15"/>
  <c r="G687" i="15"/>
  <c r="G686" i="15"/>
  <c r="G685" i="15"/>
  <c r="G684" i="15"/>
  <c r="G683" i="15"/>
  <c r="G679" i="15"/>
  <c r="G678" i="15"/>
  <c r="G677" i="15"/>
  <c r="G676" i="15"/>
  <c r="G675" i="15"/>
  <c r="G674" i="15"/>
  <c r="G673" i="15"/>
  <c r="G672" i="15"/>
  <c r="G671" i="15"/>
  <c r="G670" i="15"/>
  <c r="G669" i="15"/>
  <c r="G668" i="15"/>
  <c r="G664" i="15"/>
  <c r="G663" i="15"/>
  <c r="G662" i="15"/>
  <c r="G661" i="15"/>
  <c r="G660" i="15"/>
  <c r="G659" i="15"/>
  <c r="G658" i="15"/>
  <c r="G657" i="15"/>
  <c r="G656" i="15"/>
  <c r="G655" i="15"/>
  <c r="G654" i="15"/>
  <c r="G653" i="15"/>
  <c r="G649" i="15"/>
  <c r="G648" i="15"/>
  <c r="G647" i="15"/>
  <c r="G608" i="15"/>
  <c r="G605" i="15"/>
  <c r="G601" i="15"/>
  <c r="G598" i="15"/>
  <c r="G594" i="15"/>
  <c r="G591" i="15"/>
  <c r="G587" i="15"/>
  <c r="G584" i="15"/>
  <c r="G577" i="15"/>
  <c r="G574" i="15"/>
  <c r="H573" i="15"/>
  <c r="H572" i="15"/>
  <c r="H571" i="15"/>
  <c r="H570" i="15"/>
  <c r="G570" i="15"/>
  <c r="H569" i="15"/>
  <c r="H568" i="15"/>
  <c r="H567" i="15"/>
  <c r="G567" i="15"/>
  <c r="G563" i="15"/>
  <c r="G560" i="15"/>
  <c r="H559" i="15"/>
  <c r="H558" i="15"/>
  <c r="H557" i="15"/>
  <c r="H556" i="15"/>
  <c r="G556" i="15"/>
  <c r="H555" i="15"/>
  <c r="H554" i="15"/>
  <c r="H553" i="15"/>
  <c r="G553" i="15"/>
  <c r="H552" i="15"/>
  <c r="H551" i="15"/>
  <c r="H550" i="15"/>
  <c r="H549" i="15"/>
  <c r="G549" i="15"/>
  <c r="H548" i="15"/>
  <c r="H547" i="15"/>
  <c r="H546" i="15"/>
  <c r="G546" i="15"/>
  <c r="H545" i="15"/>
  <c r="H544" i="15"/>
  <c r="H543" i="15"/>
  <c r="H542" i="15"/>
  <c r="G542" i="15"/>
  <c r="H541" i="15"/>
  <c r="H540" i="15"/>
  <c r="H539" i="15"/>
  <c r="G539" i="15"/>
  <c r="K376" i="15"/>
  <c r="K375" i="15"/>
  <c r="K374" i="15"/>
  <c r="K373" i="15"/>
  <c r="K372" i="15"/>
  <c r="K371" i="15"/>
  <c r="K370" i="15"/>
  <c r="K369" i="15"/>
  <c r="K368" i="15"/>
  <c r="K367" i="15"/>
  <c r="K366" i="15"/>
  <c r="K365" i="15"/>
  <c r="K361" i="15"/>
  <c r="K360" i="15"/>
  <c r="K359" i="15"/>
  <c r="K358" i="15"/>
  <c r="K357" i="15"/>
  <c r="K356" i="15"/>
  <c r="K355" i="15"/>
  <c r="K354" i="15"/>
  <c r="K353" i="15"/>
  <c r="K352" i="15"/>
  <c r="K351" i="15"/>
  <c r="K350" i="15"/>
  <c r="K346" i="15"/>
  <c r="K345" i="15"/>
  <c r="K344" i="15"/>
  <c r="K343" i="15"/>
  <c r="K342" i="15"/>
  <c r="K341" i="15"/>
  <c r="K340" i="15"/>
  <c r="K339" i="15"/>
  <c r="K338" i="15"/>
  <c r="K337" i="15"/>
  <c r="K336" i="15"/>
  <c r="K335" i="15"/>
  <c r="K331" i="15"/>
  <c r="K330" i="15"/>
  <c r="K329" i="15"/>
  <c r="K322" i="15"/>
  <c r="K301" i="15"/>
  <c r="K294" i="15"/>
  <c r="K292" i="15"/>
  <c r="K291" i="15"/>
  <c r="K290" i="15"/>
  <c r="K289" i="15"/>
  <c r="K288" i="15"/>
  <c r="K287" i="15"/>
  <c r="K286" i="15"/>
  <c r="K285" i="15"/>
  <c r="K284" i="15"/>
  <c r="K283" i="15"/>
  <c r="K282" i="15"/>
  <c r="K281" i="15"/>
  <c r="K280" i="15"/>
  <c r="K279" i="15"/>
  <c r="K278" i="15"/>
  <c r="K277" i="15"/>
  <c r="K276" i="15"/>
  <c r="K275" i="15"/>
  <c r="K274" i="15"/>
  <c r="K273" i="15"/>
  <c r="K272" i="15"/>
  <c r="K271" i="15"/>
  <c r="K270" i="15"/>
  <c r="K269" i="15"/>
  <c r="K268" i="15"/>
  <c r="K267" i="15"/>
  <c r="K266" i="15"/>
  <c r="K262" i="15"/>
  <c r="K261" i="15"/>
  <c r="K260" i="15"/>
  <c r="K259" i="15"/>
  <c r="K258" i="15"/>
  <c r="K257" i="15"/>
  <c r="K256" i="15"/>
  <c r="K255" i="15"/>
  <c r="K254" i="15"/>
  <c r="K253" i="15"/>
  <c r="K252" i="15"/>
  <c r="K251" i="15"/>
  <c r="K250" i="15"/>
  <c r="K249" i="15"/>
  <c r="H566" i="15"/>
  <c r="K248" i="15"/>
  <c r="H565" i="15"/>
  <c r="K247" i="15"/>
  <c r="H564" i="15"/>
  <c r="K246" i="15"/>
  <c r="H563" i="15"/>
  <c r="K245" i="15"/>
  <c r="H562" i="15"/>
  <c r="K244" i="15"/>
  <c r="H561" i="15"/>
  <c r="K243" i="15"/>
  <c r="H560" i="15"/>
  <c r="K242" i="15"/>
  <c r="K241" i="15"/>
  <c r="K240" i="15"/>
  <c r="K239" i="15"/>
  <c r="K238" i="15"/>
  <c r="K237" i="15"/>
  <c r="K236" i="15"/>
  <c r="K235" i="15"/>
  <c r="K234" i="15"/>
  <c r="K233" i="15"/>
  <c r="K232" i="15"/>
  <c r="K231" i="15"/>
  <c r="K230" i="15"/>
  <c r="K229" i="15"/>
  <c r="K228" i="15"/>
  <c r="K227" i="15"/>
  <c r="K226" i="15"/>
  <c r="K225" i="15"/>
  <c r="K224" i="15"/>
  <c r="K223" i="15"/>
  <c r="K222" i="15"/>
  <c r="K221" i="15"/>
  <c r="H217" i="15"/>
  <c r="H216" i="15"/>
  <c r="H215" i="15"/>
  <c r="H214" i="15"/>
  <c r="H213" i="15"/>
  <c r="H212" i="15"/>
  <c r="H211" i="15"/>
  <c r="H210" i="15"/>
  <c r="H209" i="15"/>
  <c r="H208" i="15"/>
  <c r="H207" i="15"/>
  <c r="H206" i="15"/>
  <c r="H202" i="15"/>
  <c r="H201" i="15"/>
  <c r="H200" i="15"/>
  <c r="H199" i="15"/>
  <c r="H198" i="15"/>
  <c r="H197" i="15"/>
  <c r="H196" i="15"/>
  <c r="H195" i="15"/>
  <c r="H194" i="15"/>
  <c r="H193" i="15"/>
  <c r="H192" i="15"/>
  <c r="H191" i="15"/>
  <c r="H187" i="15"/>
  <c r="H186" i="15"/>
  <c r="H185" i="15"/>
  <c r="H184" i="15"/>
  <c r="H183" i="15"/>
  <c r="H182" i="15"/>
  <c r="H181" i="15"/>
  <c r="H180" i="15"/>
  <c r="H179" i="15"/>
  <c r="H178" i="15"/>
  <c r="H177" i="15"/>
  <c r="H176" i="15"/>
  <c r="H68" i="15"/>
  <c r="H67" i="15"/>
  <c r="H66" i="15"/>
  <c r="H65" i="15"/>
  <c r="H63" i="15"/>
  <c r="H62" i="15"/>
  <c r="H61" i="15"/>
  <c r="H60" i="15"/>
  <c r="H59" i="15"/>
  <c r="G596" i="15" l="1"/>
  <c r="G544" i="15"/>
  <c r="G573" i="15"/>
  <c r="G592" i="15"/>
  <c r="G597" i="15"/>
  <c r="G558" i="15"/>
  <c r="G576" i="15"/>
  <c r="G586" i="15"/>
  <c r="G606" i="15"/>
  <c r="G602" i="15"/>
  <c r="G611" i="15"/>
  <c r="G555" i="15"/>
  <c r="G569" i="15"/>
  <c r="G572" i="15"/>
  <c r="G588" i="15"/>
  <c r="G552" i="15"/>
  <c r="G564" i="15"/>
  <c r="G571" i="15"/>
  <c r="G609" i="15"/>
  <c r="G604" i="15"/>
  <c r="G575" i="15"/>
  <c r="G579" i="15"/>
  <c r="G599" i="15"/>
  <c r="G589" i="15"/>
  <c r="G540" i="15"/>
  <c r="G543" i="15"/>
  <c r="G559" i="15"/>
  <c r="G561" i="15"/>
  <c r="G578" i="15"/>
  <c r="G607" i="15"/>
  <c r="G545" i="15"/>
  <c r="G548" i="15"/>
  <c r="G551" i="15"/>
  <c r="G554" i="15"/>
  <c r="G557" i="15"/>
  <c r="G562" i="15"/>
  <c r="G566" i="15"/>
  <c r="G568" i="15"/>
  <c r="G585" i="15"/>
  <c r="G590" i="15"/>
  <c r="G595" i="15"/>
  <c r="G600" i="15"/>
  <c r="G610" i="15"/>
  <c r="G541" i="15"/>
  <c r="G547" i="15"/>
  <c r="G550" i="15"/>
  <c r="G565" i="15"/>
  <c r="G580" i="15"/>
  <c r="G593" i="15"/>
  <c r="G603" i="15"/>
  <c r="DN37" i="6"/>
  <c r="AM59" i="6" l="1"/>
  <c r="AS49" i="6"/>
  <c r="BD32" i="6" l="1"/>
  <c r="AY30" i="6"/>
  <c r="AY29" i="6"/>
  <c r="AW30" i="6"/>
  <c r="AW29" i="6"/>
  <c r="AU30" i="6"/>
  <c r="AU29" i="6"/>
  <c r="AS30" i="6"/>
  <c r="ER30" i="6" s="1"/>
  <c r="AS29" i="6"/>
  <c r="AQ30" i="6"/>
  <c r="AQ29" i="6"/>
  <c r="AO30" i="6"/>
  <c r="AO29" i="6"/>
  <c r="AN30" i="6"/>
  <c r="AN29" i="6"/>
  <c r="AM30" i="6"/>
  <c r="AM29" i="6"/>
  <c r="AL29" i="6"/>
  <c r="BD21" i="6"/>
  <c r="BD20" i="6"/>
  <c r="BD19" i="6"/>
  <c r="BD18" i="6"/>
  <c r="ET32" i="6" l="1"/>
  <c r="ET18" i="6"/>
  <c r="H311" i="15"/>
  <c r="G31" i="6"/>
  <c r="H304" i="15"/>
  <c r="H297" i="15"/>
  <c r="BA38" i="6"/>
  <c r="G24" i="6" l="1"/>
  <c r="H303" i="15" l="1"/>
  <c r="H296" i="15"/>
  <c r="BA10" i="6"/>
  <c r="AN60" i="6" l="1"/>
  <c r="AN59" i="6"/>
  <c r="AN58" i="6"/>
  <c r="AN57" i="6"/>
  <c r="AN51" i="6"/>
  <c r="AN50" i="6"/>
  <c r="AN44" i="6"/>
  <c r="AN43" i="6"/>
  <c r="AN37" i="6"/>
  <c r="AN36" i="6"/>
  <c r="AN23" i="6"/>
  <c r="AN22" i="6"/>
  <c r="AN16" i="6"/>
  <c r="AN15" i="6"/>
  <c r="BC15" i="5"/>
  <c r="EW15" i="5" s="1"/>
  <c r="AN61" i="6" l="1"/>
  <c r="EU13" i="5" l="1"/>
  <c r="G17" i="6" l="1"/>
  <c r="BD40" i="6" l="1"/>
  <c r="AJ54" i="6" l="1"/>
  <c r="AF56" i="6"/>
  <c r="AF53" i="6"/>
  <c r="AF49" i="6"/>
  <c r="AH49" i="6" s="1"/>
  <c r="AL47" i="6"/>
  <c r="AJ47" i="6"/>
  <c r="AF46" i="6"/>
  <c r="AH42" i="6"/>
  <c r="AF42" i="6"/>
  <c r="AF39" i="6"/>
  <c r="AJ33" i="6"/>
  <c r="AL33" i="6"/>
  <c r="AF32" i="6"/>
  <c r="AL36" i="6"/>
  <c r="AF35" i="6"/>
  <c r="AH35" i="6" s="1"/>
  <c r="AF28" i="6"/>
  <c r="AJ26" i="6"/>
  <c r="AL19" i="6"/>
  <c r="AL12" i="6"/>
  <c r="AF14" i="6"/>
  <c r="AF11" i="6"/>
  <c r="AJ40" i="6"/>
  <c r="AI26" i="6"/>
  <c r="AJ19" i="6"/>
  <c r="AE28" i="6"/>
  <c r="AF25" i="6"/>
  <c r="AF21" i="6"/>
  <c r="AH21" i="6" s="1"/>
  <c r="AJ21" i="6" s="1"/>
  <c r="AL21" i="6" s="1"/>
  <c r="AF18" i="6"/>
  <c r="AJ35" i="6" l="1"/>
  <c r="AJ49" i="6"/>
  <c r="AH56" i="6"/>
  <c r="AM12" i="6"/>
  <c r="AH46" i="6"/>
  <c r="AH18" i="6"/>
  <c r="AJ18" i="6" s="1"/>
  <c r="AL18" i="6" s="1"/>
  <c r="AL23" i="6" s="1"/>
  <c r="AH39" i="6"/>
  <c r="AH11" i="6"/>
  <c r="AH14" i="6"/>
  <c r="AH25" i="6"/>
  <c r="AJ25" i="6" s="1"/>
  <c r="AL25" i="6" s="1"/>
  <c r="AL26" i="6"/>
  <c r="AL54" i="6"/>
  <c r="AJ42" i="6"/>
  <c r="AL40" i="6"/>
  <c r="AH28" i="6"/>
  <c r="AH32" i="6"/>
  <c r="AH53" i="6"/>
  <c r="AB59" i="6"/>
  <c r="BC13" i="5"/>
  <c r="I13" i="5" l="1"/>
  <c r="EX13" i="5" s="1"/>
  <c r="AJ39" i="6"/>
  <c r="AJ32" i="6"/>
  <c r="AJ28" i="6"/>
  <c r="AO12" i="6"/>
  <c r="AQ12" i="6" s="1"/>
  <c r="AS12" i="6" s="1"/>
  <c r="AU12" i="6" s="1"/>
  <c r="AW12" i="6" s="1"/>
  <c r="AY12" i="6" s="1"/>
  <c r="AJ14" i="6"/>
  <c r="AJ11" i="6"/>
  <c r="AJ46" i="6"/>
  <c r="AL49" i="6"/>
  <c r="AJ56" i="6"/>
  <c r="AL35" i="6"/>
  <c r="AJ53" i="6"/>
  <c r="AL42" i="6"/>
  <c r="AL32" i="6" l="1"/>
  <c r="AL14" i="6"/>
  <c r="AL11" i="6"/>
  <c r="AL39" i="6"/>
  <c r="AL53" i="6"/>
  <c r="AL56" i="6"/>
  <c r="AL28" i="6"/>
  <c r="AL46" i="6"/>
  <c r="AL37" i="6" l="1"/>
  <c r="AL51" i="6"/>
  <c r="AL30" i="6"/>
  <c r="BC59" i="6" l="1"/>
  <c r="U69" i="7" l="1"/>
  <c r="T69" i="7"/>
  <c r="S68" i="7"/>
  <c r="S67" i="7"/>
  <c r="S66" i="7"/>
  <c r="S65" i="7"/>
  <c r="S64" i="7"/>
  <c r="S63" i="7"/>
  <c r="S62" i="7"/>
  <c r="S61" i="7"/>
  <c r="S60" i="7"/>
  <c r="S59" i="7"/>
  <c r="S58" i="7"/>
  <c r="S57" i="7"/>
  <c r="S56" i="7"/>
  <c r="S55" i="7"/>
  <c r="S54" i="7"/>
  <c r="S53" i="7"/>
  <c r="S52" i="7"/>
  <c r="S51" i="7"/>
  <c r="S50" i="7"/>
  <c r="S49" i="7"/>
  <c r="S48" i="7"/>
  <c r="S47" i="7"/>
  <c r="S46" i="7"/>
  <c r="S45" i="7"/>
  <c r="S44" i="7"/>
  <c r="S43" i="7"/>
  <c r="S42" i="7"/>
  <c r="S41" i="7"/>
  <c r="S40" i="7"/>
  <c r="S39" i="7"/>
  <c r="S38" i="7"/>
  <c r="S37" i="7"/>
  <c r="S36" i="7"/>
  <c r="S35" i="7"/>
  <c r="S34" i="7"/>
  <c r="S33" i="7"/>
  <c r="S32" i="7"/>
  <c r="S31" i="7"/>
  <c r="S30" i="7"/>
  <c r="S29" i="7"/>
  <c r="S28" i="7"/>
  <c r="S27" i="7"/>
  <c r="S26" i="7"/>
  <c r="S25" i="7"/>
  <c r="S24" i="7"/>
  <c r="S23" i="7"/>
  <c r="S22" i="7"/>
  <c r="S21" i="7"/>
  <c r="S20" i="7"/>
  <c r="S19" i="7"/>
  <c r="S18" i="7"/>
  <c r="S17" i="7"/>
  <c r="S16" i="7"/>
  <c r="S15" i="7"/>
  <c r="S14" i="7"/>
  <c r="S13" i="7"/>
  <c r="S12" i="7"/>
  <c r="S11" i="7"/>
  <c r="S10" i="7"/>
  <c r="S9" i="7"/>
  <c r="BF13" i="5"/>
  <c r="EV13" i="5" l="1"/>
  <c r="DN30" i="6"/>
  <c r="DN29" i="6"/>
  <c r="CJ30" i="6"/>
  <c r="CJ29" i="6"/>
  <c r="BF30" i="6"/>
  <c r="BF29" i="6"/>
  <c r="DN16" i="6"/>
  <c r="DN15" i="6"/>
  <c r="CJ16" i="6"/>
  <c r="CJ15" i="6"/>
  <c r="BF16" i="6"/>
  <c r="BF15" i="6"/>
  <c r="AK30" i="6"/>
  <c r="AK29" i="6"/>
  <c r="AJ30" i="6"/>
  <c r="AJ29" i="6"/>
  <c r="AI30" i="6"/>
  <c r="AI29" i="6"/>
  <c r="AH30" i="6"/>
  <c r="AH29" i="6"/>
  <c r="AG30" i="6"/>
  <c r="AG29" i="6"/>
  <c r="AF30" i="6"/>
  <c r="AF29" i="6"/>
  <c r="AE30" i="6"/>
  <c r="AE29" i="6"/>
  <c r="AD30" i="6"/>
  <c r="AD29" i="6"/>
  <c r="AC30" i="6"/>
  <c r="AC29" i="6"/>
  <c r="AB30" i="6"/>
  <c r="AB29" i="6"/>
  <c r="AA30" i="6"/>
  <c r="AA29" i="6"/>
  <c r="Z30" i="6"/>
  <c r="Z29" i="6"/>
  <c r="H60" i="6"/>
  <c r="DN60" i="6"/>
  <c r="DH60" i="6"/>
  <c r="DG60" i="6"/>
  <c r="DF60" i="6"/>
  <c r="DE60" i="6"/>
  <c r="DD60" i="6"/>
  <c r="DC60" i="6"/>
  <c r="DB60" i="6"/>
  <c r="DA60" i="6"/>
  <c r="CZ60" i="6"/>
  <c r="CY60" i="6"/>
  <c r="CX60" i="6"/>
  <c r="CW60" i="6"/>
  <c r="CV60" i="6"/>
  <c r="CU60" i="6"/>
  <c r="CT60" i="6"/>
  <c r="CS60" i="6"/>
  <c r="CR60" i="6"/>
  <c r="CQ60" i="6"/>
  <c r="CP60" i="6"/>
  <c r="CO60" i="6"/>
  <c r="CN60" i="6"/>
  <c r="CM60" i="6"/>
  <c r="CL60" i="6"/>
  <c r="CK60" i="6"/>
  <c r="CJ60" i="6"/>
  <c r="CD60" i="6"/>
  <c r="CC60" i="6"/>
  <c r="CB60" i="6"/>
  <c r="CA60" i="6"/>
  <c r="BZ60" i="6"/>
  <c r="BY60" i="6"/>
  <c r="BX60" i="6"/>
  <c r="BW60" i="6"/>
  <c r="BV60" i="6"/>
  <c r="BU60" i="6"/>
  <c r="BT60" i="6"/>
  <c r="BS60" i="6"/>
  <c r="BR60" i="6"/>
  <c r="BQ60" i="6"/>
  <c r="BP60" i="6"/>
  <c r="BO60" i="6"/>
  <c r="BN60" i="6"/>
  <c r="BM60" i="6"/>
  <c r="BL60" i="6"/>
  <c r="BK60" i="6"/>
  <c r="BJ60" i="6"/>
  <c r="BI60" i="6"/>
  <c r="BH60" i="6"/>
  <c r="BG60" i="6"/>
  <c r="BF60" i="6"/>
  <c r="AZ60" i="6"/>
  <c r="AX60" i="6"/>
  <c r="AW60" i="6"/>
  <c r="AV60" i="6"/>
  <c r="AU60" i="6"/>
  <c r="AT60" i="6"/>
  <c r="AS60" i="6"/>
  <c r="AR60" i="6"/>
  <c r="AP60" i="6"/>
  <c r="AO60" i="6"/>
  <c r="AM60" i="6"/>
  <c r="AL60" i="6"/>
  <c r="AK60" i="6"/>
  <c r="AJ60" i="6"/>
  <c r="AI60" i="6"/>
  <c r="AH60" i="6"/>
  <c r="AG60" i="6"/>
  <c r="AF60" i="6"/>
  <c r="AE60" i="6"/>
  <c r="AD60" i="6"/>
  <c r="AC60" i="6"/>
  <c r="AA60" i="6"/>
  <c r="Z60" i="6"/>
  <c r="Y60" i="6"/>
  <c r="X60" i="6"/>
  <c r="W60" i="6"/>
  <c r="V60" i="6"/>
  <c r="U60" i="6"/>
  <c r="T60" i="6"/>
  <c r="S60" i="6"/>
  <c r="R60" i="6"/>
  <c r="Q60" i="6"/>
  <c r="P60" i="6"/>
  <c r="O60" i="6"/>
  <c r="N60" i="6"/>
  <c r="M60" i="6"/>
  <c r="L60" i="6"/>
  <c r="K60" i="6"/>
  <c r="J60" i="6"/>
  <c r="I60" i="6"/>
  <c r="DN59" i="6"/>
  <c r="DN61" i="6" s="1"/>
  <c r="DH59" i="6"/>
  <c r="DH61" i="6" s="1"/>
  <c r="DG59" i="6"/>
  <c r="DG61" i="6" s="1"/>
  <c r="DF59" i="6"/>
  <c r="DF61" i="6" s="1"/>
  <c r="DE59" i="6"/>
  <c r="DE61" i="6" s="1"/>
  <c r="DD59" i="6"/>
  <c r="DD61" i="6" s="1"/>
  <c r="DC59" i="6"/>
  <c r="DC61" i="6" s="1"/>
  <c r="DB59" i="6"/>
  <c r="DB61" i="6" s="1"/>
  <c r="DA59" i="6"/>
  <c r="DA61" i="6" s="1"/>
  <c r="CZ59" i="6"/>
  <c r="CZ61" i="6" s="1"/>
  <c r="CY59" i="6"/>
  <c r="CY61" i="6" s="1"/>
  <c r="CX59" i="6"/>
  <c r="CX61" i="6" s="1"/>
  <c r="CW59" i="6"/>
  <c r="CW61" i="6" s="1"/>
  <c r="CV59" i="6"/>
  <c r="CV61" i="6" s="1"/>
  <c r="CU59" i="6"/>
  <c r="CU61" i="6" s="1"/>
  <c r="CT59" i="6"/>
  <c r="CT61" i="6" s="1"/>
  <c r="CS59" i="6"/>
  <c r="CS61" i="6" s="1"/>
  <c r="CR59" i="6"/>
  <c r="CR61" i="6" s="1"/>
  <c r="CQ59" i="6"/>
  <c r="CQ61" i="6" s="1"/>
  <c r="CP59" i="6"/>
  <c r="CP61" i="6" s="1"/>
  <c r="CO59" i="6"/>
  <c r="CO61" i="6" s="1"/>
  <c r="CN59" i="6"/>
  <c r="CN61" i="6" s="1"/>
  <c r="CM59" i="6"/>
  <c r="CM61" i="6" s="1"/>
  <c r="CL59" i="6"/>
  <c r="CL61" i="6" s="1"/>
  <c r="CK59" i="6"/>
  <c r="CK61" i="6" s="1"/>
  <c r="CJ59" i="6"/>
  <c r="CJ61" i="6" s="1"/>
  <c r="CD59" i="6"/>
  <c r="CD61" i="6" s="1"/>
  <c r="CC59" i="6"/>
  <c r="CC61" i="6" s="1"/>
  <c r="CB59" i="6"/>
  <c r="CB61" i="6" s="1"/>
  <c r="CA59" i="6"/>
  <c r="CA61" i="6" s="1"/>
  <c r="BZ59" i="6"/>
  <c r="BZ61" i="6" s="1"/>
  <c r="BY59" i="6"/>
  <c r="BY61" i="6" s="1"/>
  <c r="BX59" i="6"/>
  <c r="BX61" i="6" s="1"/>
  <c r="BW59" i="6"/>
  <c r="BW61" i="6" s="1"/>
  <c r="BV59" i="6"/>
  <c r="BV61" i="6" s="1"/>
  <c r="BU59" i="6"/>
  <c r="BU61" i="6" s="1"/>
  <c r="BT59" i="6"/>
  <c r="BT61" i="6" s="1"/>
  <c r="BS59" i="6"/>
  <c r="BS61" i="6" s="1"/>
  <c r="BR59" i="6"/>
  <c r="BR61" i="6" s="1"/>
  <c r="BQ59" i="6"/>
  <c r="BQ61" i="6" s="1"/>
  <c r="BP59" i="6"/>
  <c r="BP61" i="6" s="1"/>
  <c r="BO59" i="6"/>
  <c r="BO61" i="6" s="1"/>
  <c r="BN59" i="6"/>
  <c r="BN61" i="6" s="1"/>
  <c r="BM59" i="6"/>
  <c r="BM61" i="6" s="1"/>
  <c r="BL59" i="6"/>
  <c r="BL61" i="6" s="1"/>
  <c r="BK59" i="6"/>
  <c r="BK61" i="6" s="1"/>
  <c r="BJ59" i="6"/>
  <c r="BJ61" i="6" s="1"/>
  <c r="BI59" i="6"/>
  <c r="BI61" i="6" s="1"/>
  <c r="BH59" i="6"/>
  <c r="BH61" i="6" s="1"/>
  <c r="BG59" i="6"/>
  <c r="BG61" i="6" s="1"/>
  <c r="BF59" i="6"/>
  <c r="AZ59" i="6"/>
  <c r="AZ61" i="6" s="1"/>
  <c r="AY59" i="6"/>
  <c r="AX59" i="6"/>
  <c r="AX61" i="6" s="1"/>
  <c r="AW59" i="6"/>
  <c r="AV59" i="6"/>
  <c r="AV61" i="6" s="1"/>
  <c r="AU59" i="6"/>
  <c r="AT59" i="6"/>
  <c r="AS59" i="6"/>
  <c r="AR59" i="6"/>
  <c r="AQ59" i="6"/>
  <c r="AP59" i="6"/>
  <c r="AO59" i="6"/>
  <c r="AL59" i="6"/>
  <c r="AK59" i="6"/>
  <c r="AJ59" i="6"/>
  <c r="AI59" i="6"/>
  <c r="AH59" i="6"/>
  <c r="AG59" i="6"/>
  <c r="AF59" i="6"/>
  <c r="AE59" i="6"/>
  <c r="AD59" i="6"/>
  <c r="AC59" i="6"/>
  <c r="AA59" i="6"/>
  <c r="Z59" i="6"/>
  <c r="Z61" i="6" s="1"/>
  <c r="Y59" i="6"/>
  <c r="Y61" i="6" s="1"/>
  <c r="X59" i="6"/>
  <c r="W59" i="6"/>
  <c r="V59" i="6"/>
  <c r="V61" i="6" s="1"/>
  <c r="U59" i="6"/>
  <c r="U61" i="6" s="1"/>
  <c r="T59" i="6"/>
  <c r="T61" i="6" s="1"/>
  <c r="S59" i="6"/>
  <c r="S61" i="6" s="1"/>
  <c r="R59" i="6"/>
  <c r="R61" i="6" s="1"/>
  <c r="Q59" i="6"/>
  <c r="Q61" i="6" s="1"/>
  <c r="P59" i="6"/>
  <c r="P61" i="6" s="1"/>
  <c r="O59" i="6"/>
  <c r="O61" i="6" s="1"/>
  <c r="N59" i="6"/>
  <c r="N61" i="6" s="1"/>
  <c r="M59" i="6"/>
  <c r="M61" i="6" s="1"/>
  <c r="L59" i="6"/>
  <c r="L61" i="6" s="1"/>
  <c r="K59" i="6"/>
  <c r="K61" i="6" s="1"/>
  <c r="J59" i="6"/>
  <c r="J61" i="6" s="1"/>
  <c r="I59" i="6"/>
  <c r="I61" i="6" s="1"/>
  <c r="H59" i="6"/>
  <c r="AT61" i="6" l="1"/>
  <c r="BF61" i="6"/>
  <c r="AR61" i="6"/>
  <c r="AP61" i="6"/>
  <c r="AM61" i="6"/>
  <c r="AW61" i="6"/>
  <c r="AU61" i="6"/>
  <c r="AS61" i="6"/>
  <c r="AQ61" i="6"/>
  <c r="AO61" i="6"/>
  <c r="AL61" i="6"/>
  <c r="AJ61" i="6"/>
  <c r="AH61" i="6"/>
  <c r="G11" i="6"/>
  <c r="EV11" i="6" s="1"/>
  <c r="AF61" i="6"/>
  <c r="AD61" i="6"/>
  <c r="AK61" i="6"/>
  <c r="AI61" i="6"/>
  <c r="AG61" i="6"/>
  <c r="AE61" i="6"/>
  <c r="AC61" i="6"/>
  <c r="AA61" i="6"/>
  <c r="W61" i="6"/>
  <c r="X61" i="6"/>
  <c r="H61" i="6"/>
  <c r="AB58" i="6" l="1"/>
  <c r="AB57" i="6"/>
  <c r="DN58" i="6"/>
  <c r="DH58" i="6"/>
  <c r="DG58" i="6"/>
  <c r="DF58" i="6"/>
  <c r="DE58" i="6"/>
  <c r="DD58" i="6"/>
  <c r="DC58" i="6"/>
  <c r="DB58" i="6"/>
  <c r="DA58" i="6"/>
  <c r="CZ58" i="6"/>
  <c r="CY58" i="6"/>
  <c r="CX58" i="6"/>
  <c r="CW58" i="6"/>
  <c r="CV58" i="6"/>
  <c r="CU58" i="6"/>
  <c r="CT58" i="6"/>
  <c r="CS58" i="6"/>
  <c r="CR58" i="6"/>
  <c r="CQ58" i="6"/>
  <c r="CP58" i="6"/>
  <c r="CO58" i="6"/>
  <c r="CN58" i="6"/>
  <c r="CM58" i="6"/>
  <c r="CL58" i="6"/>
  <c r="CK58" i="6"/>
  <c r="CJ58" i="6"/>
  <c r="CD58" i="6"/>
  <c r="CC58" i="6"/>
  <c r="CB58" i="6"/>
  <c r="CA58" i="6"/>
  <c r="BZ58" i="6"/>
  <c r="BY58" i="6"/>
  <c r="BX58" i="6"/>
  <c r="BW58" i="6"/>
  <c r="BV58" i="6"/>
  <c r="BU58" i="6"/>
  <c r="BT58" i="6"/>
  <c r="BS58" i="6"/>
  <c r="BR58" i="6"/>
  <c r="BQ58" i="6"/>
  <c r="BP58" i="6"/>
  <c r="BO58" i="6"/>
  <c r="BN58" i="6"/>
  <c r="BM58" i="6"/>
  <c r="BL58" i="6"/>
  <c r="BK58" i="6"/>
  <c r="BJ58" i="6"/>
  <c r="BI58" i="6"/>
  <c r="BH58" i="6"/>
  <c r="BG58" i="6"/>
  <c r="BF58" i="6"/>
  <c r="AY58" i="6"/>
  <c r="AW58" i="6"/>
  <c r="AU58" i="6"/>
  <c r="AS58" i="6"/>
  <c r="ER58" i="6" s="1"/>
  <c r="AQ58" i="6"/>
  <c r="AO58" i="6"/>
  <c r="AM58" i="6"/>
  <c r="AL58" i="6"/>
  <c r="AK58" i="6"/>
  <c r="AJ58" i="6"/>
  <c r="AI58" i="6"/>
  <c r="AH58" i="6"/>
  <c r="AG58" i="6"/>
  <c r="AF58" i="6"/>
  <c r="AE58" i="6"/>
  <c r="AD58" i="6"/>
  <c r="AC58" i="6"/>
  <c r="AA58" i="6"/>
  <c r="Z58" i="6"/>
  <c r="Y58" i="6"/>
  <c r="X58" i="6"/>
  <c r="W58" i="6"/>
  <c r="H58" i="6"/>
  <c r="DN57" i="6"/>
  <c r="DH57" i="6"/>
  <c r="DG57" i="6"/>
  <c r="DF57" i="6"/>
  <c r="DE57" i="6"/>
  <c r="DD57" i="6"/>
  <c r="DC57" i="6"/>
  <c r="DB57" i="6"/>
  <c r="DA57" i="6"/>
  <c r="CZ57" i="6"/>
  <c r="CY57" i="6"/>
  <c r="CX57" i="6"/>
  <c r="CW57" i="6"/>
  <c r="CV57" i="6"/>
  <c r="CU57" i="6"/>
  <c r="CT57" i="6"/>
  <c r="CS57" i="6"/>
  <c r="CR57" i="6"/>
  <c r="CQ57" i="6"/>
  <c r="CP57" i="6"/>
  <c r="CO57" i="6"/>
  <c r="CN57" i="6"/>
  <c r="CM57" i="6"/>
  <c r="CL57" i="6"/>
  <c r="CK57" i="6"/>
  <c r="CJ57" i="6"/>
  <c r="CD57" i="6"/>
  <c r="CC57" i="6"/>
  <c r="CB57" i="6"/>
  <c r="CA57" i="6"/>
  <c r="BZ57" i="6"/>
  <c r="BY57" i="6"/>
  <c r="BX57" i="6"/>
  <c r="BW57" i="6"/>
  <c r="BV57" i="6"/>
  <c r="BU57" i="6"/>
  <c r="BT57" i="6"/>
  <c r="BS57" i="6"/>
  <c r="BR57" i="6"/>
  <c r="BQ57" i="6"/>
  <c r="BP57" i="6"/>
  <c r="BO57" i="6"/>
  <c r="BN57" i="6"/>
  <c r="BM57" i="6"/>
  <c r="BL57" i="6"/>
  <c r="BK57" i="6"/>
  <c r="BJ57" i="6"/>
  <c r="BI57" i="6"/>
  <c r="BH57" i="6"/>
  <c r="BG57" i="6"/>
  <c r="BF57" i="6"/>
  <c r="AY57" i="6"/>
  <c r="AW57" i="6"/>
  <c r="AU57" i="6"/>
  <c r="AS57" i="6"/>
  <c r="AQ57" i="6"/>
  <c r="AO57" i="6"/>
  <c r="AM57" i="6"/>
  <c r="AL57" i="6"/>
  <c r="AK57" i="6"/>
  <c r="AJ57" i="6"/>
  <c r="AI57" i="6"/>
  <c r="AH57" i="6"/>
  <c r="AG57" i="6"/>
  <c r="AF57" i="6"/>
  <c r="AE57" i="6"/>
  <c r="AD57" i="6"/>
  <c r="AC57" i="6"/>
  <c r="AA57" i="6"/>
  <c r="Z57" i="6"/>
  <c r="Y57" i="6"/>
  <c r="X57" i="6"/>
  <c r="W57" i="6"/>
  <c r="H57" i="6"/>
  <c r="G57" i="6"/>
  <c r="CI56" i="6"/>
  <c r="CH56" i="6"/>
  <c r="CG56" i="6"/>
  <c r="CF56" i="6"/>
  <c r="CF58" i="6" s="1"/>
  <c r="CE56" i="6"/>
  <c r="BC58" i="6"/>
  <c r="CI55" i="6"/>
  <c r="CH55" i="6"/>
  <c r="CG55" i="6"/>
  <c r="CF55" i="6"/>
  <c r="CE55" i="6"/>
  <c r="BD57" i="6"/>
  <c r="BB57" i="6"/>
  <c r="DM58" i="6"/>
  <c r="DL58" i="6"/>
  <c r="DK58" i="6"/>
  <c r="DJ58" i="6"/>
  <c r="DI58" i="6"/>
  <c r="CI58" i="6"/>
  <c r="CH58" i="6"/>
  <c r="CG58" i="6"/>
  <c r="CE58" i="6"/>
  <c r="DM52" i="6"/>
  <c r="DM57" i="6" s="1"/>
  <c r="DL52" i="6"/>
  <c r="DL57" i="6" s="1"/>
  <c r="DK52" i="6"/>
  <c r="DK57" i="6" s="1"/>
  <c r="DJ52" i="6"/>
  <c r="DJ57" i="6" s="1"/>
  <c r="DI52" i="6"/>
  <c r="DI57" i="6" s="1"/>
  <c r="CI52" i="6"/>
  <c r="CI57" i="6" s="1"/>
  <c r="CH52" i="6"/>
  <c r="CH57" i="6" s="1"/>
  <c r="CG52" i="6"/>
  <c r="CG57" i="6" s="1"/>
  <c r="CF52" i="6"/>
  <c r="CE52" i="6"/>
  <c r="CE57" i="6" s="1"/>
  <c r="BE57" i="6"/>
  <c r="ET57" i="6" s="1"/>
  <c r="BA57" i="6"/>
  <c r="CF57" i="6" l="1"/>
  <c r="BE58" i="6"/>
  <c r="G53" i="6"/>
  <c r="EV53" i="6" s="1"/>
  <c r="G56" i="6"/>
  <c r="BC57" i="6"/>
  <c r="EV57" i="6" s="1"/>
  <c r="BD58" i="6"/>
  <c r="BA58" i="6"/>
  <c r="AC50" i="6"/>
  <c r="AB51" i="6"/>
  <c r="AB50" i="6"/>
  <c r="Z51" i="6"/>
  <c r="X51" i="6"/>
  <c r="X50" i="6"/>
  <c r="W51" i="6"/>
  <c r="W50" i="6"/>
  <c r="H51" i="6"/>
  <c r="H50" i="6"/>
  <c r="DN51" i="6"/>
  <c r="CJ51" i="6"/>
  <c r="BF51" i="6"/>
  <c r="AY51" i="6"/>
  <c r="AX51" i="6"/>
  <c r="AW51" i="6"/>
  <c r="AV51" i="6"/>
  <c r="AU51" i="6"/>
  <c r="AT51" i="6"/>
  <c r="ER51" i="6" s="1"/>
  <c r="AS51" i="6"/>
  <c r="AR51" i="6"/>
  <c r="AQ51" i="6"/>
  <c r="AO51" i="6"/>
  <c r="AM51" i="6"/>
  <c r="AK51" i="6"/>
  <c r="AJ51" i="6"/>
  <c r="AI51" i="6"/>
  <c r="AH51" i="6"/>
  <c r="AG51" i="6"/>
  <c r="AF51" i="6"/>
  <c r="AE51" i="6"/>
  <c r="AD51" i="6"/>
  <c r="AC51" i="6"/>
  <c r="AA51" i="6"/>
  <c r="Y51" i="6"/>
  <c r="V51" i="6"/>
  <c r="U51" i="6"/>
  <c r="T51" i="6"/>
  <c r="S51" i="6"/>
  <c r="R51" i="6"/>
  <c r="Q51" i="6"/>
  <c r="P51" i="6"/>
  <c r="O51" i="6"/>
  <c r="N51" i="6"/>
  <c r="M51" i="6"/>
  <c r="L51" i="6"/>
  <c r="K51" i="6"/>
  <c r="J51" i="6"/>
  <c r="I51" i="6"/>
  <c r="DN50" i="6"/>
  <c r="CJ50" i="6"/>
  <c r="BF50" i="6"/>
  <c r="AY50" i="6"/>
  <c r="AX50" i="6"/>
  <c r="AW50" i="6"/>
  <c r="AV50" i="6"/>
  <c r="AU50" i="6"/>
  <c r="AT50" i="6"/>
  <c r="AS50" i="6"/>
  <c r="AR50" i="6"/>
  <c r="AQ50" i="6"/>
  <c r="AP50" i="6"/>
  <c r="AO50" i="6"/>
  <c r="AM50" i="6"/>
  <c r="AL50" i="6"/>
  <c r="AK50" i="6"/>
  <c r="AJ50" i="6"/>
  <c r="AI50" i="6"/>
  <c r="AH50" i="6"/>
  <c r="AG50" i="6"/>
  <c r="AF50" i="6"/>
  <c r="AE50" i="6"/>
  <c r="AD50" i="6"/>
  <c r="AA50" i="6"/>
  <c r="Y50" i="6"/>
  <c r="V50" i="6"/>
  <c r="U50" i="6"/>
  <c r="T50" i="6"/>
  <c r="S50" i="6"/>
  <c r="R50" i="6"/>
  <c r="Q50" i="6"/>
  <c r="P50" i="6"/>
  <c r="O50" i="6"/>
  <c r="N50" i="6"/>
  <c r="M50" i="6"/>
  <c r="L50" i="6"/>
  <c r="K50" i="6"/>
  <c r="J50" i="6"/>
  <c r="I50" i="6"/>
  <c r="BC51" i="6"/>
  <c r="BD48" i="6"/>
  <c r="BA48" i="6"/>
  <c r="BA50" i="6" s="1"/>
  <c r="BD47" i="6"/>
  <c r="BD46" i="6"/>
  <c r="BA46" i="6"/>
  <c r="BD42" i="6"/>
  <c r="ET42" i="6" s="1"/>
  <c r="BC44" i="6"/>
  <c r="DN44" i="6"/>
  <c r="DK44" i="6"/>
  <c r="DH44" i="6"/>
  <c r="DG44" i="6"/>
  <c r="DF44" i="6"/>
  <c r="DE44" i="6"/>
  <c r="DD44" i="6"/>
  <c r="DC44" i="6"/>
  <c r="DB44" i="6"/>
  <c r="DA44" i="6"/>
  <c r="CZ44" i="6"/>
  <c r="CY44" i="6"/>
  <c r="CX44" i="6"/>
  <c r="CW44" i="6"/>
  <c r="CV44" i="6"/>
  <c r="CU44" i="6"/>
  <c r="CT44" i="6"/>
  <c r="CS44" i="6"/>
  <c r="CR44" i="6"/>
  <c r="CQ44" i="6"/>
  <c r="CP44" i="6"/>
  <c r="CO44" i="6"/>
  <c r="CN44" i="6"/>
  <c r="CM44" i="6"/>
  <c r="CL44" i="6"/>
  <c r="CK44" i="6"/>
  <c r="CJ44" i="6"/>
  <c r="CD44" i="6"/>
  <c r="CC44" i="6"/>
  <c r="CB44" i="6"/>
  <c r="CA44" i="6"/>
  <c r="BZ44" i="6"/>
  <c r="BY44" i="6"/>
  <c r="BX44" i="6"/>
  <c r="BW44" i="6"/>
  <c r="BV44" i="6"/>
  <c r="BU44" i="6"/>
  <c r="BT44" i="6"/>
  <c r="BS44" i="6"/>
  <c r="BR44" i="6"/>
  <c r="BQ44" i="6"/>
  <c r="BP44" i="6"/>
  <c r="BO44" i="6"/>
  <c r="BN44" i="6"/>
  <c r="BM44" i="6"/>
  <c r="BL44" i="6"/>
  <c r="BK44" i="6"/>
  <c r="BJ44" i="6"/>
  <c r="BI44" i="6"/>
  <c r="BH44" i="6"/>
  <c r="BG44" i="6"/>
  <c r="BF44" i="6"/>
  <c r="DN43" i="6"/>
  <c r="DH43" i="6"/>
  <c r="DG43" i="6"/>
  <c r="DF43" i="6"/>
  <c r="DE43" i="6"/>
  <c r="DD43" i="6"/>
  <c r="DC43" i="6"/>
  <c r="DB43" i="6"/>
  <c r="DA43" i="6"/>
  <c r="CZ43" i="6"/>
  <c r="CY43" i="6"/>
  <c r="CX43" i="6"/>
  <c r="CW43" i="6"/>
  <c r="CV43" i="6"/>
  <c r="CU43" i="6"/>
  <c r="CT43" i="6"/>
  <c r="CS43" i="6"/>
  <c r="CR43" i="6"/>
  <c r="CQ43" i="6"/>
  <c r="CP43" i="6"/>
  <c r="CO43" i="6"/>
  <c r="CN43" i="6"/>
  <c r="CM43" i="6"/>
  <c r="CL43" i="6"/>
  <c r="CK43" i="6"/>
  <c r="CJ43" i="6"/>
  <c r="CD43" i="6"/>
  <c r="CC43" i="6"/>
  <c r="CB43" i="6"/>
  <c r="CA43" i="6"/>
  <c r="BZ43" i="6"/>
  <c r="BY43" i="6"/>
  <c r="BX43" i="6"/>
  <c r="BW43" i="6"/>
  <c r="BV43" i="6"/>
  <c r="BU43" i="6"/>
  <c r="BT43" i="6"/>
  <c r="BS43" i="6"/>
  <c r="BR43" i="6"/>
  <c r="BQ43" i="6"/>
  <c r="BP43" i="6"/>
  <c r="BO43" i="6"/>
  <c r="BN43" i="6"/>
  <c r="BM43" i="6"/>
  <c r="BL43" i="6"/>
  <c r="BK43" i="6"/>
  <c r="BJ43" i="6"/>
  <c r="BI43" i="6"/>
  <c r="BH43" i="6"/>
  <c r="BG43" i="6"/>
  <c r="BF43" i="6"/>
  <c r="BB43" i="6"/>
  <c r="AY44" i="6"/>
  <c r="AY43" i="6"/>
  <c r="AK44" i="6"/>
  <c r="AJ44" i="6"/>
  <c r="AI44" i="6"/>
  <c r="AH44" i="6"/>
  <c r="AG44" i="6"/>
  <c r="AF44" i="6"/>
  <c r="AE44" i="6"/>
  <c r="AD44" i="6"/>
  <c r="AC44" i="6"/>
  <c r="AK43" i="6"/>
  <c r="AJ43" i="6"/>
  <c r="AI43" i="6"/>
  <c r="AH43" i="6"/>
  <c r="AG43" i="6"/>
  <c r="AF43" i="6"/>
  <c r="AE43" i="6"/>
  <c r="AD43" i="6"/>
  <c r="AC43" i="6"/>
  <c r="AW44" i="6"/>
  <c r="AU44" i="6"/>
  <c r="AS44" i="6"/>
  <c r="AQ44" i="6"/>
  <c r="AO44" i="6"/>
  <c r="AM44" i="6"/>
  <c r="AL44" i="6"/>
  <c r="AB44" i="6"/>
  <c r="AA44" i="6"/>
  <c r="Z44" i="6"/>
  <c r="Y44" i="6"/>
  <c r="X44" i="6"/>
  <c r="W44" i="6"/>
  <c r="H44" i="6"/>
  <c r="AW43" i="6"/>
  <c r="AU43" i="6"/>
  <c r="AS43" i="6"/>
  <c r="AQ43" i="6"/>
  <c r="AO43" i="6"/>
  <c r="AL43" i="6"/>
  <c r="AB43" i="6"/>
  <c r="AA43" i="6"/>
  <c r="Z43" i="6"/>
  <c r="Y43" i="6"/>
  <c r="X43" i="6"/>
  <c r="W43" i="6"/>
  <c r="H43" i="6"/>
  <c r="G43" i="6"/>
  <c r="CI42" i="6"/>
  <c r="CH42" i="6"/>
  <c r="CG42" i="6"/>
  <c r="CF42" i="6"/>
  <c r="CE42" i="6"/>
  <c r="CI41" i="6"/>
  <c r="CH41" i="6"/>
  <c r="CG41" i="6"/>
  <c r="CF41" i="6"/>
  <c r="CF43" i="6" s="1"/>
  <c r="CE41" i="6"/>
  <c r="BD41" i="6"/>
  <c r="BD43" i="6" s="1"/>
  <c r="BA41" i="6"/>
  <c r="BA43" i="6" s="1"/>
  <c r="DM39" i="6"/>
  <c r="DM44" i="6" s="1"/>
  <c r="DL39" i="6"/>
  <c r="DL44" i="6" s="1"/>
  <c r="DK39" i="6"/>
  <c r="DJ39" i="6"/>
  <c r="DJ44" i="6" s="1"/>
  <c r="DI39" i="6"/>
  <c r="DI44" i="6" s="1"/>
  <c r="CI39" i="6"/>
  <c r="CI44" i="6" s="1"/>
  <c r="CH39" i="6"/>
  <c r="CH44" i="6" s="1"/>
  <c r="CG39" i="6"/>
  <c r="CG44" i="6" s="1"/>
  <c r="CF39" i="6"/>
  <c r="CF44" i="6" s="1"/>
  <c r="CE39" i="6"/>
  <c r="CE44" i="6" s="1"/>
  <c r="BE44" i="6"/>
  <c r="ET39" i="6"/>
  <c r="DM38" i="6"/>
  <c r="DM43" i="6" s="1"/>
  <c r="DL38" i="6"/>
  <c r="DL43" i="6" s="1"/>
  <c r="DK38" i="6"/>
  <c r="DK43" i="6" s="1"/>
  <c r="DJ38" i="6"/>
  <c r="DJ43" i="6" s="1"/>
  <c r="DI38" i="6"/>
  <c r="DI43" i="6" s="1"/>
  <c r="CI38" i="6"/>
  <c r="CI43" i="6" s="1"/>
  <c r="CH38" i="6"/>
  <c r="CH43" i="6" s="1"/>
  <c r="CG38" i="6"/>
  <c r="CG43" i="6" s="1"/>
  <c r="CF38" i="6"/>
  <c r="CE38" i="6"/>
  <c r="CE43" i="6" s="1"/>
  <c r="AY37" i="6"/>
  <c r="AX37" i="6"/>
  <c r="AW37" i="6"/>
  <c r="AV37" i="6"/>
  <c r="AU37" i="6"/>
  <c r="AT37" i="6"/>
  <c r="AS37" i="6"/>
  <c r="AR37" i="6"/>
  <c r="AQ37" i="6"/>
  <c r="AO37" i="6"/>
  <c r="AM37" i="6"/>
  <c r="AK37" i="6"/>
  <c r="AJ37" i="6"/>
  <c r="AI37" i="6"/>
  <c r="AH37" i="6"/>
  <c r="AG37" i="6"/>
  <c r="AF37" i="6"/>
  <c r="AE37" i="6"/>
  <c r="AD37" i="6"/>
  <c r="AC37" i="6"/>
  <c r="AB37" i="6"/>
  <c r="AY36" i="6"/>
  <c r="AX36" i="6"/>
  <c r="AW36" i="6"/>
  <c r="AV36" i="6"/>
  <c r="AU36" i="6"/>
  <c r="AT36" i="6"/>
  <c r="AS36" i="6"/>
  <c r="AR36" i="6"/>
  <c r="AQ36" i="6"/>
  <c r="AP36" i="6"/>
  <c r="AO36" i="6"/>
  <c r="AM36" i="6"/>
  <c r="AK36" i="6"/>
  <c r="AJ36" i="6"/>
  <c r="AI36" i="6"/>
  <c r="AH36" i="6"/>
  <c r="AG36" i="6"/>
  <c r="AF36" i="6"/>
  <c r="AE36" i="6"/>
  <c r="AD36" i="6"/>
  <c r="AC36" i="6"/>
  <c r="AB36" i="6"/>
  <c r="DN36" i="6"/>
  <c r="CJ37" i="6"/>
  <c r="CJ36" i="6"/>
  <c r="BF37" i="6"/>
  <c r="BF36" i="6"/>
  <c r="ET58" i="6" l="1"/>
  <c r="ES57" i="6"/>
  <c r="EU57" i="6"/>
  <c r="EU58" i="6"/>
  <c r="ES58" i="6"/>
  <c r="G46" i="6"/>
  <c r="G39" i="6"/>
  <c r="EV39" i="6" s="1"/>
  <c r="G58" i="6"/>
  <c r="EV58" i="6" s="1"/>
  <c r="G49" i="6"/>
  <c r="EV49" i="6" s="1"/>
  <c r="BA44" i="6"/>
  <c r="G42" i="6"/>
  <c r="EV42" i="6" s="1"/>
  <c r="BE43" i="6"/>
  <c r="ET43" i="6" s="1"/>
  <c r="BC43" i="6"/>
  <c r="EV43" i="6" s="1"/>
  <c r="BE50" i="6"/>
  <c r="ET50" i="6" s="1"/>
  <c r="BC50" i="6"/>
  <c r="EV50" i="6" s="1"/>
  <c r="G48" i="6"/>
  <c r="BD50" i="6"/>
  <c r="BB51" i="6"/>
  <c r="BD51" i="6"/>
  <c r="BD44" i="6"/>
  <c r="ET44" i="6" s="1"/>
  <c r="BB44" i="6"/>
  <c r="BA51" i="6"/>
  <c r="BB50" i="6"/>
  <c r="BE51" i="6"/>
  <c r="ET51" i="6" l="1"/>
  <c r="ES43" i="6"/>
  <c r="EU43" i="6"/>
  <c r="EU50" i="6"/>
  <c r="ES50" i="6"/>
  <c r="EU51" i="6"/>
  <c r="ES51" i="6"/>
  <c r="EU44" i="6"/>
  <c r="ES44" i="6"/>
  <c r="G51" i="6"/>
  <c r="EV51" i="6" s="1"/>
  <c r="G44" i="6"/>
  <c r="EV44" i="6" s="1"/>
  <c r="G50" i="6"/>
  <c r="AA37" i="6"/>
  <c r="Z37" i="6"/>
  <c r="Y37" i="6"/>
  <c r="X37" i="6"/>
  <c r="W37" i="6"/>
  <c r="V37" i="6"/>
  <c r="U37" i="6"/>
  <c r="T37" i="6"/>
  <c r="S37" i="6"/>
  <c r="R37" i="6"/>
  <c r="Q37" i="6"/>
  <c r="P37" i="6"/>
  <c r="O37" i="6"/>
  <c r="N37" i="6"/>
  <c r="M37" i="6"/>
  <c r="L37" i="6"/>
  <c r="K37" i="6"/>
  <c r="J37" i="6"/>
  <c r="I37" i="6"/>
  <c r="H37" i="6"/>
  <c r="AA36" i="6"/>
  <c r="Z36" i="6"/>
  <c r="Y36" i="6"/>
  <c r="X36" i="6"/>
  <c r="W36" i="6"/>
  <c r="V36" i="6"/>
  <c r="U36" i="6"/>
  <c r="T36" i="6"/>
  <c r="S36" i="6"/>
  <c r="R36" i="6"/>
  <c r="Q36" i="6"/>
  <c r="P36" i="6"/>
  <c r="O36" i="6"/>
  <c r="N36" i="6"/>
  <c r="M36" i="6"/>
  <c r="L36" i="6"/>
  <c r="K36" i="6"/>
  <c r="J36" i="6"/>
  <c r="I36" i="6"/>
  <c r="H36" i="6"/>
  <c r="BD35" i="6"/>
  <c r="BC37" i="6"/>
  <c r="BA35" i="6"/>
  <c r="BD34" i="6"/>
  <c r="BA34" i="6"/>
  <c r="BD33" i="6"/>
  <c r="BA33" i="6"/>
  <c r="BA32" i="6"/>
  <c r="BE36" i="6"/>
  <c r="BC36" i="6"/>
  <c r="BB36" i="6"/>
  <c r="Y30" i="6"/>
  <c r="Y29" i="6"/>
  <c r="X30" i="6"/>
  <c r="X29" i="6"/>
  <c r="W30" i="6"/>
  <c r="W29" i="6"/>
  <c r="H30" i="6"/>
  <c r="H29" i="6"/>
  <c r="EU36" i="6" l="1"/>
  <c r="ES36" i="6"/>
  <c r="BA36" i="6"/>
  <c r="BE37" i="6"/>
  <c r="G32" i="6"/>
  <c r="EV32" i="6" s="1"/>
  <c r="BA37" i="6"/>
  <c r="G35" i="6"/>
  <c r="G34" i="6"/>
  <c r="BD37" i="6"/>
  <c r="BB37" i="6"/>
  <c r="BD36" i="6"/>
  <c r="ET36" i="6" s="1"/>
  <c r="ET37" i="6" l="1"/>
  <c r="EU37" i="6"/>
  <c r="G36" i="6"/>
  <c r="EV36" i="6" s="1"/>
  <c r="G37" i="6"/>
  <c r="EV37" i="6" s="1"/>
  <c r="BD27" i="6"/>
  <c r="BA27" i="6"/>
  <c r="BD26" i="6"/>
  <c r="BE29" i="6"/>
  <c r="ET29" i="6" s="1"/>
  <c r="ET25" i="6" l="1"/>
  <c r="G27" i="6"/>
  <c r="G25" i="6"/>
  <c r="EV25" i="6" s="1"/>
  <c r="BA29" i="6"/>
  <c r="BC29" i="6"/>
  <c r="EV29" i="6" s="1"/>
  <c r="BD29" i="6"/>
  <c r="G29" i="6"/>
  <c r="BB29" i="6"/>
  <c r="BC30" i="6"/>
  <c r="BE30" i="6"/>
  <c r="BB30" i="6"/>
  <c r="BE59" i="6"/>
  <c r="G20" i="6"/>
  <c r="EU30" i="6" l="1"/>
  <c r="ES30" i="6"/>
  <c r="EU29" i="6"/>
  <c r="ES29" i="6"/>
  <c r="G18" i="6"/>
  <c r="EV18" i="6" s="1"/>
  <c r="G21" i="6"/>
  <c r="BA20" i="6"/>
  <c r="G22" i="6"/>
  <c r="BE16" i="6"/>
  <c r="BC16" i="6"/>
  <c r="BD15" i="6"/>
  <c r="BB15" i="6"/>
  <c r="BD59" i="6"/>
  <c r="BA13" i="6"/>
  <c r="BA15" i="6" s="1"/>
  <c r="BE15" i="6" l="1"/>
  <c r="ET15" i="6" s="1"/>
  <c r="G59" i="6"/>
  <c r="G14" i="6"/>
  <c r="EV14" i="6" s="1"/>
  <c r="BD16" i="6"/>
  <c r="ET16" i="6" s="1"/>
  <c r="BB16" i="6"/>
  <c r="EU16" i="6" s="1"/>
  <c r="BC15" i="6"/>
  <c r="BC61" i="6"/>
  <c r="BE61" i="6"/>
  <c r="BB60" i="6"/>
  <c r="BA16" i="6"/>
  <c r="AL16" i="6"/>
  <c r="AL15" i="6"/>
  <c r="AY23" i="6"/>
  <c r="AY22" i="6"/>
  <c r="AW23" i="6"/>
  <c r="AW22" i="6"/>
  <c r="AU23" i="6"/>
  <c r="AU22" i="6"/>
  <c r="AS23" i="6"/>
  <c r="ER23" i="6" s="1"/>
  <c r="AS22" i="6"/>
  <c r="AQ23" i="6"/>
  <c r="AQ22" i="6"/>
  <c r="AO23" i="6"/>
  <c r="AO22" i="6"/>
  <c r="AM23" i="6"/>
  <c r="AM22" i="6"/>
  <c r="AL22" i="6"/>
  <c r="AK23" i="6"/>
  <c r="AK22" i="6"/>
  <c r="AJ23" i="6"/>
  <c r="AJ22" i="6"/>
  <c r="AI23" i="6"/>
  <c r="AI22" i="6"/>
  <c r="AH23" i="6"/>
  <c r="AH22" i="6"/>
  <c r="AG23" i="6"/>
  <c r="AG22" i="6"/>
  <c r="AF23" i="6"/>
  <c r="AF22" i="6"/>
  <c r="AE23" i="6"/>
  <c r="AE22" i="6"/>
  <c r="AD23" i="6"/>
  <c r="AD22" i="6"/>
  <c r="AC23" i="6"/>
  <c r="AC22" i="6"/>
  <c r="AB23" i="6"/>
  <c r="AB22" i="6"/>
  <c r="AA23" i="6"/>
  <c r="AA22" i="6"/>
  <c r="Z23" i="6"/>
  <c r="Z22" i="6"/>
  <c r="Y23" i="6"/>
  <c r="Y22" i="6"/>
  <c r="ES16" i="6" l="1"/>
  <c r="EU15" i="6"/>
  <c r="EV15" i="6"/>
  <c r="ES15" i="6"/>
  <c r="BB61" i="6"/>
  <c r="BA23" i="6"/>
  <c r="BA22" i="6"/>
  <c r="AY16" i="6" l="1"/>
  <c r="AY15" i="6"/>
  <c r="AW16" i="6"/>
  <c r="AW15" i="6"/>
  <c r="AU16" i="6"/>
  <c r="AU15" i="6"/>
  <c r="AS16" i="6"/>
  <c r="ER16" i="6" s="1"/>
  <c r="AS15" i="6"/>
  <c r="AQ16" i="6"/>
  <c r="AQ15" i="6"/>
  <c r="AO16" i="6"/>
  <c r="AO15" i="6"/>
  <c r="AM16" i="6"/>
  <c r="AM15" i="6"/>
  <c r="G15" i="6"/>
  <c r="G16" i="6" l="1"/>
  <c r="X23" i="6"/>
  <c r="X22" i="6"/>
  <c r="W23" i="6"/>
  <c r="W22" i="6"/>
  <c r="BF16" i="5"/>
  <c r="BF15" i="5"/>
  <c r="EU14" i="5" l="1"/>
  <c r="H22" i="6"/>
  <c r="AK16" i="6"/>
  <c r="AK15" i="6"/>
  <c r="AJ16" i="6"/>
  <c r="AJ15" i="6"/>
  <c r="AI16" i="6"/>
  <c r="AI15" i="6"/>
  <c r="AH16" i="6"/>
  <c r="AH15" i="6"/>
  <c r="AG16" i="6"/>
  <c r="AG15" i="6"/>
  <c r="AF16" i="6"/>
  <c r="AF15" i="6"/>
  <c r="AE16" i="6"/>
  <c r="AE15" i="6"/>
  <c r="AD16" i="6"/>
  <c r="AD15" i="6"/>
  <c r="AC16" i="6"/>
  <c r="AC15" i="6"/>
  <c r="AB15" i="6"/>
  <c r="AB16" i="6" l="1"/>
  <c r="AB61" i="6"/>
  <c r="H23" i="6"/>
  <c r="AA16" i="6" l="1"/>
  <c r="AA15" i="6"/>
  <c r="Z16" i="6"/>
  <c r="Z15" i="6"/>
  <c r="Y16" i="6"/>
  <c r="Y15" i="6"/>
  <c r="X16" i="6"/>
  <c r="X15" i="6"/>
  <c r="W16" i="6"/>
  <c r="W15" i="6"/>
  <c r="H15" i="6"/>
  <c r="H16" i="6"/>
  <c r="CI23" i="6"/>
  <c r="CH23" i="6"/>
  <c r="CG23" i="6"/>
  <c r="CF23" i="6"/>
  <c r="CE23" i="6"/>
  <c r="CI22" i="6"/>
  <c r="CH22" i="6"/>
  <c r="CG22" i="6"/>
  <c r="CF22" i="6"/>
  <c r="CE22" i="6"/>
  <c r="CI21" i="6"/>
  <c r="CH21" i="6"/>
  <c r="CG21" i="6"/>
  <c r="CF21" i="6"/>
  <c r="CE21" i="6"/>
  <c r="CI20" i="6"/>
  <c r="CH20" i="6"/>
  <c r="CG20" i="6"/>
  <c r="CF20" i="6"/>
  <c r="CE20" i="6"/>
  <c r="CI18" i="6"/>
  <c r="CH18" i="6"/>
  <c r="CG18" i="6"/>
  <c r="CF18" i="6"/>
  <c r="CE18" i="6"/>
  <c r="CI17" i="6"/>
  <c r="CH17" i="6"/>
  <c r="CG17" i="6"/>
  <c r="CF17" i="6"/>
  <c r="CE17" i="6"/>
  <c r="CE16" i="6"/>
  <c r="CI15" i="6"/>
  <c r="CH15" i="6"/>
  <c r="CG15" i="6"/>
  <c r="CF15" i="6"/>
  <c r="CE15" i="6"/>
  <c r="CI14" i="6"/>
  <c r="CH14" i="6"/>
  <c r="CG14" i="6"/>
  <c r="CG60" i="6" s="1"/>
  <c r="CF14" i="6"/>
  <c r="CF60" i="6" s="1"/>
  <c r="CE14" i="6"/>
  <c r="CE60" i="6" s="1"/>
  <c r="CI13" i="6"/>
  <c r="CH13" i="6"/>
  <c r="CG13" i="6"/>
  <c r="CF13" i="6"/>
  <c r="CE13" i="6"/>
  <c r="CI12" i="6"/>
  <c r="CG12" i="6"/>
  <c r="CI11" i="6"/>
  <c r="CH11" i="6"/>
  <c r="CH59" i="6" s="1"/>
  <c r="CG11" i="6"/>
  <c r="CF11" i="6"/>
  <c r="CE11" i="6"/>
  <c r="CI10" i="6"/>
  <c r="CH10" i="6"/>
  <c r="CG10" i="6"/>
  <c r="CF10" i="6"/>
  <c r="CE10" i="6"/>
  <c r="EM37" i="6"/>
  <c r="EQ36" i="6"/>
  <c r="EP36" i="6"/>
  <c r="EO36" i="6"/>
  <c r="EN36" i="6"/>
  <c r="EM36" i="6"/>
  <c r="EQ35" i="6"/>
  <c r="EP35" i="6"/>
  <c r="EO35" i="6"/>
  <c r="EN35" i="6"/>
  <c r="EM35" i="6"/>
  <c r="EQ34" i="6"/>
  <c r="EP34" i="6"/>
  <c r="EO34" i="6"/>
  <c r="EN34" i="6"/>
  <c r="EM34" i="6"/>
  <c r="EQ33" i="6"/>
  <c r="EP33" i="6"/>
  <c r="EO33" i="6"/>
  <c r="EN33" i="6"/>
  <c r="EM33" i="6"/>
  <c r="EQ32" i="6"/>
  <c r="EQ37" i="6" s="1"/>
  <c r="EP32" i="6"/>
  <c r="EO32" i="6"/>
  <c r="EO37" i="6" s="1"/>
  <c r="EN32" i="6"/>
  <c r="EN37" i="6" s="1"/>
  <c r="EM32" i="6"/>
  <c r="EQ31" i="6"/>
  <c r="EP31" i="6"/>
  <c r="EO31" i="6"/>
  <c r="EN31" i="6"/>
  <c r="EM31" i="6"/>
  <c r="EM30" i="6"/>
  <c r="EQ29" i="6"/>
  <c r="EP29" i="6"/>
  <c r="EO29" i="6"/>
  <c r="EN29" i="6"/>
  <c r="EM29" i="6"/>
  <c r="EQ28" i="6"/>
  <c r="EP28" i="6"/>
  <c r="EO28" i="6"/>
  <c r="EN28" i="6"/>
  <c r="EM28" i="6"/>
  <c r="EQ27" i="6"/>
  <c r="EP27" i="6"/>
  <c r="EO27" i="6"/>
  <c r="EN27" i="6"/>
  <c r="EM27" i="6"/>
  <c r="EQ26" i="6"/>
  <c r="EP26" i="6"/>
  <c r="EO26" i="6"/>
  <c r="EN26" i="6"/>
  <c r="EM26" i="6"/>
  <c r="EQ25" i="6"/>
  <c r="EP25" i="6"/>
  <c r="EP30" i="6" s="1"/>
  <c r="EO25" i="6"/>
  <c r="EO30" i="6" s="1"/>
  <c r="EN25" i="6"/>
  <c r="EN30" i="6" s="1"/>
  <c r="EM25" i="6"/>
  <c r="EQ24" i="6"/>
  <c r="EP24" i="6"/>
  <c r="EO24" i="6"/>
  <c r="EN24" i="6"/>
  <c r="EM24" i="6"/>
  <c r="EM23" i="6"/>
  <c r="EQ22" i="6"/>
  <c r="EP22" i="6"/>
  <c r="EO22" i="6"/>
  <c r="EN22" i="6"/>
  <c r="EM22" i="6"/>
  <c r="DM23" i="6"/>
  <c r="DL23" i="6"/>
  <c r="DK23" i="6"/>
  <c r="DJ23" i="6"/>
  <c r="DI23" i="6"/>
  <c r="EQ21" i="6"/>
  <c r="EP21" i="6"/>
  <c r="EO21" i="6"/>
  <c r="EN21" i="6"/>
  <c r="EM21" i="6"/>
  <c r="DM22" i="6"/>
  <c r="DL22" i="6"/>
  <c r="DK22" i="6"/>
  <c r="DJ22" i="6"/>
  <c r="DI22" i="6"/>
  <c r="BD23" i="6"/>
  <c r="BC23" i="6"/>
  <c r="BB23" i="6"/>
  <c r="EQ20" i="6"/>
  <c r="EP20" i="6"/>
  <c r="EO20" i="6"/>
  <c r="EN20" i="6"/>
  <c r="EM20" i="6"/>
  <c r="DM21" i="6"/>
  <c r="DM60" i="6" s="1"/>
  <c r="DL21" i="6"/>
  <c r="DL60" i="6" s="1"/>
  <c r="DK21" i="6"/>
  <c r="DK60" i="6" s="1"/>
  <c r="DJ21" i="6"/>
  <c r="DJ60" i="6" s="1"/>
  <c r="DI21" i="6"/>
  <c r="DI60" i="6" s="1"/>
  <c r="BD22" i="6"/>
  <c r="BC22" i="6"/>
  <c r="EV22" i="6" s="1"/>
  <c r="EQ19" i="6"/>
  <c r="EP19" i="6"/>
  <c r="EO19" i="6"/>
  <c r="EN19" i="6"/>
  <c r="EM19" i="6"/>
  <c r="DM20" i="6"/>
  <c r="DL20" i="6"/>
  <c r="DK20" i="6"/>
  <c r="DJ20" i="6"/>
  <c r="DI20" i="6"/>
  <c r="EQ18" i="6"/>
  <c r="EQ23" i="6" s="1"/>
  <c r="EP18" i="6"/>
  <c r="EP23" i="6" s="1"/>
  <c r="EO18" i="6"/>
  <c r="EN18" i="6"/>
  <c r="EM18" i="6"/>
  <c r="DM18" i="6"/>
  <c r="DL18" i="6"/>
  <c r="DK18" i="6"/>
  <c r="DJ18" i="6"/>
  <c r="DI18" i="6"/>
  <c r="EQ17" i="6"/>
  <c r="EP17" i="6"/>
  <c r="EO17" i="6"/>
  <c r="EN17" i="6"/>
  <c r="EM17" i="6"/>
  <c r="DM17" i="6"/>
  <c r="DL17" i="6"/>
  <c r="DK17" i="6"/>
  <c r="DJ17" i="6"/>
  <c r="DI17" i="6"/>
  <c r="EM16" i="6"/>
  <c r="DI16" i="6"/>
  <c r="EQ15" i="6"/>
  <c r="EP15" i="6"/>
  <c r="EO15" i="6"/>
  <c r="EN15" i="6"/>
  <c r="EM15" i="6"/>
  <c r="DM15" i="6"/>
  <c r="DL15" i="6"/>
  <c r="DK15" i="6"/>
  <c r="DJ15" i="6"/>
  <c r="DI15" i="6"/>
  <c r="EQ14" i="6"/>
  <c r="EP14" i="6"/>
  <c r="EO14" i="6"/>
  <c r="EN14" i="6"/>
  <c r="EM14" i="6"/>
  <c r="EQ13" i="6"/>
  <c r="EP13" i="6"/>
  <c r="EO13" i="6"/>
  <c r="EN13" i="6"/>
  <c r="EM13" i="6"/>
  <c r="EQ12" i="6"/>
  <c r="EP12" i="6"/>
  <c r="EO12" i="6"/>
  <c r="EN12" i="6"/>
  <c r="EM12" i="6"/>
  <c r="EQ11" i="6"/>
  <c r="EQ16" i="6" s="1"/>
  <c r="EP11" i="6"/>
  <c r="EO11" i="6"/>
  <c r="EN11" i="6"/>
  <c r="EM11" i="6"/>
  <c r="DM11" i="6"/>
  <c r="DL11" i="6"/>
  <c r="DK11" i="6"/>
  <c r="DJ11" i="6"/>
  <c r="DI11" i="6"/>
  <c r="DI59" i="6" s="1"/>
  <c r="DI61" i="6" s="1"/>
  <c r="EQ10" i="6"/>
  <c r="EP10" i="6"/>
  <c r="EO10" i="6"/>
  <c r="EN10" i="6"/>
  <c r="EM10" i="6"/>
  <c r="DM10" i="6"/>
  <c r="DL10" i="6"/>
  <c r="DK10" i="6"/>
  <c r="DJ10" i="6"/>
  <c r="DI10" i="6"/>
  <c r="BC16" i="5"/>
  <c r="EW16" i="5" s="1"/>
  <c r="EU23" i="6" l="1"/>
  <c r="ES23" i="6"/>
  <c r="EU22" i="6"/>
  <c r="ES22" i="6"/>
  <c r="CI16" i="6"/>
  <c r="CI59" i="6"/>
  <c r="DJ16" i="6"/>
  <c r="DJ59" i="6"/>
  <c r="DJ61" i="6" s="1"/>
  <c r="DL16" i="6"/>
  <c r="DL59" i="6"/>
  <c r="DL61" i="6" s="1"/>
  <c r="DM16" i="6"/>
  <c r="DM59" i="6"/>
  <c r="DM61" i="6" s="1"/>
  <c r="CE59" i="6"/>
  <c r="CE61" i="6" s="1"/>
  <c r="DK16" i="6"/>
  <c r="DK59" i="6"/>
  <c r="DK61" i="6" s="1"/>
  <c r="CF16" i="6"/>
  <c r="CF59" i="6"/>
  <c r="CF61" i="6" s="1"/>
  <c r="EP16" i="6"/>
  <c r="CG16" i="6"/>
  <c r="CG59" i="6"/>
  <c r="CG61" i="6" s="1"/>
  <c r="CH16" i="6"/>
  <c r="CH60" i="6"/>
  <c r="EO23" i="6"/>
  <c r="CH61" i="6"/>
  <c r="CI60" i="6"/>
  <c r="EU16" i="5"/>
  <c r="EU15" i="5"/>
  <c r="BE23" i="6"/>
  <c r="ET23" i="6" s="1"/>
  <c r="G23" i="6"/>
  <c r="EV23" i="6" s="1"/>
  <c r="BE22" i="6"/>
  <c r="ET22" i="6" s="1"/>
  <c r="EN16" i="6"/>
  <c r="EO16" i="6"/>
  <c r="EN23" i="6"/>
  <c r="EQ30" i="6"/>
  <c r="EP37" i="6"/>
  <c r="CI61" i="6" l="1"/>
  <c r="W13" i="5"/>
  <c r="W12" i="5"/>
  <c r="I14" i="5"/>
  <c r="EM58" i="6" l="1"/>
  <c r="EQ57" i="6"/>
  <c r="EP57" i="6"/>
  <c r="EO57" i="6"/>
  <c r="EM57" i="6"/>
  <c r="EQ56" i="6"/>
  <c r="EP56" i="6"/>
  <c r="EO56" i="6"/>
  <c r="EN56" i="6"/>
  <c r="EM56" i="6"/>
  <c r="EP55" i="6"/>
  <c r="EO55" i="6"/>
  <c r="EN55" i="6"/>
  <c r="EM55" i="6"/>
  <c r="EQ54" i="6"/>
  <c r="EP54" i="6"/>
  <c r="EO54" i="6"/>
  <c r="EN54" i="6"/>
  <c r="EM54" i="6"/>
  <c r="EQ53" i="6"/>
  <c r="EP53" i="6"/>
  <c r="EO53" i="6"/>
  <c r="EN53" i="6"/>
  <c r="EM53" i="6"/>
  <c r="EQ52" i="6"/>
  <c r="EP52" i="6"/>
  <c r="EO52" i="6"/>
  <c r="EN52" i="6"/>
  <c r="EM52" i="6"/>
  <c r="EM51" i="6"/>
  <c r="EQ50" i="6"/>
  <c r="EP50" i="6"/>
  <c r="EO50" i="6"/>
  <c r="EN50" i="6"/>
  <c r="EM50" i="6"/>
  <c r="EQ49" i="6"/>
  <c r="EP49" i="6"/>
  <c r="EO49" i="6"/>
  <c r="EN49" i="6"/>
  <c r="EM49" i="6"/>
  <c r="EQ48" i="6"/>
  <c r="EP48" i="6"/>
  <c r="EO48" i="6"/>
  <c r="EN48" i="6"/>
  <c r="EM48" i="6"/>
  <c r="EQ47" i="6"/>
  <c r="EP47" i="6"/>
  <c r="EO47" i="6"/>
  <c r="EN47" i="6"/>
  <c r="EM47" i="6"/>
  <c r="EQ46" i="6"/>
  <c r="EP46" i="6"/>
  <c r="EO46" i="6"/>
  <c r="EN46" i="6"/>
  <c r="EM46" i="6"/>
  <c r="EQ45" i="6"/>
  <c r="EP45" i="6"/>
  <c r="EO45" i="6"/>
  <c r="EN45" i="6"/>
  <c r="EM45" i="6"/>
  <c r="EM44" i="6"/>
  <c r="EQ42" i="6"/>
  <c r="EP42" i="6"/>
  <c r="EO42" i="6"/>
  <c r="EN42" i="6"/>
  <c r="EM42" i="6"/>
  <c r="EP41" i="6"/>
  <c r="EO41" i="6"/>
  <c r="EN41" i="6"/>
  <c r="EQ40" i="6"/>
  <c r="EP40" i="6"/>
  <c r="EO40" i="6"/>
  <c r="EN40" i="6"/>
  <c r="EM40" i="6"/>
  <c r="EQ39" i="6"/>
  <c r="EP39" i="6"/>
  <c r="EO39" i="6"/>
  <c r="EN39" i="6"/>
  <c r="EM39" i="6"/>
  <c r="EO38" i="6"/>
  <c r="EQ38" i="6" s="1"/>
  <c r="EQ43" i="6" s="1"/>
  <c r="EN38" i="6"/>
  <c r="EM38" i="6"/>
  <c r="EM43" i="6" s="1"/>
  <c r="EN43" i="6" l="1"/>
  <c r="EP58" i="6"/>
  <c r="EN51" i="6"/>
  <c r="EQ58" i="6"/>
  <c r="EP44" i="6"/>
  <c r="EN44" i="6"/>
  <c r="EO44" i="6"/>
  <c r="EO51" i="6"/>
  <c r="EQ44" i="6"/>
  <c r="EQ51" i="6"/>
  <c r="EP51" i="6"/>
  <c r="EN58" i="6"/>
  <c r="EO58" i="6"/>
  <c r="EO43" i="6"/>
  <c r="EP38" i="6"/>
  <c r="EP43" i="6" s="1"/>
  <c r="BD28" i="6" l="1"/>
  <c r="ET28" i="6" s="1"/>
  <c r="AY60" i="6"/>
  <c r="AY61" i="6" s="1"/>
  <c r="BA28" i="6"/>
  <c r="BA60" i="6" l="1"/>
  <c r="BA61" i="6" s="1"/>
  <c r="BD30" i="6"/>
  <c r="ET30" i="6" s="1"/>
  <c r="G28" i="6"/>
  <c r="EV28" i="6" s="1"/>
  <c r="BD60" i="6"/>
  <c r="BA30" i="6"/>
  <c r="BD61" i="6" l="1"/>
  <c r="G30" i="6"/>
  <c r="EV30" i="6" s="1"/>
  <c r="G60" i="6"/>
  <c r="G61" i="6" s="1"/>
  <c r="CH12" i="6" l="1"/>
  <c r="CE12" i="6" l="1"/>
  <c r="CF12" i="6"/>
  <c r="ET12"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ANGELICA ORTIZ</author>
  </authors>
  <commentList>
    <comment ref="B28" authorId="0" shapeId="0" xr:uid="{69B3C9FC-6DC8-43B2-A7CB-1C337C1339C1}">
      <text>
        <r>
          <rPr>
            <b/>
            <sz val="9"/>
            <color rgb="FF000000"/>
            <rFont val="Tahoma"/>
            <family val="2"/>
          </rPr>
          <t>ANGELICA ORTIZ:</t>
        </r>
        <r>
          <rPr>
            <sz val="9"/>
            <color rgb="FF000000"/>
            <rFont val="Tahoma"/>
            <family val="2"/>
          </rPr>
          <t xml:space="preserve">
</t>
        </r>
        <r>
          <rPr>
            <sz val="9"/>
            <color rgb="FF000000"/>
            <rFont val="Tahoma"/>
            <family val="2"/>
          </rPr>
          <t>Revisar la desagregación de los recursos en ejecución, de la meta, por que la ejecución del mes de junio fue de 150, y acá me está dando 184</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4" authorId="0" shapeId="0" xr:uid="{3F6733FA-73A2-724B-ABFC-67B9C3104201}">
      <text>
        <r>
          <rPr>
            <b/>
            <sz val="9"/>
            <color rgb="FF000000"/>
            <rFont val="Tahoma"/>
            <family val="2"/>
          </rPr>
          <t>YULIED.PENARANDA:</t>
        </r>
        <r>
          <rPr>
            <sz val="9"/>
            <color rgb="FF000000"/>
            <rFont val="Tahoma"/>
            <family val="2"/>
          </rPr>
          <t xml:space="preserve">
</t>
        </r>
        <r>
          <rPr>
            <sz val="9"/>
            <color rgb="FF000000"/>
            <rFont val="Tahoma"/>
            <family val="2"/>
          </rPr>
          <t>Describir el nombre completo de la oficina, dirección o subdirección que gerencia el proyecto de inversión.</t>
        </r>
      </text>
    </comment>
    <comment ref="A5" authorId="0" shapeId="0" xr:uid="{B68C00BB-084D-9443-B13E-B491F0778A07}">
      <text>
        <r>
          <rPr>
            <b/>
            <sz val="9"/>
            <color rgb="FF000000"/>
            <rFont val="Tahoma"/>
            <family val="2"/>
          </rPr>
          <t>YULIED.PENARANDA:</t>
        </r>
        <r>
          <rPr>
            <sz val="9"/>
            <color rgb="FF000000"/>
            <rFont val="Tahoma"/>
            <family val="2"/>
          </rPr>
          <t xml:space="preserve">
</t>
        </r>
        <r>
          <rPr>
            <sz val="9"/>
            <color rgb="FF000000"/>
            <rFont val="Tahoma"/>
            <family val="2"/>
          </rPr>
          <t xml:space="preserve">Describir el número y nombre completo del proyecto de inversión. </t>
        </r>
      </text>
    </comment>
    <comment ref="A174" authorId="0" shapeId="0" xr:uid="{29D71FBC-F917-4E4F-8BF6-345082E3C9D2}">
      <text>
        <r>
          <rPr>
            <b/>
            <sz val="9"/>
            <color rgb="FF000000"/>
            <rFont val="Tahoma"/>
            <family val="2"/>
          </rPr>
          <t>YULIED.PENARANDA:</t>
        </r>
        <r>
          <rPr>
            <sz val="9"/>
            <color rgb="FF000000"/>
            <rFont val="Tahoma"/>
            <family val="2"/>
          </rPr>
          <t xml:space="preserve">
</t>
        </r>
        <r>
          <rPr>
            <sz val="9"/>
            <color rgb="FF000000"/>
            <rFont val="Tahoma"/>
            <family val="2"/>
          </rPr>
          <t>Corresponde a la información en firme de cada vigencia fiscal.</t>
        </r>
      </text>
    </comment>
    <comment ref="A175" authorId="0" shapeId="0" xr:uid="{AAE56886-7A2B-1F4E-A433-0BC56D13211E}">
      <text>
        <r>
          <rPr>
            <b/>
            <sz val="9"/>
            <color rgb="FF000000"/>
            <rFont val="Tahoma"/>
            <family val="2"/>
          </rPr>
          <t>YULIED.PENARANDA:</t>
        </r>
        <r>
          <rPr>
            <sz val="9"/>
            <color rgb="FF000000"/>
            <rFont val="Tahoma"/>
            <family val="2"/>
          </rPr>
          <t xml:space="preserve">
</t>
        </r>
        <r>
          <rPr>
            <sz val="9"/>
            <color rgb="FF000000"/>
            <rFont val="Tahoma"/>
            <family val="2"/>
          </rPr>
          <t>Vigencia a reportar</t>
        </r>
      </text>
    </comment>
    <comment ref="C175" authorId="0" shapeId="0" xr:uid="{4CFB3E66-8C04-2C49-8A11-20DF183F5388}">
      <text>
        <r>
          <rPr>
            <b/>
            <sz val="9"/>
            <color rgb="FF000000"/>
            <rFont val="Tahoma"/>
            <family val="2"/>
          </rPr>
          <t>YULIED.PENARANDA:</t>
        </r>
        <r>
          <rPr>
            <sz val="9"/>
            <color rgb="FF000000"/>
            <rFont val="Tahoma"/>
            <family val="2"/>
          </rPr>
          <t xml:space="preserve">
</t>
        </r>
        <r>
          <rPr>
            <sz val="9"/>
            <color rgb="FF000000"/>
            <rFont val="Tahoma"/>
            <family val="2"/>
          </rPr>
          <t>Apropiación inicial acorde con la herramienta oficial de la SDH</t>
        </r>
      </text>
    </comment>
    <comment ref="D175" authorId="0" shapeId="0" xr:uid="{5B3D62C0-23B7-D044-B783-3503F7DEF2A2}">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175" authorId="0" shapeId="0" xr:uid="{9E2ACDE1-100C-0A4D-8EB0-ECB3F28A45D6}">
      <text>
        <r>
          <rPr>
            <b/>
            <sz val="9"/>
            <color indexed="81"/>
            <rFont val="Tahoma"/>
            <family val="2"/>
          </rPr>
          <t>YULIED.PENARANDA:</t>
        </r>
        <r>
          <rPr>
            <sz val="9"/>
            <color indexed="81"/>
            <rFont val="Tahoma"/>
            <family val="2"/>
          </rPr>
          <t xml:space="preserve">
Valores contenidos en los Registros Presupuestales de Compromisos</t>
        </r>
      </text>
    </comment>
    <comment ref="F175" authorId="0" shapeId="0" xr:uid="{0BA66C0F-1BA3-F849-933A-E4304F2D1776}">
      <text>
        <r>
          <rPr>
            <b/>
            <sz val="9"/>
            <color indexed="81"/>
            <rFont val="Tahoma"/>
            <family val="2"/>
          </rPr>
          <t>YULIED.PENARANDA:</t>
        </r>
        <r>
          <rPr>
            <sz val="9"/>
            <color indexed="81"/>
            <rFont val="Tahoma"/>
            <family val="2"/>
          </rPr>
          <t xml:space="preserve">
Corresponde al pago </t>
        </r>
      </text>
    </comment>
    <comment ref="G175" authorId="0" shapeId="0" xr:uid="{1D1F637C-21E7-3749-93E9-C38A1E55D7B1}">
      <text>
        <r>
          <rPr>
            <b/>
            <sz val="9"/>
            <color indexed="81"/>
            <rFont val="Tahoma"/>
            <family val="2"/>
          </rPr>
          <t>YULIED.PENARANDA:</t>
        </r>
        <r>
          <rPr>
            <sz val="9"/>
            <color indexed="81"/>
            <rFont val="Tahoma"/>
            <family val="2"/>
          </rPr>
          <t xml:space="preserve">
Extinción de la obligación a cargo de la SDA.</t>
        </r>
      </text>
    </comment>
    <comment ref="A189" authorId="0" shapeId="0" xr:uid="{F6E9F0F5-A5D7-A24D-A3F3-1C85B8959411}">
      <text>
        <r>
          <rPr>
            <b/>
            <sz val="9"/>
            <color rgb="FF000000"/>
            <rFont val="Tahoma"/>
            <family val="2"/>
          </rPr>
          <t>YULIED.PENARANDA:</t>
        </r>
        <r>
          <rPr>
            <sz val="9"/>
            <color rgb="FF000000"/>
            <rFont val="Tahoma"/>
            <family val="2"/>
          </rPr>
          <t xml:space="preserve">
</t>
        </r>
        <r>
          <rPr>
            <sz val="9"/>
            <color rgb="FF000000"/>
            <rFont val="Tahoma"/>
            <family val="2"/>
          </rPr>
          <t>Corresponde a la información en firme de cada vigencia fiscal.</t>
        </r>
      </text>
    </comment>
    <comment ref="A190" authorId="0" shapeId="0" xr:uid="{53217967-004A-F14F-93BB-4C9B3F122A32}">
      <text>
        <r>
          <rPr>
            <b/>
            <sz val="9"/>
            <color indexed="81"/>
            <rFont val="Tahoma"/>
            <family val="2"/>
          </rPr>
          <t>YULIED.PENARANDA:</t>
        </r>
        <r>
          <rPr>
            <sz val="9"/>
            <color indexed="81"/>
            <rFont val="Tahoma"/>
            <family val="2"/>
          </rPr>
          <t xml:space="preserve">
Vigencia a reportar</t>
        </r>
      </text>
    </comment>
    <comment ref="C190" authorId="0" shapeId="0" xr:uid="{2166896D-87B3-8940-9FB5-DD5C59AD4817}">
      <text>
        <r>
          <rPr>
            <b/>
            <sz val="9"/>
            <color indexed="81"/>
            <rFont val="Tahoma"/>
            <family val="2"/>
          </rPr>
          <t>YULIED.PENARANDA:</t>
        </r>
        <r>
          <rPr>
            <sz val="9"/>
            <color indexed="81"/>
            <rFont val="Tahoma"/>
            <family val="2"/>
          </rPr>
          <t xml:space="preserve">
Apropiación inicial acorde con la herramienta oficial de la SDH</t>
        </r>
      </text>
    </comment>
    <comment ref="D190" authorId="0" shapeId="0" xr:uid="{A9D5F9DD-5BB0-E941-B7B7-E79370B73306}">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190" authorId="0" shapeId="0" xr:uid="{4CE2202D-DBF1-D540-8A32-2E88EB5EDBE7}">
      <text>
        <r>
          <rPr>
            <b/>
            <sz val="9"/>
            <color indexed="81"/>
            <rFont val="Tahoma"/>
            <family val="2"/>
          </rPr>
          <t>YULIED.PENARANDA:</t>
        </r>
        <r>
          <rPr>
            <sz val="9"/>
            <color indexed="81"/>
            <rFont val="Tahoma"/>
            <family val="2"/>
          </rPr>
          <t xml:space="preserve">
Valores contenidos en los Registros Presupuestales de Compromisos</t>
        </r>
      </text>
    </comment>
    <comment ref="F190" authorId="0" shapeId="0" xr:uid="{28FA0219-1A6D-0E4E-A0BE-07230385774B}">
      <text>
        <r>
          <rPr>
            <b/>
            <sz val="9"/>
            <color indexed="81"/>
            <rFont val="Tahoma"/>
            <family val="2"/>
          </rPr>
          <t>YULIED.PENARANDA:</t>
        </r>
        <r>
          <rPr>
            <sz val="9"/>
            <color indexed="81"/>
            <rFont val="Tahoma"/>
            <family val="2"/>
          </rPr>
          <t xml:space="preserve">
Corresponde al pago </t>
        </r>
      </text>
    </comment>
    <comment ref="G190" authorId="0" shapeId="0" xr:uid="{8C0FAE34-47D3-3649-AFEC-2C527F3CC426}">
      <text>
        <r>
          <rPr>
            <b/>
            <sz val="9"/>
            <color indexed="81"/>
            <rFont val="Tahoma"/>
            <family val="2"/>
          </rPr>
          <t>YULIED.PENARANDA:</t>
        </r>
        <r>
          <rPr>
            <sz val="9"/>
            <color indexed="81"/>
            <rFont val="Tahoma"/>
            <family val="2"/>
          </rPr>
          <t xml:space="preserve">
Extinción de la obligación a cargo de la SDA.</t>
        </r>
      </text>
    </comment>
    <comment ref="A204" authorId="0" shapeId="0" xr:uid="{B15E405F-EF2D-ED4E-903F-B90C4B354D2E}">
      <text>
        <r>
          <rPr>
            <b/>
            <sz val="9"/>
            <color rgb="FF000000"/>
            <rFont val="Tahoma"/>
            <family val="2"/>
          </rPr>
          <t>YULIED.PENARANDA:</t>
        </r>
        <r>
          <rPr>
            <sz val="9"/>
            <color rgb="FF000000"/>
            <rFont val="Tahoma"/>
            <family val="2"/>
          </rPr>
          <t xml:space="preserve">
</t>
        </r>
        <r>
          <rPr>
            <sz val="9"/>
            <color rgb="FF000000"/>
            <rFont val="Tahoma"/>
            <family val="2"/>
          </rPr>
          <t>Corresponde a la información en firme de cada vigencia fiscal.</t>
        </r>
      </text>
    </comment>
    <comment ref="A205" authorId="0" shapeId="0" xr:uid="{B921F9F9-13B0-9E48-BAEF-C9DF2DD3F5CD}">
      <text>
        <r>
          <rPr>
            <b/>
            <sz val="9"/>
            <color indexed="81"/>
            <rFont val="Tahoma"/>
            <family val="2"/>
          </rPr>
          <t>YULIED.PENARANDA:</t>
        </r>
        <r>
          <rPr>
            <sz val="9"/>
            <color indexed="81"/>
            <rFont val="Tahoma"/>
            <family val="2"/>
          </rPr>
          <t xml:space="preserve">
Vigencia a reportar</t>
        </r>
      </text>
    </comment>
    <comment ref="C205" authorId="0" shapeId="0" xr:uid="{5C5EF798-3AC3-D640-9342-041142A5F563}">
      <text>
        <r>
          <rPr>
            <b/>
            <sz val="9"/>
            <color indexed="81"/>
            <rFont val="Tahoma"/>
            <family val="2"/>
          </rPr>
          <t>YULIED.PENARANDA:</t>
        </r>
        <r>
          <rPr>
            <sz val="9"/>
            <color indexed="81"/>
            <rFont val="Tahoma"/>
            <family val="2"/>
          </rPr>
          <t xml:space="preserve">
Apropiación inicial acorde con la herramienta oficial de la SDH</t>
        </r>
      </text>
    </comment>
    <comment ref="D205" authorId="0" shapeId="0" xr:uid="{2422C830-AE6C-664D-BB40-61045224E98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205" authorId="0" shapeId="0" xr:uid="{36D48BC0-2852-FB47-9C9F-DE531BAE1881}">
      <text>
        <r>
          <rPr>
            <b/>
            <sz val="9"/>
            <color indexed="81"/>
            <rFont val="Tahoma"/>
            <family val="2"/>
          </rPr>
          <t>YULIED.PENARANDA:</t>
        </r>
        <r>
          <rPr>
            <sz val="9"/>
            <color indexed="81"/>
            <rFont val="Tahoma"/>
            <family val="2"/>
          </rPr>
          <t xml:space="preserve">
Valores contenidos en los Registros Presupuestales de Compromisos</t>
        </r>
      </text>
    </comment>
    <comment ref="F205" authorId="0" shapeId="0" xr:uid="{2DE99689-B01D-6942-9B72-D0E811D4F20D}">
      <text>
        <r>
          <rPr>
            <b/>
            <sz val="9"/>
            <color indexed="81"/>
            <rFont val="Tahoma"/>
            <family val="2"/>
          </rPr>
          <t>YULIED.PENARANDA:</t>
        </r>
        <r>
          <rPr>
            <sz val="9"/>
            <color indexed="81"/>
            <rFont val="Tahoma"/>
            <family val="2"/>
          </rPr>
          <t xml:space="preserve">
Corresponde al pago </t>
        </r>
      </text>
    </comment>
    <comment ref="G205" authorId="0" shapeId="0" xr:uid="{1F11D9A1-EC93-B04A-8A44-50568845C628}">
      <text>
        <r>
          <rPr>
            <b/>
            <sz val="9"/>
            <color indexed="81"/>
            <rFont val="Tahoma"/>
            <family val="2"/>
          </rPr>
          <t>YULIED.PENARANDA:</t>
        </r>
        <r>
          <rPr>
            <sz val="9"/>
            <color indexed="81"/>
            <rFont val="Tahoma"/>
            <family val="2"/>
          </rPr>
          <t xml:space="preserve">
Extinción de la obligación a cargo de la SDA.</t>
        </r>
      </text>
    </comment>
    <comment ref="A219" authorId="0" shapeId="0" xr:uid="{62C066A8-9CA0-B045-B887-B44A368A1D32}">
      <text>
        <r>
          <rPr>
            <b/>
            <sz val="9"/>
            <color rgb="FF000000"/>
            <rFont val="Tahoma"/>
            <family val="2"/>
          </rPr>
          <t>YULIED.PENARANDA:</t>
        </r>
        <r>
          <rPr>
            <sz val="9"/>
            <color rgb="FF000000"/>
            <rFont val="Tahoma"/>
            <family val="2"/>
          </rPr>
          <t xml:space="preserve">
</t>
        </r>
        <r>
          <rPr>
            <sz val="9"/>
            <color rgb="FF000000"/>
            <rFont val="Tahoma"/>
            <family val="2"/>
          </rPr>
          <t xml:space="preserve">Avance productos e indicadores de productos (según cadena de valor)
</t>
        </r>
        <r>
          <rPr>
            <sz val="9"/>
            <color rgb="FF000000"/>
            <rFont val="Tahoma"/>
            <family val="2"/>
          </rPr>
          <t xml:space="preserve">
</t>
        </r>
        <r>
          <rPr>
            <sz val="9"/>
            <color rgb="FF000000"/>
            <rFont val="Tahoma"/>
            <family val="2"/>
          </rPr>
          <t>NOTA: Desagregar cuadro cuantas veces tenga productos y/o indicadores asociados</t>
        </r>
      </text>
    </comment>
    <comment ref="A220" authorId="0" shapeId="0" xr:uid="{78EFBE01-315D-6B44-8C39-32921E1CBEB3}">
      <text>
        <r>
          <rPr>
            <b/>
            <sz val="9"/>
            <color rgb="FF000000"/>
            <rFont val="Tahoma"/>
            <family val="2"/>
          </rPr>
          <t>YULIED.PENARANDA:</t>
        </r>
        <r>
          <rPr>
            <sz val="9"/>
            <color rgb="FF000000"/>
            <rFont val="Tahoma"/>
            <family val="2"/>
          </rPr>
          <t xml:space="preserve">
</t>
        </r>
        <r>
          <rPr>
            <sz val="9"/>
            <color rgb="FF000000"/>
            <rFont val="Tahoma"/>
            <family val="2"/>
          </rPr>
          <t>Vigencia a reportar</t>
        </r>
      </text>
    </comment>
    <comment ref="B220" authorId="0" shapeId="0" xr:uid="{6001B3D8-4CA5-5840-905C-919177C7B2D6}">
      <text>
        <r>
          <rPr>
            <b/>
            <sz val="9"/>
            <color rgb="FF000000"/>
            <rFont val="Tahoma"/>
            <family val="2"/>
          </rPr>
          <t>YULIED.PENARANDA:</t>
        </r>
        <r>
          <rPr>
            <sz val="9"/>
            <color rgb="FF000000"/>
            <rFont val="Tahoma"/>
            <family val="2"/>
          </rPr>
          <t xml:space="preserve">
</t>
        </r>
        <r>
          <rPr>
            <sz val="9"/>
            <color rgb="FF000000"/>
            <rFont val="Tahoma"/>
            <family val="2"/>
          </rPr>
          <t>Describir los objetivo específico del proyecto, como se definió en la formulación del proyecto</t>
        </r>
      </text>
    </comment>
    <comment ref="C220" authorId="0" shapeId="0" xr:uid="{BB574C84-FC80-DF40-AA62-114E07933BAE}">
      <text>
        <r>
          <rPr>
            <b/>
            <sz val="9"/>
            <color rgb="FF000000"/>
            <rFont val="Tahoma"/>
            <family val="2"/>
          </rPr>
          <t>YULIED.PENARANDA:</t>
        </r>
        <r>
          <rPr>
            <sz val="9"/>
            <color rgb="FF000000"/>
            <rFont val="Tahoma"/>
            <family val="2"/>
          </rPr>
          <t xml:space="preserve">
</t>
        </r>
        <r>
          <rPr>
            <sz val="9"/>
            <color rgb="FF000000"/>
            <rFont val="Tahoma"/>
            <family val="2"/>
          </rPr>
          <t>Describir los productos del proyecto, como se definió en la formulación del proyecto y de acuerdo con el catálogo de productos DNP</t>
        </r>
      </text>
    </comment>
    <comment ref="D220" authorId="0" shapeId="0" xr:uid="{3AD5BA72-8A77-264D-8C10-725AC999E75E}">
      <text>
        <r>
          <rPr>
            <b/>
            <sz val="9"/>
            <color rgb="FF000000"/>
            <rFont val="Tahoma"/>
            <family val="2"/>
          </rPr>
          <t>YULIED.PENARANDA:</t>
        </r>
        <r>
          <rPr>
            <sz val="9"/>
            <color rgb="FF000000"/>
            <rFont val="Tahoma"/>
            <family val="2"/>
          </rPr>
          <t xml:space="preserve">
</t>
        </r>
        <r>
          <rPr>
            <sz val="9"/>
            <color rgb="FF000000"/>
            <rFont val="Tahoma"/>
            <family val="2"/>
          </rPr>
          <t xml:space="preserve">Nombre completo del indicador. Expresión verbal, precisa y concreta del patrón de evaluación. </t>
        </r>
      </text>
    </comment>
    <comment ref="E220" authorId="0" shapeId="0" xr:uid="{D40D9BAF-877B-2F42-9723-BA232D55AC4A}">
      <text>
        <r>
          <rPr>
            <b/>
            <sz val="9"/>
            <color rgb="FF000000"/>
            <rFont val="Tahoma"/>
            <family val="2"/>
          </rPr>
          <t>YULIED.PENARANDA:</t>
        </r>
        <r>
          <rPr>
            <sz val="9"/>
            <color rgb="FF000000"/>
            <rFont val="Tahoma"/>
            <family val="2"/>
          </rPr>
          <t xml:space="preserve">
</t>
        </r>
        <r>
          <rPr>
            <sz val="9"/>
            <color rgb="FF000000"/>
            <rFont val="Tahoma"/>
            <family val="2"/>
          </rPr>
          <t xml:space="preserve">Unidad cualitativa del indicador, define las características de la magnitud a realizar seguimiento. Eje: Hectáreas, estrategias, modelos, etc. </t>
        </r>
      </text>
    </comment>
    <comment ref="F220" authorId="0" shapeId="0" xr:uid="{1952C264-2D3B-464F-A3E9-B98E6BD7BB60}">
      <text>
        <r>
          <rPr>
            <b/>
            <sz val="9"/>
            <color rgb="FF000000"/>
            <rFont val="Tahoma"/>
            <family val="2"/>
          </rPr>
          <t>YULIED.PENARANDA:</t>
        </r>
        <r>
          <rPr>
            <sz val="9"/>
            <color rgb="FF000000"/>
            <rFont val="Tahoma"/>
            <family val="2"/>
          </rPr>
          <t xml:space="preserve">
</t>
        </r>
        <r>
          <rPr>
            <sz val="9"/>
            <color rgb="FF000000"/>
            <rFont val="Tahoma"/>
            <family val="2"/>
          </rPr>
          <t>Ponderación del indicador se realiza de acuerdo al peso que cada producto tiene en el caso total del proyecto.</t>
        </r>
      </text>
    </comment>
    <comment ref="G220" authorId="0" shapeId="0" xr:uid="{5F6D13AA-6BBD-B042-BE25-08185ED8C80D}">
      <text>
        <r>
          <rPr>
            <b/>
            <sz val="9"/>
            <color rgb="FF000000"/>
            <rFont val="Tahoma"/>
            <family val="2"/>
          </rPr>
          <t>YULIED.PENARANDA:</t>
        </r>
        <r>
          <rPr>
            <sz val="9"/>
            <color rgb="FF000000"/>
            <rFont val="Tahoma"/>
            <family val="2"/>
          </rPr>
          <t xml:space="preserve">
</t>
        </r>
        <r>
          <rPr>
            <sz val="9"/>
            <color rgb="FF000000"/>
            <rFont val="Tahoma"/>
            <family val="2"/>
          </rPr>
          <t>Nombre completo de la Meta  del Plan de Desarrollo, como se relaciona en el de gestión</t>
        </r>
      </text>
    </comment>
    <comment ref="L220" authorId="0" shapeId="0" xr:uid="{FEECE0BB-4D0B-D947-A1A6-F56E87A0351C}">
      <text>
        <r>
          <rPr>
            <b/>
            <sz val="9"/>
            <color rgb="FF000000"/>
            <rFont val="Tahoma"/>
            <family val="2"/>
          </rPr>
          <t>YULIED.PENARANDA:</t>
        </r>
        <r>
          <rPr>
            <sz val="9"/>
            <color rgb="FF000000"/>
            <rFont val="Tahoma"/>
            <family val="2"/>
          </rPr>
          <t xml:space="preserve">
</t>
        </r>
        <r>
          <rPr>
            <sz val="9"/>
            <color rgb="FF000000"/>
            <rFont val="Tahoma"/>
            <family val="2"/>
          </rPr>
          <t>Descripción concreta del avance, máximo de caracteres 200</t>
        </r>
      </text>
    </comment>
    <comment ref="A264" authorId="0" shapeId="0" xr:uid="{1EA05490-4BF0-A748-8196-6AB0B526BBFE}">
      <text>
        <r>
          <rPr>
            <b/>
            <sz val="9"/>
            <color rgb="FF000000"/>
            <rFont val="Tahoma"/>
            <family val="2"/>
          </rPr>
          <t>YULIED.PENARANDA:</t>
        </r>
        <r>
          <rPr>
            <sz val="9"/>
            <color rgb="FF000000"/>
            <rFont val="Tahoma"/>
            <family val="2"/>
          </rPr>
          <t xml:space="preserve">
</t>
        </r>
        <r>
          <rPr>
            <sz val="9"/>
            <color rgb="FF000000"/>
            <rFont val="Tahoma"/>
            <family val="2"/>
          </rPr>
          <t xml:space="preserve">Avance productos e indicadores de productos (según cadena de valor)
</t>
        </r>
        <r>
          <rPr>
            <sz val="9"/>
            <color rgb="FF000000"/>
            <rFont val="Tahoma"/>
            <family val="2"/>
          </rPr>
          <t xml:space="preserve">
</t>
        </r>
        <r>
          <rPr>
            <sz val="9"/>
            <color rgb="FF000000"/>
            <rFont val="Tahoma"/>
            <family val="2"/>
          </rPr>
          <t>NOTA: Desagregar cuadro cuantas veces tenga productos y/o indicadores asociados</t>
        </r>
      </text>
    </comment>
    <comment ref="A265" authorId="0" shapeId="0" xr:uid="{5E479046-9E8E-D84D-8F5A-8DEB0EEC0090}">
      <text>
        <r>
          <rPr>
            <b/>
            <sz val="9"/>
            <color rgb="FF000000"/>
            <rFont val="Tahoma"/>
            <family val="2"/>
          </rPr>
          <t>YULIED.PENARANDA:</t>
        </r>
        <r>
          <rPr>
            <sz val="9"/>
            <color rgb="FF000000"/>
            <rFont val="Tahoma"/>
            <family val="2"/>
          </rPr>
          <t xml:space="preserve">
</t>
        </r>
        <r>
          <rPr>
            <sz val="9"/>
            <color rgb="FF000000"/>
            <rFont val="Tahoma"/>
            <family val="2"/>
          </rPr>
          <t>Vigencia a reportar</t>
        </r>
      </text>
    </comment>
    <comment ref="B265" authorId="0" shapeId="0" xr:uid="{48F1D542-77FA-DF47-95B7-66FF2D6CA7AC}">
      <text>
        <r>
          <rPr>
            <b/>
            <sz val="9"/>
            <color rgb="FF000000"/>
            <rFont val="Tahoma"/>
            <family val="2"/>
          </rPr>
          <t>YULIED.PENARANDA:</t>
        </r>
        <r>
          <rPr>
            <sz val="9"/>
            <color rgb="FF000000"/>
            <rFont val="Tahoma"/>
            <family val="2"/>
          </rPr>
          <t xml:space="preserve">
</t>
        </r>
        <r>
          <rPr>
            <sz val="9"/>
            <color rgb="FF000000"/>
            <rFont val="Tahoma"/>
            <family val="2"/>
          </rPr>
          <t>Describir los objetivo específico del proyecto, como se definió en la formulación del proyecto</t>
        </r>
      </text>
    </comment>
    <comment ref="C265" authorId="0" shapeId="0" xr:uid="{63924371-31A9-4349-93AF-E5781E16AD36}">
      <text>
        <r>
          <rPr>
            <b/>
            <sz val="9"/>
            <color rgb="FF000000"/>
            <rFont val="Tahoma"/>
            <family val="2"/>
          </rPr>
          <t>YULIED.PENARANDA:</t>
        </r>
        <r>
          <rPr>
            <sz val="9"/>
            <color rgb="FF000000"/>
            <rFont val="Tahoma"/>
            <family val="2"/>
          </rPr>
          <t xml:space="preserve">
</t>
        </r>
        <r>
          <rPr>
            <sz val="9"/>
            <color rgb="FF000000"/>
            <rFont val="Tahoma"/>
            <family val="2"/>
          </rPr>
          <t>Describir los productos del proyecto, como se definió en la formulación del proyecto y de acuerdo con el catálogo de productos DNP</t>
        </r>
      </text>
    </comment>
    <comment ref="D265" authorId="0" shapeId="0" xr:uid="{DD660AF3-3E97-D34B-BE44-9CE446C1CCFE}">
      <text>
        <r>
          <rPr>
            <b/>
            <sz val="9"/>
            <color rgb="FF000000"/>
            <rFont val="Tahoma"/>
            <family val="2"/>
          </rPr>
          <t>YULIED.PENARANDA:</t>
        </r>
        <r>
          <rPr>
            <sz val="9"/>
            <color rgb="FF000000"/>
            <rFont val="Tahoma"/>
            <family val="2"/>
          </rPr>
          <t xml:space="preserve">
</t>
        </r>
        <r>
          <rPr>
            <sz val="9"/>
            <color rgb="FF000000"/>
            <rFont val="Tahoma"/>
            <family val="2"/>
          </rPr>
          <t xml:space="preserve">Nombre completo del indicador. Expresión verbal, precisa y concreta del patrón de evaluación. </t>
        </r>
      </text>
    </comment>
    <comment ref="E265" authorId="0" shapeId="0" xr:uid="{81D754F0-E2C7-684B-ACE9-0D3E65C7056A}">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265" authorId="0" shapeId="0" xr:uid="{63A8A17A-7523-964B-83AD-7A0258EF59D7}">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265" authorId="0" shapeId="0" xr:uid="{9196047A-40B9-5E4B-A02F-6A0217B23DB7}">
      <text>
        <r>
          <rPr>
            <b/>
            <sz val="9"/>
            <color rgb="FF000000"/>
            <rFont val="Tahoma"/>
            <family val="2"/>
          </rPr>
          <t>YULIED.PENARANDA:</t>
        </r>
        <r>
          <rPr>
            <sz val="9"/>
            <color rgb="FF000000"/>
            <rFont val="Tahoma"/>
            <family val="2"/>
          </rPr>
          <t xml:space="preserve">
</t>
        </r>
        <r>
          <rPr>
            <sz val="9"/>
            <color rgb="FF000000"/>
            <rFont val="Tahoma"/>
            <family val="2"/>
          </rPr>
          <t>Nombre completo de la Meta  del Plan de Desarrollo, como se relaciona en el de gestión</t>
        </r>
      </text>
    </comment>
    <comment ref="L265" authorId="0" shapeId="0" xr:uid="{72B78613-A0F4-234B-9750-E56B325D0015}">
      <text>
        <r>
          <rPr>
            <b/>
            <sz val="9"/>
            <color indexed="81"/>
            <rFont val="Tahoma"/>
            <family val="2"/>
          </rPr>
          <t>YULIED.PENARANDA:</t>
        </r>
        <r>
          <rPr>
            <sz val="9"/>
            <color indexed="81"/>
            <rFont val="Tahoma"/>
            <family val="2"/>
          </rPr>
          <t xml:space="preserve">
Descripción concreta del avance, máximo de caracteres 200</t>
        </r>
      </text>
    </comment>
    <comment ref="A333" authorId="0" shapeId="0" xr:uid="{B723FB9C-5A89-1F46-BE5A-B08C46525C94}">
      <text>
        <r>
          <rPr>
            <b/>
            <sz val="9"/>
            <color rgb="FF000000"/>
            <rFont val="Tahoma"/>
            <family val="2"/>
          </rPr>
          <t>YULIED.PENARANDA:</t>
        </r>
        <r>
          <rPr>
            <sz val="9"/>
            <color rgb="FF000000"/>
            <rFont val="Tahoma"/>
            <family val="2"/>
          </rPr>
          <t xml:space="preserve">
</t>
        </r>
        <r>
          <rPr>
            <sz val="9"/>
            <color rgb="FF000000"/>
            <rFont val="Tahoma"/>
            <family val="2"/>
          </rPr>
          <t xml:space="preserve">Avance productos e indicadores de productos (según cadena de valor)
</t>
        </r>
        <r>
          <rPr>
            <sz val="9"/>
            <color rgb="FF000000"/>
            <rFont val="Tahoma"/>
            <family val="2"/>
          </rPr>
          <t xml:space="preserve">
</t>
        </r>
        <r>
          <rPr>
            <sz val="9"/>
            <color rgb="FF000000"/>
            <rFont val="Tahoma"/>
            <family val="2"/>
          </rPr>
          <t>NOTA: Desagregar cuadro cuantas veces tenga productos y/o indicadores asociados</t>
        </r>
      </text>
    </comment>
    <comment ref="A334" authorId="0" shapeId="0" xr:uid="{9BBBB631-57E2-FA48-AF2F-A30F39525807}">
      <text>
        <r>
          <rPr>
            <b/>
            <sz val="9"/>
            <color rgb="FF000000"/>
            <rFont val="Tahoma"/>
            <family val="2"/>
          </rPr>
          <t>YULIED.PENARANDA:</t>
        </r>
        <r>
          <rPr>
            <sz val="9"/>
            <color rgb="FF000000"/>
            <rFont val="Tahoma"/>
            <family val="2"/>
          </rPr>
          <t xml:space="preserve">
</t>
        </r>
        <r>
          <rPr>
            <sz val="9"/>
            <color rgb="FF000000"/>
            <rFont val="Tahoma"/>
            <family val="2"/>
          </rPr>
          <t>Vigencia a reportar</t>
        </r>
      </text>
    </comment>
    <comment ref="B334" authorId="0" shapeId="0" xr:uid="{D0941762-3822-544D-8462-6039A133E821}">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334" authorId="0" shapeId="0" xr:uid="{E469D9DE-BADD-EF44-A9F6-D8572B818F1E}">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334" authorId="0" shapeId="0" xr:uid="{C09DCA53-7B2C-D44E-AEA5-22620471FD21}">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334" authorId="0" shapeId="0" xr:uid="{1F3EAB75-941B-0943-97ED-BB93FA16D5F5}">
      <text>
        <r>
          <rPr>
            <b/>
            <sz val="9"/>
            <color rgb="FF000000"/>
            <rFont val="Tahoma"/>
            <family val="2"/>
          </rPr>
          <t>YULIED.PENARANDA:</t>
        </r>
        <r>
          <rPr>
            <sz val="9"/>
            <color rgb="FF000000"/>
            <rFont val="Tahoma"/>
            <family val="2"/>
          </rPr>
          <t xml:space="preserve">
</t>
        </r>
        <r>
          <rPr>
            <sz val="9"/>
            <color rgb="FF000000"/>
            <rFont val="Tahoma"/>
            <family val="2"/>
          </rPr>
          <t xml:space="preserve">Unidad cualitativa del indicador, define las características de la magnitud a realizar seguimiento. Eje: Hectáreas, estrategias, modelos, etc. </t>
        </r>
      </text>
    </comment>
    <comment ref="F334" authorId="0" shapeId="0" xr:uid="{BE1E397B-5EDE-4F42-8E81-7FEF5D42DE82}">
      <text>
        <r>
          <rPr>
            <b/>
            <sz val="9"/>
            <color rgb="FF000000"/>
            <rFont val="Tahoma"/>
            <family val="2"/>
          </rPr>
          <t>YULIED.PENARANDA:</t>
        </r>
        <r>
          <rPr>
            <sz val="9"/>
            <color rgb="FF000000"/>
            <rFont val="Tahoma"/>
            <family val="2"/>
          </rPr>
          <t xml:space="preserve">
</t>
        </r>
        <r>
          <rPr>
            <sz val="9"/>
            <color rgb="FF000000"/>
            <rFont val="Tahoma"/>
            <family val="2"/>
          </rPr>
          <t>Ponderación del indicador se realiza de acuerdo al peso que cada producto tiene en el caso total del proyecto.</t>
        </r>
      </text>
    </comment>
    <comment ref="G334" authorId="0" shapeId="0" xr:uid="{368D3C26-296A-BC42-BC76-B7F6F8FE664F}">
      <text>
        <r>
          <rPr>
            <b/>
            <sz val="9"/>
            <color rgb="FF000000"/>
            <rFont val="Tahoma"/>
            <family val="2"/>
          </rPr>
          <t>YULIED.PENARANDA:</t>
        </r>
        <r>
          <rPr>
            <sz val="9"/>
            <color rgb="FF000000"/>
            <rFont val="Tahoma"/>
            <family val="2"/>
          </rPr>
          <t xml:space="preserve">
</t>
        </r>
        <r>
          <rPr>
            <sz val="9"/>
            <color rgb="FF000000"/>
            <rFont val="Tahoma"/>
            <family val="2"/>
          </rPr>
          <t>Nombre completo de la Meta  del Plan de Desarrollo, como se relaciona en el de gestión</t>
        </r>
      </text>
    </comment>
    <comment ref="L334" authorId="0" shapeId="0" xr:uid="{0D9C18F6-E3E6-C34E-B63A-B8173736EBF9}">
      <text>
        <r>
          <rPr>
            <b/>
            <sz val="9"/>
            <color indexed="81"/>
            <rFont val="Tahoma"/>
            <family val="2"/>
          </rPr>
          <t>YULIED.PENARANDA:</t>
        </r>
        <r>
          <rPr>
            <sz val="9"/>
            <color indexed="81"/>
            <rFont val="Tahoma"/>
            <family val="2"/>
          </rPr>
          <t xml:space="preserve">
Descripción concreta del avance, máximo de caracteres 200</t>
        </r>
      </text>
    </comment>
    <comment ref="A348" authorId="0" shapeId="0" xr:uid="{D07B0C48-4348-CC46-A9DD-8CD2DF94653A}">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349" authorId="0" shapeId="0" xr:uid="{16ECD0B5-683D-E747-88B7-98E7C4F22D73}">
      <text>
        <r>
          <rPr>
            <b/>
            <sz val="9"/>
            <color indexed="81"/>
            <rFont val="Tahoma"/>
            <family val="2"/>
          </rPr>
          <t>YULIED.PENARANDA:</t>
        </r>
        <r>
          <rPr>
            <sz val="9"/>
            <color indexed="81"/>
            <rFont val="Tahoma"/>
            <family val="2"/>
          </rPr>
          <t xml:space="preserve">
Vigencia a reportar</t>
        </r>
      </text>
    </comment>
    <comment ref="B349" authorId="0" shapeId="0" xr:uid="{86231592-E44A-664F-A6E1-F116EB6E04D3}">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349" authorId="0" shapeId="0" xr:uid="{4567F77C-4D41-E342-AE27-AE36E9B4D6E4}">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349" authorId="0" shapeId="0" xr:uid="{63EFFB45-3312-084F-8BAF-00473932ECC2}">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349" authorId="0" shapeId="0" xr:uid="{02685B6E-857C-5545-920C-05DB13E7B93C}">
      <text>
        <r>
          <rPr>
            <b/>
            <sz val="9"/>
            <color rgb="FF000000"/>
            <rFont val="Tahoma"/>
            <family val="2"/>
          </rPr>
          <t>YULIED.PENARANDA:</t>
        </r>
        <r>
          <rPr>
            <sz val="9"/>
            <color rgb="FF000000"/>
            <rFont val="Tahoma"/>
            <family val="2"/>
          </rPr>
          <t xml:space="preserve">
</t>
        </r>
        <r>
          <rPr>
            <sz val="9"/>
            <color rgb="FF000000"/>
            <rFont val="Tahoma"/>
            <family val="2"/>
          </rPr>
          <t xml:space="preserve">Unidad cualitativa del indicador, define las características de la magnitud a realizar seguimiento. Eje: Hectáreas, estrategias, modelos, etc. </t>
        </r>
      </text>
    </comment>
    <comment ref="F349" authorId="0" shapeId="0" xr:uid="{FF79AA8D-62B4-0B49-A354-FB2495DCD9A6}">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349" authorId="0" shapeId="0" xr:uid="{91D15D0B-9D5C-4B4B-9044-7F984BE3E72D}">
      <text>
        <r>
          <rPr>
            <b/>
            <sz val="9"/>
            <color rgb="FF000000"/>
            <rFont val="Tahoma"/>
            <family val="2"/>
          </rPr>
          <t>YULIED.PENARANDA:</t>
        </r>
        <r>
          <rPr>
            <sz val="9"/>
            <color rgb="FF000000"/>
            <rFont val="Tahoma"/>
            <family val="2"/>
          </rPr>
          <t xml:space="preserve">
</t>
        </r>
        <r>
          <rPr>
            <sz val="9"/>
            <color rgb="FF000000"/>
            <rFont val="Tahoma"/>
            <family val="2"/>
          </rPr>
          <t>Nombre completo de la Meta  del Plan de Desarrollo, como se relaciona en el de gestión</t>
        </r>
      </text>
    </comment>
    <comment ref="L349" authorId="0" shapeId="0" xr:uid="{15C06F21-1553-5F4A-9087-5F210DE9791D}">
      <text>
        <r>
          <rPr>
            <b/>
            <sz val="9"/>
            <color indexed="81"/>
            <rFont val="Tahoma"/>
            <family val="2"/>
          </rPr>
          <t>YULIED.PENARANDA:</t>
        </r>
        <r>
          <rPr>
            <sz val="9"/>
            <color indexed="81"/>
            <rFont val="Tahoma"/>
            <family val="2"/>
          </rPr>
          <t xml:space="preserve">
Descripción concreta del avance, máximo de caracteres 200</t>
        </r>
      </text>
    </comment>
    <comment ref="A363" authorId="0" shapeId="0" xr:uid="{720ACF79-BC6B-044C-9085-E49907E33C93}">
      <text>
        <r>
          <rPr>
            <b/>
            <sz val="9"/>
            <color rgb="FF000000"/>
            <rFont val="Tahoma"/>
            <family val="2"/>
          </rPr>
          <t>YULIED.PENARANDA:</t>
        </r>
        <r>
          <rPr>
            <sz val="9"/>
            <color rgb="FF000000"/>
            <rFont val="Tahoma"/>
            <family val="2"/>
          </rPr>
          <t xml:space="preserve">
</t>
        </r>
        <r>
          <rPr>
            <sz val="9"/>
            <color rgb="FF000000"/>
            <rFont val="Tahoma"/>
            <family val="2"/>
          </rPr>
          <t xml:space="preserve">Avance productos e indicadores de productos (según cadena de valor)
</t>
        </r>
        <r>
          <rPr>
            <sz val="9"/>
            <color rgb="FF000000"/>
            <rFont val="Tahoma"/>
            <family val="2"/>
          </rPr>
          <t xml:space="preserve">
</t>
        </r>
        <r>
          <rPr>
            <sz val="9"/>
            <color rgb="FF000000"/>
            <rFont val="Tahoma"/>
            <family val="2"/>
          </rPr>
          <t xml:space="preserve">
</t>
        </r>
        <r>
          <rPr>
            <sz val="9"/>
            <color rgb="FF000000"/>
            <rFont val="Tahoma"/>
            <family val="2"/>
          </rPr>
          <t>NOTA: Desagregar cuadro cuantas veces tenga productos y/o indicadores asociados</t>
        </r>
      </text>
    </comment>
    <comment ref="A364" authorId="0" shapeId="0" xr:uid="{67650843-B7B5-7D41-918B-DD478780D505}">
      <text>
        <r>
          <rPr>
            <b/>
            <sz val="9"/>
            <color indexed="81"/>
            <rFont val="Tahoma"/>
            <family val="2"/>
          </rPr>
          <t>YULIED.PENARANDA:</t>
        </r>
        <r>
          <rPr>
            <sz val="9"/>
            <color indexed="81"/>
            <rFont val="Tahoma"/>
            <family val="2"/>
          </rPr>
          <t xml:space="preserve">
Vigencia a reportar</t>
        </r>
      </text>
    </comment>
    <comment ref="B364" authorId="0" shapeId="0" xr:uid="{97A918AA-4C75-1F4A-A2DF-56D73E9525D6}">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364" authorId="0" shapeId="0" xr:uid="{D7CD53D8-4677-1A4D-8957-99B0921069E4}">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364" authorId="0" shapeId="0" xr:uid="{9D9B7767-5DB3-8344-AE17-81A4A9B53BC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364" authorId="0" shapeId="0" xr:uid="{A1C95D58-B196-F64E-93D5-21278F636A23}">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364" authorId="0" shapeId="0" xr:uid="{5AC46F72-67B6-F843-8EA8-884370F7B0F4}">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364" authorId="0" shapeId="0" xr:uid="{5F82AD6B-063A-574F-9B17-E6EF07B9C1C4}">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L364" authorId="0" shapeId="0" xr:uid="{4B14C4DE-1038-BC4E-B2AC-D18A853AEE2B}">
      <text>
        <r>
          <rPr>
            <b/>
            <sz val="9"/>
            <color indexed="81"/>
            <rFont val="Tahoma"/>
            <family val="2"/>
          </rPr>
          <t>YULIED.PENARANDA:</t>
        </r>
        <r>
          <rPr>
            <sz val="9"/>
            <color indexed="81"/>
            <rFont val="Tahoma"/>
            <family val="2"/>
          </rPr>
          <t xml:space="preserve">
Descripción concreta del avance, máximo de caracteres 200</t>
        </r>
      </text>
    </comment>
    <comment ref="A378" authorId="0" shapeId="0" xr:uid="{3F51315A-8691-7F41-98A2-A6FBA65A5E19}">
      <text>
        <r>
          <rPr>
            <b/>
            <sz val="9"/>
            <color rgb="FF000000"/>
            <rFont val="Tahoma"/>
            <family val="2"/>
          </rPr>
          <t xml:space="preserve">YULIED.PENARANDA
</t>
        </r>
        <r>
          <rPr>
            <b/>
            <sz val="9"/>
            <color rgb="FF000000"/>
            <rFont val="Tahoma"/>
            <family val="2"/>
          </rPr>
          <t xml:space="preserve">Distribuir las obligaciones del proyecto entre las diferentes actividades que hacen parte de un producto y un objetivo específico.
</t>
        </r>
        <r>
          <rPr>
            <b/>
            <sz val="9"/>
            <color rgb="FF000000"/>
            <rFont val="Tahoma"/>
            <family val="2"/>
          </rPr>
          <t xml:space="preserve">
</t>
        </r>
        <r>
          <rPr>
            <b/>
            <sz val="9"/>
            <color rgb="FF000000"/>
            <rFont val="Tahoma"/>
            <family val="2"/>
          </rPr>
          <t>NOTA: Desagregar cuadro cuantas veces tenga productos asociados</t>
        </r>
      </text>
    </comment>
    <comment ref="A379" authorId="0" shapeId="0" xr:uid="{ED395BEB-8905-5C46-9883-1A8341255EA2}">
      <text>
        <r>
          <rPr>
            <b/>
            <sz val="9"/>
            <color indexed="81"/>
            <rFont val="Tahoma"/>
            <family val="2"/>
          </rPr>
          <t>YULIED.PENARANDA:</t>
        </r>
        <r>
          <rPr>
            <sz val="9"/>
            <color indexed="81"/>
            <rFont val="Tahoma"/>
            <family val="2"/>
          </rPr>
          <t xml:space="preserve">
Vigencia a reportar</t>
        </r>
      </text>
    </comment>
    <comment ref="B379" authorId="0" shapeId="0" xr:uid="{71C20752-0B96-4744-9C43-016874C1D758}">
      <text>
        <r>
          <rPr>
            <b/>
            <sz val="9"/>
            <color rgb="FF000000"/>
            <rFont val="Tahoma"/>
            <family val="2"/>
          </rPr>
          <t>YULIED.PENARANDA:</t>
        </r>
        <r>
          <rPr>
            <sz val="9"/>
            <color rgb="FF000000"/>
            <rFont val="Tahoma"/>
            <family val="2"/>
          </rPr>
          <t xml:space="preserve">
</t>
        </r>
        <r>
          <rPr>
            <sz val="9"/>
            <color rgb="FF000000"/>
            <rFont val="Tahoma"/>
            <family val="2"/>
          </rPr>
          <t>Describir los objetivo específico del proyecto, como se definió en la formulación del proyecto</t>
        </r>
      </text>
    </comment>
    <comment ref="C379" authorId="0" shapeId="0" xr:uid="{7F0246A8-AAD2-7A43-9676-1C23C3AEF2CA}">
      <text>
        <r>
          <rPr>
            <b/>
            <sz val="9"/>
            <color rgb="FF000000"/>
            <rFont val="Tahoma"/>
            <family val="2"/>
          </rPr>
          <t>YULIED.PENARANDA:</t>
        </r>
        <r>
          <rPr>
            <sz val="9"/>
            <color rgb="FF000000"/>
            <rFont val="Tahoma"/>
            <family val="2"/>
          </rPr>
          <t xml:space="preserve">
</t>
        </r>
        <r>
          <rPr>
            <sz val="9"/>
            <color rgb="FF000000"/>
            <rFont val="Tahoma"/>
            <family val="2"/>
          </rPr>
          <t>Describir los productos del proyecto, como se definió en la formulación del proyecto y de acuerdo con el catálogo de productos del DNP.</t>
        </r>
      </text>
    </comment>
    <comment ref="D379" authorId="0" shapeId="0" xr:uid="{B6B9DDAD-FE12-4541-9EF4-C08FA6DFD349}">
      <text>
        <r>
          <rPr>
            <b/>
            <sz val="9"/>
            <color rgb="FF000000"/>
            <rFont val="Tahoma"/>
            <family val="2"/>
          </rPr>
          <t>YULIED.PENARANDA:</t>
        </r>
        <r>
          <rPr>
            <sz val="9"/>
            <color rgb="FF000000"/>
            <rFont val="Tahoma"/>
            <family val="2"/>
          </rPr>
          <t xml:space="preserve">
</t>
        </r>
        <r>
          <rPr>
            <sz val="9"/>
            <color rgb="FF000000"/>
            <rFont val="Tahoma"/>
            <family val="2"/>
          </rPr>
          <t xml:space="preserve">Nombre completo del indicador. Expresión verbal, precisa y concreta del patrón de evaluación. </t>
        </r>
      </text>
    </comment>
    <comment ref="G379" authorId="0" shapeId="0" xr:uid="{025A483D-3420-8B4C-AA23-542E07861BCF}">
      <text>
        <r>
          <rPr>
            <b/>
            <sz val="9"/>
            <color rgb="FF000000"/>
            <rFont val="Tahoma"/>
            <family val="2"/>
          </rPr>
          <t>YULIED.PENARANDA:</t>
        </r>
        <r>
          <rPr>
            <sz val="9"/>
            <color rgb="FF000000"/>
            <rFont val="Tahoma"/>
            <family val="2"/>
          </rPr>
          <t xml:space="preserve">
</t>
        </r>
        <r>
          <rPr>
            <sz val="9"/>
            <color rgb="FF000000"/>
            <rFont val="Tahoma"/>
            <family val="2"/>
          </rPr>
          <t>Descripción concreta del avance, máximo de caracteres 200</t>
        </r>
      </text>
    </comment>
    <comment ref="A423" authorId="0" shapeId="0" xr:uid="{753C4F32-CCBE-204A-ACC8-4F35BE3EA2ED}">
      <text>
        <r>
          <rPr>
            <b/>
            <sz val="9"/>
            <color rgb="FF000000"/>
            <rFont val="Tahoma"/>
            <family val="2"/>
          </rPr>
          <t xml:space="preserve">YULIED.PENARANDA
</t>
        </r>
        <r>
          <rPr>
            <b/>
            <sz val="9"/>
            <color rgb="FF000000"/>
            <rFont val="Tahoma"/>
            <family val="2"/>
          </rPr>
          <t xml:space="preserve">Distribuir las obligaciones del proyecto entre las diferentes actividades que hacen parte de un producto y un objetivo específico.
</t>
        </r>
        <r>
          <rPr>
            <b/>
            <sz val="9"/>
            <color rgb="FF000000"/>
            <rFont val="Tahoma"/>
            <family val="2"/>
          </rPr>
          <t xml:space="preserve">
</t>
        </r>
        <r>
          <rPr>
            <b/>
            <sz val="9"/>
            <color rgb="FF000000"/>
            <rFont val="Tahoma"/>
            <family val="2"/>
          </rPr>
          <t>NOTA: Desagregar cuadro cuantas veces tenga productos asociados</t>
        </r>
      </text>
    </comment>
    <comment ref="A424" authorId="0" shapeId="0" xr:uid="{E9232A28-DEBE-E040-B94E-DAD1CB35AFD0}">
      <text>
        <r>
          <rPr>
            <b/>
            <sz val="9"/>
            <color rgb="FF000000"/>
            <rFont val="Tahoma"/>
            <family val="2"/>
          </rPr>
          <t>YULIED.PENARANDA:</t>
        </r>
        <r>
          <rPr>
            <sz val="9"/>
            <color rgb="FF000000"/>
            <rFont val="Tahoma"/>
            <family val="2"/>
          </rPr>
          <t xml:space="preserve">
</t>
        </r>
        <r>
          <rPr>
            <sz val="9"/>
            <color rgb="FF000000"/>
            <rFont val="Tahoma"/>
            <family val="2"/>
          </rPr>
          <t>Vigencia a reportar</t>
        </r>
      </text>
    </comment>
    <comment ref="B424" authorId="0" shapeId="0" xr:uid="{3F201398-E5A7-0A45-99DA-8E89C995A74F}">
      <text>
        <r>
          <rPr>
            <b/>
            <sz val="9"/>
            <color rgb="FF000000"/>
            <rFont val="Tahoma"/>
            <family val="2"/>
          </rPr>
          <t>YULIED.PENARANDA:</t>
        </r>
        <r>
          <rPr>
            <sz val="9"/>
            <color rgb="FF000000"/>
            <rFont val="Tahoma"/>
            <family val="2"/>
          </rPr>
          <t xml:space="preserve">
</t>
        </r>
        <r>
          <rPr>
            <sz val="9"/>
            <color rgb="FF000000"/>
            <rFont val="Tahoma"/>
            <family val="2"/>
          </rPr>
          <t>Describir los objetivo específico del proyecto, como se definió en la formulación del proyecto</t>
        </r>
      </text>
    </comment>
    <comment ref="C424" authorId="0" shapeId="0" xr:uid="{A6FAC7A3-1FA3-DF4F-964A-A9A05257659A}">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424" authorId="0" shapeId="0" xr:uid="{F949003C-B3E4-2E4F-BEA7-FE6DC775C6EC}">
      <text>
        <r>
          <rPr>
            <b/>
            <sz val="9"/>
            <color rgb="FF000000"/>
            <rFont val="Tahoma"/>
            <family val="2"/>
          </rPr>
          <t>YULIED.PENARANDA:</t>
        </r>
        <r>
          <rPr>
            <sz val="9"/>
            <color rgb="FF000000"/>
            <rFont val="Tahoma"/>
            <family val="2"/>
          </rPr>
          <t xml:space="preserve">
</t>
        </r>
        <r>
          <rPr>
            <sz val="9"/>
            <color rgb="FF000000"/>
            <rFont val="Tahoma"/>
            <family val="2"/>
          </rPr>
          <t xml:space="preserve">Nombre completo del indicador. Expresión verbal, precisa y concreta del patrón de evaluación. </t>
        </r>
      </text>
    </comment>
    <comment ref="G424" authorId="0" shapeId="0" xr:uid="{FBD7146A-156B-6E49-81E7-861E90153955}">
      <text>
        <r>
          <rPr>
            <b/>
            <sz val="9"/>
            <color rgb="FF000000"/>
            <rFont val="Tahoma"/>
            <family val="2"/>
          </rPr>
          <t>YULIED.PENARANDA:</t>
        </r>
        <r>
          <rPr>
            <sz val="9"/>
            <color rgb="FF000000"/>
            <rFont val="Tahoma"/>
            <family val="2"/>
          </rPr>
          <t xml:space="preserve">
</t>
        </r>
        <r>
          <rPr>
            <sz val="9"/>
            <color rgb="FF000000"/>
            <rFont val="Tahoma"/>
            <family val="2"/>
          </rPr>
          <t>Descripción concreta del avance, máximo de caracteres 200</t>
        </r>
      </text>
    </comment>
    <comment ref="A492" authorId="0" shapeId="0" xr:uid="{3BAF5FC3-A15A-F04D-B758-7308A11AC361}">
      <text>
        <r>
          <rPr>
            <b/>
            <sz val="9"/>
            <color rgb="FF000000"/>
            <rFont val="Tahoma"/>
            <family val="2"/>
          </rPr>
          <t xml:space="preserve">YULIED.PENARANDA
</t>
        </r>
        <r>
          <rPr>
            <b/>
            <sz val="9"/>
            <color rgb="FF000000"/>
            <rFont val="Tahoma"/>
            <family val="2"/>
          </rPr>
          <t xml:space="preserve">Distribuir las obligaciones del proyecto entre las diferentes actividades que hacen parte de un producto y un objetivo específico.
</t>
        </r>
        <r>
          <rPr>
            <b/>
            <sz val="9"/>
            <color rgb="FF000000"/>
            <rFont val="Tahoma"/>
            <family val="2"/>
          </rPr>
          <t xml:space="preserve">
</t>
        </r>
        <r>
          <rPr>
            <b/>
            <sz val="9"/>
            <color rgb="FF000000"/>
            <rFont val="Tahoma"/>
            <family val="2"/>
          </rPr>
          <t>NOTA: Desagregar cuadro cuantas veces tenga productos asociados</t>
        </r>
      </text>
    </comment>
    <comment ref="A493" authorId="0" shapeId="0" xr:uid="{13A86581-1B74-C64A-A13C-487207F6CC33}">
      <text>
        <r>
          <rPr>
            <b/>
            <sz val="9"/>
            <color indexed="81"/>
            <rFont val="Tahoma"/>
            <family val="2"/>
          </rPr>
          <t>YULIED.PENARANDA:</t>
        </r>
        <r>
          <rPr>
            <sz val="9"/>
            <color indexed="81"/>
            <rFont val="Tahoma"/>
            <family val="2"/>
          </rPr>
          <t xml:space="preserve">
Vigencia a reportar</t>
        </r>
      </text>
    </comment>
    <comment ref="B493" authorId="0" shapeId="0" xr:uid="{DE156642-BFEC-1146-918A-076FB0884A81}">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493" authorId="0" shapeId="0" xr:uid="{8E53976A-D142-8A43-8CB9-6A8F7CA8A7D6}">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493" authorId="0" shapeId="0" xr:uid="{43DA5B92-D82E-B744-AD86-6CFBE3BAB4A1}">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493" authorId="0" shapeId="0" xr:uid="{0290E0CC-1CF7-B640-97F6-F804FC71304E}">
      <text>
        <r>
          <rPr>
            <b/>
            <sz val="9"/>
            <color indexed="81"/>
            <rFont val="Tahoma"/>
            <family val="2"/>
          </rPr>
          <t>YULIED.PENARANDA:</t>
        </r>
        <r>
          <rPr>
            <sz val="9"/>
            <color indexed="81"/>
            <rFont val="Tahoma"/>
            <family val="2"/>
          </rPr>
          <t xml:space="preserve">
Descripción concreta del avance, máximo de caracteres 200</t>
        </r>
      </text>
    </comment>
    <comment ref="A507" authorId="0" shapeId="0" xr:uid="{7D2D23E0-43A7-E24C-88D1-3520025E2732}">
      <text>
        <r>
          <rPr>
            <b/>
            <sz val="9"/>
            <color rgb="FF000000"/>
            <rFont val="Tahoma"/>
            <family val="2"/>
          </rPr>
          <t xml:space="preserve">YULIED.PENARANDA
</t>
        </r>
        <r>
          <rPr>
            <b/>
            <sz val="9"/>
            <color rgb="FF000000"/>
            <rFont val="Tahoma"/>
            <family val="2"/>
          </rPr>
          <t xml:space="preserve">Distribuir las obligaciones del proyecto entre las diferentes actividades que hacen parte de un producto y un objetivo específico.
</t>
        </r>
        <r>
          <rPr>
            <b/>
            <sz val="9"/>
            <color rgb="FF000000"/>
            <rFont val="Tahoma"/>
            <family val="2"/>
          </rPr>
          <t xml:space="preserve">
</t>
        </r>
        <r>
          <rPr>
            <b/>
            <sz val="9"/>
            <color rgb="FF000000"/>
            <rFont val="Tahoma"/>
            <family val="2"/>
          </rPr>
          <t>NOTA: Desagregar cuadro cuantas veces tenga productos asociados</t>
        </r>
      </text>
    </comment>
    <comment ref="A508" authorId="0" shapeId="0" xr:uid="{628ADF29-0945-3342-9A57-5D09AAC3A4AD}">
      <text>
        <r>
          <rPr>
            <b/>
            <sz val="9"/>
            <color indexed="81"/>
            <rFont val="Tahoma"/>
            <family val="2"/>
          </rPr>
          <t>YULIED.PENARANDA:</t>
        </r>
        <r>
          <rPr>
            <sz val="9"/>
            <color indexed="81"/>
            <rFont val="Tahoma"/>
            <family val="2"/>
          </rPr>
          <t xml:space="preserve">
Vigencia a reportar</t>
        </r>
      </text>
    </comment>
    <comment ref="B508" authorId="0" shapeId="0" xr:uid="{AE740850-5BA9-4344-B908-35CA3681F66B}">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508" authorId="0" shapeId="0" xr:uid="{6C1DB3EB-070C-6A4F-8657-9A5A32B9111B}">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508" authorId="0" shapeId="0" xr:uid="{304D75C7-D947-B74B-9CC5-84709598C137}">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508" authorId="0" shapeId="0" xr:uid="{6A8C10AD-9BBB-4941-8E45-2196C35AA18B}">
      <text>
        <r>
          <rPr>
            <b/>
            <sz val="9"/>
            <color indexed="81"/>
            <rFont val="Tahoma"/>
            <family val="2"/>
          </rPr>
          <t>YULIED.PENARANDA:</t>
        </r>
        <r>
          <rPr>
            <sz val="9"/>
            <color indexed="81"/>
            <rFont val="Tahoma"/>
            <family val="2"/>
          </rPr>
          <t xml:space="preserve">
Descripción concreta del avance, máximo de caracteres 200</t>
        </r>
      </text>
    </comment>
    <comment ref="A522" authorId="0" shapeId="0" xr:uid="{2F696D8A-A50C-0D42-82D7-A49B6A486756}">
      <text>
        <r>
          <rPr>
            <b/>
            <sz val="9"/>
            <color rgb="FF000000"/>
            <rFont val="Tahoma"/>
            <family val="2"/>
          </rPr>
          <t xml:space="preserve">YULIED.PENARANDA
</t>
        </r>
        <r>
          <rPr>
            <b/>
            <sz val="9"/>
            <color rgb="FF000000"/>
            <rFont val="Tahoma"/>
            <family val="2"/>
          </rPr>
          <t xml:space="preserve">Distribuir las obligaciones del proyecto entre las diferentes actividades que hacen parte de un producto y un objetivo específico.
</t>
        </r>
        <r>
          <rPr>
            <b/>
            <sz val="9"/>
            <color rgb="FF000000"/>
            <rFont val="Tahoma"/>
            <family val="2"/>
          </rPr>
          <t xml:space="preserve">
</t>
        </r>
        <r>
          <rPr>
            <b/>
            <sz val="9"/>
            <color rgb="FF000000"/>
            <rFont val="Tahoma"/>
            <family val="2"/>
          </rPr>
          <t>NOTA: Desagregar cuadro cuantas veces tenga productos asociados</t>
        </r>
      </text>
    </comment>
    <comment ref="A523" authorId="0" shapeId="0" xr:uid="{B1E33668-8627-AE47-9E82-A5B37183FC66}">
      <text>
        <r>
          <rPr>
            <b/>
            <sz val="9"/>
            <color rgb="FF000000"/>
            <rFont val="Tahoma"/>
            <family val="2"/>
          </rPr>
          <t>YULIED.PENARANDA:</t>
        </r>
        <r>
          <rPr>
            <sz val="9"/>
            <color rgb="FF000000"/>
            <rFont val="Tahoma"/>
            <family val="2"/>
          </rPr>
          <t xml:space="preserve">
</t>
        </r>
        <r>
          <rPr>
            <sz val="9"/>
            <color rgb="FF000000"/>
            <rFont val="Tahoma"/>
            <family val="2"/>
          </rPr>
          <t>Vigencia a reportar</t>
        </r>
      </text>
    </comment>
    <comment ref="B523" authorId="0" shapeId="0" xr:uid="{66C5437E-2744-E94B-B21C-16D331F9F176}">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523" authorId="0" shapeId="0" xr:uid="{36C11DE9-1FE1-054B-B562-84F55ADC1EC3}">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523" authorId="0" shapeId="0" xr:uid="{0FB844C1-81FB-5541-8C04-B9700FC9BDAB}">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523" authorId="0" shapeId="0" xr:uid="{1EECFA1D-2BD1-D247-908E-943D654FD56F}">
      <text>
        <r>
          <rPr>
            <b/>
            <sz val="9"/>
            <color indexed="81"/>
            <rFont val="Tahoma"/>
            <family val="2"/>
          </rPr>
          <t>YULIED.PENARANDA:</t>
        </r>
        <r>
          <rPr>
            <sz val="9"/>
            <color indexed="81"/>
            <rFont val="Tahoma"/>
            <family val="2"/>
          </rPr>
          <t xml:space="preserve">
Descripción concreta del avance, máximo de caracteres 200</t>
        </r>
      </text>
    </comment>
    <comment ref="A537" authorId="0" shapeId="0" xr:uid="{94F7B4A9-F05C-B449-83C7-44BCB6A1F147}">
      <text>
        <r>
          <rPr>
            <b/>
            <sz val="9"/>
            <color rgb="FF000000"/>
            <rFont val="Tahoma"/>
            <family val="2"/>
          </rPr>
          <t>YULIED.PENARANDA:</t>
        </r>
        <r>
          <rPr>
            <sz val="9"/>
            <color rgb="FF000000"/>
            <rFont val="Tahoma"/>
            <family val="2"/>
          </rPr>
          <t xml:space="preserve">
</t>
        </r>
        <r>
          <rPr>
            <sz val="9"/>
            <color rgb="FF000000"/>
            <rFont val="Tahoma"/>
            <family val="2"/>
          </rPr>
          <t xml:space="preserve">Avance indicadores de gestión
</t>
        </r>
        <r>
          <rPr>
            <sz val="9"/>
            <color rgb="FF000000"/>
            <rFont val="Tahoma"/>
            <family val="2"/>
          </rPr>
          <t xml:space="preserve">
</t>
        </r>
        <r>
          <rPr>
            <sz val="9"/>
            <color rgb="FF000000"/>
            <rFont val="Tahoma"/>
            <family val="2"/>
          </rPr>
          <t>NOTA: Desagregar cuadro cuantas veces tenga indicadores asociados</t>
        </r>
      </text>
    </comment>
    <comment ref="A538" authorId="0" shapeId="0" xr:uid="{149291DB-C2A3-7947-A905-204A82738F0B}">
      <text>
        <r>
          <rPr>
            <b/>
            <sz val="9"/>
            <color rgb="FF000000"/>
            <rFont val="Tahoma"/>
            <family val="2"/>
          </rPr>
          <t>YULIED.PENARANDA:</t>
        </r>
        <r>
          <rPr>
            <sz val="9"/>
            <color rgb="FF000000"/>
            <rFont val="Tahoma"/>
            <family val="2"/>
          </rPr>
          <t xml:space="preserve">
</t>
        </r>
        <r>
          <rPr>
            <sz val="9"/>
            <color rgb="FF000000"/>
            <rFont val="Tahoma"/>
            <family val="2"/>
          </rPr>
          <t>Vigencia a reportar</t>
        </r>
      </text>
    </comment>
    <comment ref="B538" authorId="0" shapeId="0" xr:uid="{7F2A9F3A-0D4A-D245-AD2B-D67EBF121571}">
      <text>
        <r>
          <rPr>
            <b/>
            <sz val="9"/>
            <color rgb="FF000000"/>
            <rFont val="Tahoma"/>
            <family val="2"/>
          </rPr>
          <t>YULIED.PENARANDA:</t>
        </r>
        <r>
          <rPr>
            <sz val="9"/>
            <color rgb="FF000000"/>
            <rFont val="Tahoma"/>
            <family val="2"/>
          </rPr>
          <t xml:space="preserve">
</t>
        </r>
        <r>
          <rPr>
            <sz val="9"/>
            <color rgb="FF000000"/>
            <rFont val="Tahoma"/>
            <family val="2"/>
          </rPr>
          <t xml:space="preserve">Nombre completo del indicador. Expresión verbal, precisa y concreta del patrón de evaluación. </t>
        </r>
      </text>
    </comment>
    <comment ref="C538" authorId="0" shapeId="0" xr:uid="{820DB965-000E-0649-A471-ADCDF34DC545}">
      <text>
        <r>
          <rPr>
            <b/>
            <sz val="9"/>
            <color rgb="FF000000"/>
            <rFont val="Tahoma"/>
            <family val="2"/>
          </rPr>
          <t>YULIED.PENARANDA:</t>
        </r>
        <r>
          <rPr>
            <sz val="9"/>
            <color rgb="FF000000"/>
            <rFont val="Tahoma"/>
            <family val="2"/>
          </rPr>
          <t xml:space="preserve">
</t>
        </r>
        <r>
          <rPr>
            <sz val="9"/>
            <color rgb="FF000000"/>
            <rFont val="Tahoma"/>
            <family val="2"/>
          </rPr>
          <t xml:space="preserve">Unidad del indicador, define las características de la magnitud a realizar seguimiento. Eje: Hectáreas, estrategias, modelos, número etc. </t>
        </r>
      </text>
    </comment>
    <comment ref="D538" authorId="0" shapeId="0" xr:uid="{DF3F2206-B87D-084C-8254-74CBA7E6150E}">
      <text>
        <r>
          <rPr>
            <b/>
            <sz val="9"/>
            <color rgb="FF000000"/>
            <rFont val="Tahoma"/>
            <family val="2"/>
          </rPr>
          <t>YULIED.PENARANDA:</t>
        </r>
        <r>
          <rPr>
            <sz val="9"/>
            <color rgb="FF000000"/>
            <rFont val="Tahoma"/>
            <family val="2"/>
          </rPr>
          <t xml:space="preserve">
</t>
        </r>
        <r>
          <rPr>
            <sz val="9"/>
            <color rgb="FF000000"/>
            <rFont val="Tahoma"/>
            <family val="2"/>
          </rPr>
          <t>Peso porcentual de acuerdo con la distribución de los indicadores de gestión.</t>
        </r>
      </text>
    </comment>
    <comment ref="H538" authorId="0" shapeId="0" xr:uid="{A9469CF9-0BCC-084E-9202-545BD7B218AD}">
      <text>
        <r>
          <rPr>
            <b/>
            <sz val="9"/>
            <color rgb="FF000000"/>
            <rFont val="Tahoma"/>
            <family val="2"/>
          </rPr>
          <t>YULIED.PENARANDA:</t>
        </r>
        <r>
          <rPr>
            <sz val="9"/>
            <color rgb="FF000000"/>
            <rFont val="Tahoma"/>
            <family val="2"/>
          </rPr>
          <t xml:space="preserve">
</t>
        </r>
        <r>
          <rPr>
            <sz val="9"/>
            <color rgb="FF000000"/>
            <rFont val="Tahoma"/>
            <family val="2"/>
          </rPr>
          <t>Descripción concreta del avance, máximo de caracteres 200</t>
        </r>
      </text>
    </comment>
    <comment ref="A582" authorId="0" shapeId="0" xr:uid="{11EEF6D6-8CFB-9449-8ECC-C6BB3FD4BE08}">
      <text>
        <r>
          <rPr>
            <b/>
            <sz val="9"/>
            <color rgb="FF000000"/>
            <rFont val="Tahoma"/>
            <family val="2"/>
          </rPr>
          <t>YULIED.PENARANDA:</t>
        </r>
        <r>
          <rPr>
            <sz val="9"/>
            <color rgb="FF000000"/>
            <rFont val="Tahoma"/>
            <family val="2"/>
          </rPr>
          <t xml:space="preserve">
</t>
        </r>
        <r>
          <rPr>
            <sz val="9"/>
            <color rgb="FF000000"/>
            <rFont val="Tahoma"/>
            <family val="2"/>
          </rPr>
          <t xml:space="preserve">Avance indicadores de gestión
</t>
        </r>
        <r>
          <rPr>
            <sz val="9"/>
            <color rgb="FF000000"/>
            <rFont val="Tahoma"/>
            <family val="2"/>
          </rPr>
          <t xml:space="preserve">
</t>
        </r>
        <r>
          <rPr>
            <sz val="9"/>
            <color rgb="FF000000"/>
            <rFont val="Tahoma"/>
            <family val="2"/>
          </rPr>
          <t>NOTA: Desagregar cuadro cuantas veces tenga indicadores asociados</t>
        </r>
      </text>
    </comment>
    <comment ref="A583" authorId="0" shapeId="0" xr:uid="{5669212B-58C7-CE47-B494-52ECB7F93A58}">
      <text>
        <r>
          <rPr>
            <b/>
            <sz val="9"/>
            <color indexed="81"/>
            <rFont val="Tahoma"/>
            <family val="2"/>
          </rPr>
          <t>YULIED.PENARANDA:</t>
        </r>
        <r>
          <rPr>
            <sz val="9"/>
            <color indexed="81"/>
            <rFont val="Tahoma"/>
            <family val="2"/>
          </rPr>
          <t xml:space="preserve">
Vigencia a reportar</t>
        </r>
      </text>
    </comment>
    <comment ref="B583" authorId="0" shapeId="0" xr:uid="{AFBD27FE-15CF-7D46-BA82-54DE71845263}">
      <text>
        <r>
          <rPr>
            <b/>
            <sz val="9"/>
            <color rgb="FF000000"/>
            <rFont val="Tahoma"/>
            <family val="2"/>
          </rPr>
          <t>YULIED.PENARANDA:</t>
        </r>
        <r>
          <rPr>
            <sz val="9"/>
            <color rgb="FF000000"/>
            <rFont val="Tahoma"/>
            <family val="2"/>
          </rPr>
          <t xml:space="preserve">
</t>
        </r>
        <r>
          <rPr>
            <sz val="9"/>
            <color rgb="FF000000"/>
            <rFont val="Tahoma"/>
            <family val="2"/>
          </rPr>
          <t xml:space="preserve">Nombre completo del indicador. Expresión verbal, precisa y concreta del patrón de evaluación. </t>
        </r>
      </text>
    </comment>
    <comment ref="C583" authorId="0" shapeId="0" xr:uid="{C5EF2A53-C182-1E49-A68A-5236CDF59D60}">
      <text>
        <r>
          <rPr>
            <b/>
            <sz val="9"/>
            <color rgb="FF000000"/>
            <rFont val="Tahoma"/>
            <family val="2"/>
          </rPr>
          <t>YULIED.PENARANDA:</t>
        </r>
        <r>
          <rPr>
            <sz val="9"/>
            <color rgb="FF000000"/>
            <rFont val="Tahoma"/>
            <family val="2"/>
          </rPr>
          <t xml:space="preserve">
</t>
        </r>
        <r>
          <rPr>
            <sz val="9"/>
            <color rgb="FF000000"/>
            <rFont val="Tahoma"/>
            <family val="2"/>
          </rPr>
          <t xml:space="preserve">Unidad del indicador, define las características de la magnitud a realizar seguimiento. Eje: Hectáreas, estrategias, modelos, número etc. </t>
        </r>
      </text>
    </comment>
    <comment ref="D583" authorId="0" shapeId="0" xr:uid="{724FDEE0-A732-E147-996B-FE94884B0BF7}">
      <text>
        <r>
          <rPr>
            <b/>
            <sz val="9"/>
            <color indexed="81"/>
            <rFont val="Tahoma"/>
            <family val="2"/>
          </rPr>
          <t>YULIED.PENARANDA:</t>
        </r>
        <r>
          <rPr>
            <sz val="9"/>
            <color indexed="81"/>
            <rFont val="Tahoma"/>
            <family val="2"/>
          </rPr>
          <t xml:space="preserve">
Peso porcentual de acuerdo con la distribución de los indicadores de gestión.</t>
        </r>
      </text>
    </comment>
    <comment ref="H583" authorId="0" shapeId="0" xr:uid="{A4EFA5AB-85FB-DE4A-AE3B-74BC263C85AD}">
      <text>
        <r>
          <rPr>
            <b/>
            <sz val="9"/>
            <color rgb="FF000000"/>
            <rFont val="Tahoma"/>
            <family val="2"/>
          </rPr>
          <t>YULIED.PENARANDA:</t>
        </r>
        <r>
          <rPr>
            <sz val="9"/>
            <color rgb="FF000000"/>
            <rFont val="Tahoma"/>
            <family val="2"/>
          </rPr>
          <t xml:space="preserve">
</t>
        </r>
        <r>
          <rPr>
            <sz val="9"/>
            <color rgb="FF000000"/>
            <rFont val="Tahoma"/>
            <family val="2"/>
          </rPr>
          <t>Descripción concreta del avance, máximo de caracteres 200</t>
        </r>
      </text>
    </comment>
    <comment ref="A651" authorId="0" shapeId="0" xr:uid="{800C5408-9A53-C64B-B418-B016D932F2C4}">
      <text>
        <r>
          <rPr>
            <b/>
            <sz val="9"/>
            <color rgb="FF000000"/>
            <rFont val="Tahoma"/>
            <family val="2"/>
          </rPr>
          <t>YULIED.PENARANDA:</t>
        </r>
        <r>
          <rPr>
            <sz val="9"/>
            <color rgb="FF000000"/>
            <rFont val="Tahoma"/>
            <family val="2"/>
          </rPr>
          <t xml:space="preserve">
</t>
        </r>
        <r>
          <rPr>
            <sz val="9"/>
            <color rgb="FF000000"/>
            <rFont val="Tahoma"/>
            <family val="2"/>
          </rPr>
          <t xml:space="preserve">Avance indicadores de gestión.
</t>
        </r>
        <r>
          <rPr>
            <sz val="9"/>
            <color rgb="FF000000"/>
            <rFont val="Tahoma"/>
            <family val="2"/>
          </rPr>
          <t xml:space="preserve">
</t>
        </r>
        <r>
          <rPr>
            <sz val="9"/>
            <color rgb="FF000000"/>
            <rFont val="Tahoma"/>
            <family val="2"/>
          </rPr>
          <t>NOTA: Desagregar cuadro cuantas veces tenga indicadores asociados</t>
        </r>
      </text>
    </comment>
    <comment ref="A652" authorId="0" shapeId="0" xr:uid="{38FC1FBC-BA01-704F-8BB3-94CDA5422134}">
      <text>
        <r>
          <rPr>
            <b/>
            <sz val="9"/>
            <color indexed="81"/>
            <rFont val="Tahoma"/>
            <family val="2"/>
          </rPr>
          <t>YULIED.PENARANDA:</t>
        </r>
        <r>
          <rPr>
            <sz val="9"/>
            <color indexed="81"/>
            <rFont val="Tahoma"/>
            <family val="2"/>
          </rPr>
          <t xml:space="preserve">
Vigencia a reportar</t>
        </r>
      </text>
    </comment>
    <comment ref="B652" authorId="0" shapeId="0" xr:uid="{572EF047-C81B-084B-B2BE-29CE2FBD6118}">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652" authorId="0" shapeId="0" xr:uid="{A6AF0EFC-C89D-9D4B-9820-74C7F2EB2E89}">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652" authorId="0" shapeId="0" xr:uid="{A7D5EB88-C1D5-BA40-A046-C70E39569ED7}">
      <text>
        <r>
          <rPr>
            <b/>
            <sz val="9"/>
            <color rgb="FF000000"/>
            <rFont val="Tahoma"/>
            <family val="2"/>
          </rPr>
          <t>YULIED.PENARANDA:</t>
        </r>
        <r>
          <rPr>
            <sz val="9"/>
            <color rgb="FF000000"/>
            <rFont val="Tahoma"/>
            <family val="2"/>
          </rPr>
          <t xml:space="preserve">
</t>
        </r>
        <r>
          <rPr>
            <sz val="9"/>
            <color rgb="FF000000"/>
            <rFont val="Tahoma"/>
            <family val="2"/>
          </rPr>
          <t>Peso porcentual de acuerdo con la distribución de los indicadores de gestión.</t>
        </r>
      </text>
    </comment>
    <comment ref="H652" authorId="0" shapeId="0" xr:uid="{D4658685-BBA8-9849-A345-90C473B19726}">
      <text>
        <r>
          <rPr>
            <b/>
            <sz val="9"/>
            <color indexed="81"/>
            <rFont val="Tahoma"/>
            <family val="2"/>
          </rPr>
          <t>YULIED.PENARANDA:</t>
        </r>
        <r>
          <rPr>
            <sz val="9"/>
            <color indexed="81"/>
            <rFont val="Tahoma"/>
            <family val="2"/>
          </rPr>
          <t xml:space="preserve">
Descripción concreta del avance, máximo de caracteres 200</t>
        </r>
      </text>
    </comment>
    <comment ref="A666" authorId="0" shapeId="0" xr:uid="{0009BC1A-C8C9-CC45-A8FD-F757DAB5BA9B}">
      <text>
        <r>
          <rPr>
            <b/>
            <sz val="9"/>
            <color rgb="FF000000"/>
            <rFont val="Tahoma"/>
            <family val="2"/>
          </rPr>
          <t>YULIED.PENARANDA:</t>
        </r>
        <r>
          <rPr>
            <sz val="9"/>
            <color rgb="FF000000"/>
            <rFont val="Tahoma"/>
            <family val="2"/>
          </rPr>
          <t xml:space="preserve">
</t>
        </r>
        <r>
          <rPr>
            <sz val="9"/>
            <color rgb="FF000000"/>
            <rFont val="Tahoma"/>
            <family val="2"/>
          </rPr>
          <t xml:space="preserve">Avance indicadores de gestión.
</t>
        </r>
        <r>
          <rPr>
            <sz val="9"/>
            <color rgb="FF000000"/>
            <rFont val="Tahoma"/>
            <family val="2"/>
          </rPr>
          <t xml:space="preserve">
</t>
        </r>
        <r>
          <rPr>
            <sz val="9"/>
            <color rgb="FF000000"/>
            <rFont val="Tahoma"/>
            <family val="2"/>
          </rPr>
          <t>NOTA: Desagregar cuadro cuantas veces tenga indicadores asociados</t>
        </r>
      </text>
    </comment>
    <comment ref="A667" authorId="0" shapeId="0" xr:uid="{B8BA5622-36BA-5148-9870-1AFB2B410FB7}">
      <text>
        <r>
          <rPr>
            <b/>
            <sz val="9"/>
            <color indexed="81"/>
            <rFont val="Tahoma"/>
            <family val="2"/>
          </rPr>
          <t>YULIED.PENARANDA:</t>
        </r>
        <r>
          <rPr>
            <sz val="9"/>
            <color indexed="81"/>
            <rFont val="Tahoma"/>
            <family val="2"/>
          </rPr>
          <t xml:space="preserve">
Vigencia a reportar</t>
        </r>
      </text>
    </comment>
    <comment ref="B667" authorId="0" shapeId="0" xr:uid="{F03BB66D-B08D-6347-A04A-86C92FBB5231}">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667" authorId="0" shapeId="0" xr:uid="{92CEB236-6A28-3647-9BA1-E225B5860873}">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667" authorId="0" shapeId="0" xr:uid="{65DB66AE-C93D-7F40-A536-03A8337E1D48}">
      <text>
        <r>
          <rPr>
            <b/>
            <sz val="9"/>
            <color rgb="FF000000"/>
            <rFont val="Tahoma"/>
            <family val="2"/>
          </rPr>
          <t>YULIED.PENARANDA:</t>
        </r>
        <r>
          <rPr>
            <sz val="9"/>
            <color rgb="FF000000"/>
            <rFont val="Tahoma"/>
            <family val="2"/>
          </rPr>
          <t xml:space="preserve">
</t>
        </r>
        <r>
          <rPr>
            <sz val="9"/>
            <color rgb="FF000000"/>
            <rFont val="Tahoma"/>
            <family val="2"/>
          </rPr>
          <t>Peso porcentual de acuerdo con la distribución de los indicadores de gestión.</t>
        </r>
      </text>
    </comment>
    <comment ref="H667" authorId="0" shapeId="0" xr:uid="{7195832E-23E6-D248-B794-16FCB069C275}">
      <text>
        <r>
          <rPr>
            <b/>
            <sz val="9"/>
            <color indexed="81"/>
            <rFont val="Tahoma"/>
            <family val="2"/>
          </rPr>
          <t>YULIED.PENARANDA:</t>
        </r>
        <r>
          <rPr>
            <sz val="9"/>
            <color indexed="81"/>
            <rFont val="Tahoma"/>
            <family val="2"/>
          </rPr>
          <t xml:space="preserve">
Descripción concreta del avance, máximo de caracteres 200</t>
        </r>
      </text>
    </comment>
    <comment ref="A681" authorId="0" shapeId="0" xr:uid="{917FF16F-B217-4548-AF78-4006179541B4}">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682" authorId="0" shapeId="0" xr:uid="{A54C8094-D68B-1C44-8851-C7B2E74ED6FB}">
      <text>
        <r>
          <rPr>
            <b/>
            <sz val="9"/>
            <color indexed="81"/>
            <rFont val="Tahoma"/>
            <family val="2"/>
          </rPr>
          <t>YULIED.PENARANDA:</t>
        </r>
        <r>
          <rPr>
            <sz val="9"/>
            <color indexed="81"/>
            <rFont val="Tahoma"/>
            <family val="2"/>
          </rPr>
          <t xml:space="preserve">
Vigencia a reportar</t>
        </r>
      </text>
    </comment>
    <comment ref="B682" authorId="0" shapeId="0" xr:uid="{799B98CD-4BE1-D346-B62F-E9BD741A8BB6}">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682" authorId="0" shapeId="0" xr:uid="{EB478A4B-A322-3E42-9B92-4004994BE7D8}">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682" authorId="0" shapeId="0" xr:uid="{D439BE87-AEA9-2640-9AB8-8C9BAAB38FCC}">
      <text>
        <r>
          <rPr>
            <b/>
            <sz val="9"/>
            <color indexed="81"/>
            <rFont val="Tahoma"/>
            <family val="2"/>
          </rPr>
          <t>YULIED.PENARANDA:</t>
        </r>
        <r>
          <rPr>
            <sz val="9"/>
            <color indexed="81"/>
            <rFont val="Tahoma"/>
            <family val="2"/>
          </rPr>
          <t xml:space="preserve">
Peso porcentual de acuerdo con la distribución de los indicadores de gestión.</t>
        </r>
      </text>
    </comment>
    <comment ref="H682" authorId="0" shapeId="0" xr:uid="{98CA2C0F-407C-F042-8AF8-307950A210C5}">
      <text>
        <r>
          <rPr>
            <b/>
            <sz val="9"/>
            <color indexed="81"/>
            <rFont val="Tahoma"/>
            <family val="2"/>
          </rPr>
          <t>YULIED.PENARANDA:</t>
        </r>
        <r>
          <rPr>
            <sz val="9"/>
            <color indexed="81"/>
            <rFont val="Tahoma"/>
            <family val="2"/>
          </rPr>
          <t xml:space="preserve">
Descripción concreta del avance, máximo de caracteres 200</t>
        </r>
      </text>
    </comment>
  </commentList>
</comments>
</file>

<file path=xl/sharedStrings.xml><?xml version="1.0" encoding="utf-8"?>
<sst xmlns="http://schemas.openxmlformats.org/spreadsheetml/2006/main" count="2768" uniqueCount="604">
  <si>
    <t>DEPENDENCIA:</t>
  </si>
  <si>
    <t>Programa Plan de Desarrollo</t>
  </si>
  <si>
    <t>CÓDIGO Y NOMBRE PROYECTO:</t>
  </si>
  <si>
    <t>PRESUPUESTO VIGENCIA</t>
  </si>
  <si>
    <t>RESERVA PRESUPUESTAL</t>
  </si>
  <si>
    <t>TOTAL PROYECTO</t>
  </si>
  <si>
    <t>Ene</t>
  </si>
  <si>
    <t>Feb</t>
  </si>
  <si>
    <t>Mar</t>
  </si>
  <si>
    <t>Abr</t>
  </si>
  <si>
    <t>May</t>
  </si>
  <si>
    <t>Jun</t>
  </si>
  <si>
    <t>Jul</t>
  </si>
  <si>
    <t>Ago</t>
  </si>
  <si>
    <t>Sep</t>
  </si>
  <si>
    <t>Oct</t>
  </si>
  <si>
    <t>Nov</t>
  </si>
  <si>
    <t>Dic</t>
  </si>
  <si>
    <t>Total</t>
  </si>
  <si>
    <t>Programado</t>
  </si>
  <si>
    <t>Ejecutado</t>
  </si>
  <si>
    <t>PERIODO:</t>
  </si>
  <si>
    <t>TOTALES - PROYECTO</t>
  </si>
  <si>
    <t>1, LÍNEA DE ACCIÓN</t>
  </si>
  <si>
    <t>2, META DE PROYECTO</t>
  </si>
  <si>
    <t>4, SE EJECUTA CON RECURSOS DE:</t>
  </si>
  <si>
    <t>4,1 VIGENCIA</t>
  </si>
  <si>
    <t>4,2 RESERVA</t>
  </si>
  <si>
    <t>VARIABLES</t>
  </si>
  <si>
    <t xml:space="preserve">6,PONDERACIÓN VERTICAL </t>
  </si>
  <si>
    <t>6,1 META</t>
  </si>
  <si>
    <t>6,2 ACTIVIDAD</t>
  </si>
  <si>
    <t>TOTAL PRESUPUESTO</t>
  </si>
  <si>
    <t>TOTALES Rec. Reservas</t>
  </si>
  <si>
    <t>TOTALES Rec. Vigencia</t>
  </si>
  <si>
    <t>CONTROL DE CAMBIOS</t>
  </si>
  <si>
    <t>Versión</t>
  </si>
  <si>
    <t xml:space="preserve">Descripción de la Modificación </t>
  </si>
  <si>
    <t>No. Acto Administrativo y fecha</t>
  </si>
  <si>
    <t>DIRECCIONAMIENTO ESTRATÉGICO</t>
  </si>
  <si>
    <t>Codigo:PE01-PR02-F2</t>
  </si>
  <si>
    <t>MAGNITUD  FÍSICA</t>
  </si>
  <si>
    <t>MAGNITUD FÍSICA RESERVAS</t>
  </si>
  <si>
    <t>TOTAL MAGNITUD FÍSICA</t>
  </si>
  <si>
    <t>TOTAL PRESUPUESTO VIGENCIA  DEL PROYECTO</t>
  </si>
  <si>
    <t>TOTAL PRESUPUESTO DE LA META</t>
  </si>
  <si>
    <t>TOTAL RESERVA PRESUPUESTAL DEL PROYECTO</t>
  </si>
  <si>
    <t>TOTAL PROYECTO VIGENCIA + RESERVAS</t>
  </si>
  <si>
    <t>Código: PE01-PR02-F2</t>
  </si>
  <si>
    <t>AÑO 2020</t>
  </si>
  <si>
    <t>AÑO 2021</t>
  </si>
  <si>
    <r>
      <t xml:space="preserve">EJECUTADO </t>
    </r>
    <r>
      <rPr>
        <b/>
        <sz val="12"/>
        <rFont val="Arial"/>
        <family val="2"/>
      </rPr>
      <t>NOV.</t>
    </r>
  </si>
  <si>
    <r>
      <t xml:space="preserve">EJECUTADO </t>
    </r>
    <r>
      <rPr>
        <b/>
        <sz val="12"/>
        <rFont val="Arial"/>
        <family val="2"/>
      </rPr>
      <t>ENE.</t>
    </r>
  </si>
  <si>
    <r>
      <t xml:space="preserve">EJECUTADO </t>
    </r>
    <r>
      <rPr>
        <b/>
        <sz val="12"/>
        <rFont val="Arial"/>
        <family val="2"/>
      </rPr>
      <t>FEB.</t>
    </r>
  </si>
  <si>
    <r>
      <t xml:space="preserve">EJECUTADO </t>
    </r>
    <r>
      <rPr>
        <b/>
        <sz val="12"/>
        <rFont val="Arial"/>
        <family val="2"/>
      </rPr>
      <t>MAR.</t>
    </r>
  </si>
  <si>
    <r>
      <t xml:space="preserve">EJECUTADO </t>
    </r>
    <r>
      <rPr>
        <b/>
        <sz val="12"/>
        <rFont val="Arial"/>
        <family val="2"/>
      </rPr>
      <t>ABR.</t>
    </r>
  </si>
  <si>
    <t>Propósito Plan de Desarrollo</t>
  </si>
  <si>
    <r>
      <t xml:space="preserve">EJECUTADO  </t>
    </r>
    <r>
      <rPr>
        <b/>
        <sz val="12"/>
        <rFont val="Arial"/>
        <family val="2"/>
      </rPr>
      <t>MAY.</t>
    </r>
  </si>
  <si>
    <r>
      <t xml:space="preserve">EJECUTADO  </t>
    </r>
    <r>
      <rPr>
        <b/>
        <sz val="12"/>
        <rFont val="Arial"/>
        <family val="2"/>
      </rPr>
      <t>JUL.</t>
    </r>
  </si>
  <si>
    <r>
      <t xml:space="preserve">EJECUTADO  </t>
    </r>
    <r>
      <rPr>
        <b/>
        <sz val="12"/>
        <rFont val="Arial"/>
        <family val="2"/>
      </rPr>
      <t>AGO.</t>
    </r>
  </si>
  <si>
    <r>
      <t xml:space="preserve">EJECUTADO  </t>
    </r>
    <r>
      <rPr>
        <b/>
        <sz val="12"/>
        <rFont val="Arial"/>
        <family val="2"/>
      </rPr>
      <t>SEP</t>
    </r>
    <r>
      <rPr>
        <sz val="12"/>
        <rFont val="Arial"/>
        <family val="2"/>
      </rPr>
      <t>.</t>
    </r>
  </si>
  <si>
    <r>
      <t xml:space="preserve">EJECUTADO  </t>
    </r>
    <r>
      <rPr>
        <b/>
        <sz val="12"/>
        <rFont val="Arial"/>
        <family val="2"/>
      </rPr>
      <t>OCT</t>
    </r>
    <r>
      <rPr>
        <sz val="12"/>
        <rFont val="Arial"/>
        <family val="2"/>
      </rPr>
      <t>.</t>
    </r>
  </si>
  <si>
    <t>AÑO 2022</t>
  </si>
  <si>
    <t>AÑO 2023</t>
  </si>
  <si>
    <t>AÑO 2024</t>
  </si>
  <si>
    <t xml:space="preserve"> AÑO 2020</t>
  </si>
  <si>
    <t>Observaciones</t>
  </si>
  <si>
    <t>Observaciones y/o descripcion de acciones en el punto de inversión</t>
  </si>
  <si>
    <t>10. POBLACIÓN</t>
  </si>
  <si>
    <t>3, CÓDIGO Y NOMBRE DE LA ACTIVIDAD</t>
  </si>
  <si>
    <t>1. ESTRUCTURA DEL PLAN DE DESARROLLO</t>
  </si>
  <si>
    <t>1.1.1. Propósito</t>
  </si>
  <si>
    <t>1.1.2. Programa</t>
  </si>
  <si>
    <t>1.1.3. COD.</t>
  </si>
  <si>
    <t>1.1.4.  META PLAN DE DESARROLLO</t>
  </si>
  <si>
    <t>1.1.5. COD.</t>
  </si>
  <si>
    <t>1.1.6. INDICADOR</t>
  </si>
  <si>
    <t>1.1.7.UNIDAD DE MEDIDA</t>
  </si>
  <si>
    <t>1.1.8. TIPOLOGÍA</t>
  </si>
  <si>
    <t>1.1.9. MAGNITUD PD</t>
  </si>
  <si>
    <t>1.1. META PLAN DE DESARROLLO</t>
  </si>
  <si>
    <t>Se crea  hoja de SPI</t>
  </si>
  <si>
    <t>Radicado 2020IE191541 del 29 de octubre de 2020</t>
  </si>
  <si>
    <t>1,1 LÍNEA DE ACCIÓN</t>
  </si>
  <si>
    <t>1,2 COD.</t>
  </si>
  <si>
    <t>1,3 META</t>
  </si>
  <si>
    <t>1,4 TIPOLOGÍA</t>
  </si>
  <si>
    <t>1,5 COD. META PDD A QUE SE ASOCIA META PROY</t>
  </si>
  <si>
    <t>1,6, VARIABLE REQUERIDA</t>
  </si>
  <si>
    <t>1,7, VALOR   CUATRIENIO</t>
  </si>
  <si>
    <t>1,  INFORMACIÓN META DE PROYECTO</t>
  </si>
  <si>
    <t>Se crea hoja de SPI</t>
  </si>
  <si>
    <t>1 INFORMACIÓN META DE PROYECTO</t>
  </si>
  <si>
    <t>1,1 COD. META</t>
  </si>
  <si>
    <t>1,2, Meta Proyecto</t>
  </si>
  <si>
    <t>1,3. Identificación del punto de invesión</t>
  </si>
  <si>
    <t>1,4, Variable</t>
  </si>
  <si>
    <t>1.6.REPROGRAMACIÓN VIGENCIA</t>
  </si>
  <si>
    <t xml:space="preserve">2, ACTUALIZACIÓN </t>
  </si>
  <si>
    <t>3,EJECUTADO</t>
  </si>
  <si>
    <t>4, LOCALIZACIÓN GEOGRÁFICA</t>
  </si>
  <si>
    <t>4,1 LOCALIDAD(ES)</t>
  </si>
  <si>
    <t>4.2 UPZ(S)</t>
  </si>
  <si>
    <t>4,3 BARRIO(S)</t>
  </si>
  <si>
    <t>4,4 GEORREFERENCIACIÓN</t>
  </si>
  <si>
    <t>4,5 ÁREA DE INFLUENCIA E INCIDENCIA</t>
  </si>
  <si>
    <t>5, ORIENTACIÓN</t>
  </si>
  <si>
    <t>5,1 POLÍGONO DE MEJORAMIENTO INTEGRAL</t>
  </si>
  <si>
    <t>5,2 POLÍTICA</t>
  </si>
  <si>
    <t>6.1 POBLACIÓN RELACIONADA A LA LOCALIZACIÓN</t>
  </si>
  <si>
    <t>6.2 NÚMERO DE HOMBRES</t>
  </si>
  <si>
    <t>6.3 NÚMERO DE MUJERES</t>
  </si>
  <si>
    <t xml:space="preserve">6.4 NÚMERO INTERSEXUAL </t>
  </si>
  <si>
    <t>6.5  GRUPO ETARIO</t>
  </si>
  <si>
    <t>6.6  NÚMERO PERSONAS POR GRUPO ETARIO</t>
  </si>
  <si>
    <t>6.7  CONDICION POBLACIONAL</t>
  </si>
  <si>
    <t>6.8 NUMERO PERSONAS POR CONDICIÓN POBLACIONAL</t>
  </si>
  <si>
    <t>6.9  GRUPOS ETNICOS</t>
  </si>
  <si>
    <t>6.10 NÚMERO DE PERSONAS POR GRUPOS ETNICOS</t>
  </si>
  <si>
    <t>6.11  SEGUIMIENTO A LA POBLACIÓN
PERSONAS/CANTIDAD</t>
  </si>
  <si>
    <t>7, LECCIONES APRENDIDAS - OBSERVACIONES</t>
  </si>
  <si>
    <t>Formato: Programación, Atualización y Seguimiento  al Sistema de Información de Seguimiento a los Proyectos de Inversión Pública -SPI</t>
  </si>
  <si>
    <t>I PRESUPUESTAL VIGENCIA 2020</t>
  </si>
  <si>
    <t>FUENTE</t>
  </si>
  <si>
    <t>APROPIACION INICIAL</t>
  </si>
  <si>
    <t>APROPIACION VIGENTE</t>
  </si>
  <si>
    <t>COMPROMISOS</t>
  </si>
  <si>
    <t xml:space="preserve">OBLIGACIÓN </t>
  </si>
  <si>
    <t>PAGO</t>
  </si>
  <si>
    <t>%PAGO</t>
  </si>
  <si>
    <t>JULIO</t>
  </si>
  <si>
    <t>AGOSTO</t>
  </si>
  <si>
    <t>SEPTIEMBRE</t>
  </si>
  <si>
    <t>OCTUBRE</t>
  </si>
  <si>
    <t>NOVIEMBRE</t>
  </si>
  <si>
    <t>DICIEMBRE</t>
  </si>
  <si>
    <t>I PRESUPUESTAL VIGENCIA 2021</t>
  </si>
  <si>
    <t>ENERO</t>
  </si>
  <si>
    <t>FEBRERO</t>
  </si>
  <si>
    <t>MARZO</t>
  </si>
  <si>
    <t>ABRIL</t>
  </si>
  <si>
    <t>MAYO</t>
  </si>
  <si>
    <t>JUNIO</t>
  </si>
  <si>
    <t>I PRESUPUESTAL VIGENCIA 2022</t>
  </si>
  <si>
    <t>I PRESUPUESTAL VIGENCIA 2023</t>
  </si>
  <si>
    <t>I PRESUPUESTAL VIGENCIA 2024</t>
  </si>
  <si>
    <t>II PRODUCTO (FÍSICO) VIGENCIA 2020</t>
  </si>
  <si>
    <t xml:space="preserve">OBJETIVO ESPECÍFICO </t>
  </si>
  <si>
    <t>PRODUCTO MGA</t>
  </si>
  <si>
    <t>INDICADOR DE PRODUCTO</t>
  </si>
  <si>
    <t>UNIDAD DE MEDIDA</t>
  </si>
  <si>
    <t>% PESO 2020</t>
  </si>
  <si>
    <t>META TOTAL PROYECTO 2000-2024</t>
  </si>
  <si>
    <t>META VIGENCIA  2020</t>
  </si>
  <si>
    <t>META REZAGADA</t>
  </si>
  <si>
    <t>AVANCE REZAGADO</t>
  </si>
  <si>
    <t>%AVANCE RESERVA</t>
  </si>
  <si>
    <t>OBSERVACIÓN MENSUAL (200 Caracteres)</t>
  </si>
  <si>
    <t>% PESO 2021</t>
  </si>
  <si>
    <t>META VIGENCIA  2021</t>
  </si>
  <si>
    <t>II PRODUCTO (FÍSICO) VIGENCIA 2022</t>
  </si>
  <si>
    <t>% PESO 2022</t>
  </si>
  <si>
    <t>META VIGENCIA  2022</t>
  </si>
  <si>
    <t>II PRODUCTO (FÍSICO) VIGENCIA 2023</t>
  </si>
  <si>
    <t>% PESO 2023</t>
  </si>
  <si>
    <t>META VIGENCIA  2023</t>
  </si>
  <si>
    <t>II PRODUCTO (FÍSICO) VIGENCIA 2024</t>
  </si>
  <si>
    <t>% PESO 2024</t>
  </si>
  <si>
    <t>META VIGENCIA  2024</t>
  </si>
  <si>
    <t>III ACTIVIDADES SUIFT (PRESUPUESTO) VIGENCIA 2020</t>
  </si>
  <si>
    <t>ACTIVIDAD (SUIFT) META (SEGPLAN)</t>
  </si>
  <si>
    <t>PRESUPUESTO VIGENCIA SUIFP 2020</t>
  </si>
  <si>
    <t>PRESUPUESTO
OBLIGADO (GIRADO) 2020</t>
  </si>
  <si>
    <t>Observación mensual (200 Caracteres)</t>
  </si>
  <si>
    <t>III ACTIVIDADES SUIFT (PRESUPUESTO) VIGENCIA 2021</t>
  </si>
  <si>
    <t>PRESUPUESTO VIGENCIA SUIFP 2021</t>
  </si>
  <si>
    <t>PRESUPUESTO
OBLIGADO (GIRADO) 2021</t>
  </si>
  <si>
    <t>III ACTIVIDADES SUIFT (PRESUPUESTO) VIGENCIA 2023</t>
  </si>
  <si>
    <t>PRESUPUESTO VIGENCIA SUIFP 2023</t>
  </si>
  <si>
    <t>PRESUPUESTO
OBLIGADO (GIRADO) 2023</t>
  </si>
  <si>
    <t>III ACTIVIDADES SUIFT (PRESUPUESTO) VIGENCIA 2024</t>
  </si>
  <si>
    <t>PRESUPUESTO VIGENCIA SUIFP 2024</t>
  </si>
  <si>
    <t>PRESUPUESTO
OBLIGADO (GIRADO) 2024</t>
  </si>
  <si>
    <t>IV GESTIÓN  (FÍSICO) VIGENCIA 2020</t>
  </si>
  <si>
    <t>DESCRIPCIÓN DEL INDICADORES DE GESTIÓN</t>
  </si>
  <si>
    <t>META VIGENCIA 2020</t>
  </si>
  <si>
    <t>AVANCE META VIGENCIA 2020</t>
  </si>
  <si>
    <t>% AVANCE META VIGENCIA 2020</t>
  </si>
  <si>
    <t>IV GESTIÓN  (FÍSICO) VIGENCIA 2022</t>
  </si>
  <si>
    <t>META VIGENCIA 2022</t>
  </si>
  <si>
    <t>AVANCE META VIGENCIA 2022</t>
  </si>
  <si>
    <t>% AVANCE META VIGENCIA 2022</t>
  </si>
  <si>
    <t>IV GESTIÓN  (FÍSICO) VIGENCIA 2023</t>
  </si>
  <si>
    <t>META VIGENCIA 2023</t>
  </si>
  <si>
    <t>AVANCE META VIGENCIA 2023</t>
  </si>
  <si>
    <t>% AVANCE META VIGENCIA 2023</t>
  </si>
  <si>
    <t>IV GESTIÓN  (FÍSICO) VIGENCIA 2024</t>
  </si>
  <si>
    <t>META VIGENCIA 2024</t>
  </si>
  <si>
    <t>AVANCE META VIGENCIA 2024</t>
  </si>
  <si>
    <t>% AVANCE META VIGENCIA 2024</t>
  </si>
  <si>
    <t>12-OTROS DISTRITO</t>
  </si>
  <si>
    <t>5, PONDERACIÓN HORIZONTAL AÑO: 2021</t>
  </si>
  <si>
    <t>1, 5. PROGRAMACIÓN INICIAL AÑO 2021</t>
  </si>
  <si>
    <t>IV GESTIÓN  (FÍSICO) VIGENCIA 2021</t>
  </si>
  <si>
    <t>II PRODUCTO (FÍSICO) VIGENCIA 2021</t>
  </si>
  <si>
    <t>META VIGENCIA 2021</t>
  </si>
  <si>
    <t>AVANCE META VIGENCIA 2021</t>
  </si>
  <si>
    <t>% AVANCE META VIGENCIA 2021</t>
  </si>
  <si>
    <r>
      <t xml:space="preserve">PROGRAMADO </t>
    </r>
    <r>
      <rPr>
        <b/>
        <sz val="12"/>
        <rFont val="Arial"/>
        <family val="2"/>
      </rPr>
      <t>ENE.</t>
    </r>
  </si>
  <si>
    <r>
      <t>PROGRAMADO</t>
    </r>
    <r>
      <rPr>
        <b/>
        <sz val="12"/>
        <rFont val="Arial"/>
        <family val="2"/>
      </rPr>
      <t xml:space="preserve"> FEB.</t>
    </r>
  </si>
  <si>
    <r>
      <t xml:space="preserve">PROGRAMADO </t>
    </r>
    <r>
      <rPr>
        <b/>
        <sz val="12"/>
        <rFont val="Arial"/>
        <family val="2"/>
      </rPr>
      <t>MAR.</t>
    </r>
  </si>
  <si>
    <r>
      <t xml:space="preserve">PROGRAMADO </t>
    </r>
    <r>
      <rPr>
        <b/>
        <sz val="12"/>
        <rFont val="Arial"/>
        <family val="2"/>
      </rPr>
      <t>ABR.</t>
    </r>
  </si>
  <si>
    <r>
      <t xml:space="preserve">PROGRAMADO </t>
    </r>
    <r>
      <rPr>
        <b/>
        <sz val="12"/>
        <rFont val="Arial"/>
        <family val="2"/>
      </rPr>
      <t>MAY.</t>
    </r>
  </si>
  <si>
    <r>
      <t>PROGRAMADO</t>
    </r>
    <r>
      <rPr>
        <b/>
        <sz val="12"/>
        <rFont val="Arial"/>
        <family val="2"/>
      </rPr>
      <t xml:space="preserve"> JUN.</t>
    </r>
  </si>
  <si>
    <r>
      <t>PROGRAMADO</t>
    </r>
    <r>
      <rPr>
        <b/>
        <sz val="12"/>
        <rFont val="Arial"/>
        <family val="2"/>
      </rPr>
      <t xml:space="preserve"> JUL.</t>
    </r>
  </si>
  <si>
    <r>
      <t xml:space="preserve">PROGRAMADO </t>
    </r>
    <r>
      <rPr>
        <b/>
        <sz val="12"/>
        <rFont val="Arial"/>
        <family val="2"/>
      </rPr>
      <t>AGO.</t>
    </r>
  </si>
  <si>
    <r>
      <t xml:space="preserve">PROGRAMADO </t>
    </r>
    <r>
      <rPr>
        <b/>
        <sz val="12"/>
        <rFont val="Arial"/>
        <family val="2"/>
      </rPr>
      <t>SEP.</t>
    </r>
  </si>
  <si>
    <r>
      <t>PROGRAMADO</t>
    </r>
    <r>
      <rPr>
        <b/>
        <sz val="12"/>
        <rFont val="Arial"/>
        <family val="2"/>
      </rPr>
      <t xml:space="preserve"> OCT.</t>
    </r>
  </si>
  <si>
    <r>
      <t xml:space="preserve">PROGRAMADO </t>
    </r>
    <r>
      <rPr>
        <b/>
        <sz val="12"/>
        <rFont val="Arial"/>
        <family val="2"/>
      </rPr>
      <t>NOV.</t>
    </r>
  </si>
  <si>
    <r>
      <t xml:space="preserve">PROGRAMADO  </t>
    </r>
    <r>
      <rPr>
        <b/>
        <sz val="12"/>
        <rFont val="Arial"/>
        <family val="2"/>
      </rPr>
      <t>DIC.</t>
    </r>
  </si>
  <si>
    <t>GIRO VIGENCIA</t>
  </si>
  <si>
    <t>PROGRAMADO VALOR ABSOLUTO VIGENCIA</t>
  </si>
  <si>
    <r>
      <t xml:space="preserve">EJECUTADO </t>
    </r>
    <r>
      <rPr>
        <b/>
        <sz val="12"/>
        <rFont val="Arial"/>
        <family val="2"/>
      </rPr>
      <t>JUN.</t>
    </r>
  </si>
  <si>
    <r>
      <t xml:space="preserve">EJECUTADO </t>
    </r>
    <r>
      <rPr>
        <b/>
        <sz val="12"/>
        <rFont val="Arial"/>
        <family val="2"/>
      </rPr>
      <t>DIC.</t>
    </r>
  </si>
  <si>
    <t>3, % CUMPLIMIENTO 
(En el periodo)</t>
  </si>
  <si>
    <t>4, % CUMPLIMIENTO ACUMULADO (al periodo)</t>
  </si>
  <si>
    <t>5, % CUMPLIMIENTO ACUMULADO (Vigencia) SEGPLAN</t>
  </si>
  <si>
    <t>PROGRAMADO ACUMULADO AL PERIODO
AÑO 2022</t>
  </si>
  <si>
    <t>EJECUTADO ACUMUALDO AL PERIODO
 AÑO 2022</t>
  </si>
  <si>
    <t>PROGRAMADO ACUMULADO SEGPLAN
AÑO 2022</t>
  </si>
  <si>
    <t>EJECUTADO ACUMUALDO  SEGPLAN
 AÑO 2022</t>
  </si>
  <si>
    <t>2, PROGRAMACIÓN Y EJECUCIÓN</t>
  </si>
  <si>
    <t>2. PROGRAMACIÓN Y EJECUCIÓN</t>
  </si>
  <si>
    <t>PROGRAMADO ACUMULADO AL PERIODO
AÑO 2023</t>
  </si>
  <si>
    <t>EJECUTADO ACUMUALDO AL PERIODO
 AÑO 2023</t>
  </si>
  <si>
    <t>PROGRAMADO ACUMULADO SEGPLAN
AÑO 2023</t>
  </si>
  <si>
    <t>EJECUTADO ACUMUALDO  SEGPLAN
 AÑO 2023</t>
  </si>
  <si>
    <t>PROGRAMADO ACUMULADO AL PERIODO
AÑO 2024</t>
  </si>
  <si>
    <t>EJECUTADO ACUMUALDO AL PERIODO
 AÑO 2024</t>
  </si>
  <si>
    <t>PROGRAMADO ACUMULADO SEGPLAN
AÑO 2024</t>
  </si>
  <si>
    <t>EJECUTADO ACUMUALDO  SEGPLAN
 AÑO 2024</t>
  </si>
  <si>
    <r>
      <t xml:space="preserve">REPROGRAMACIÓN </t>
    </r>
    <r>
      <rPr>
        <b/>
        <sz val="12"/>
        <rFont val="Arial"/>
        <family val="2"/>
      </rPr>
      <t>VIGENCIA 
(VALOR INICIAL)</t>
    </r>
  </si>
  <si>
    <r>
      <t>Versión:</t>
    </r>
    <r>
      <rPr>
        <b/>
        <sz val="20"/>
        <color rgb="FFFF0000"/>
        <rFont val="Arial"/>
        <family val="2"/>
      </rPr>
      <t xml:space="preserve"> </t>
    </r>
    <r>
      <rPr>
        <b/>
        <sz val="20"/>
        <rFont val="Arial"/>
        <family val="2"/>
      </rPr>
      <t>14</t>
    </r>
  </si>
  <si>
    <t>Versión : 14</t>
  </si>
  <si>
    <t xml:space="preserve"> Versión : 14</t>
  </si>
  <si>
    <t>EJECUTADO ACUMUALDO  SEGPLAN
 AÑO 2021</t>
  </si>
  <si>
    <t>PROGRAMADO ACUMULADO SEGPLAN
AÑO 2021</t>
  </si>
  <si>
    <t>EJECUTADO ACUMUALDO AL PERIODO
 AÑO 2021</t>
  </si>
  <si>
    <t>PROGRAMADO ACUMULADO AL PERIODO
AÑO 2021</t>
  </si>
  <si>
    <t>6, % CUMPLIMIENTO ACUMULADO (al periodo)DEL CUATRIENIO</t>
  </si>
  <si>
    <t>7 ,% DE AVANCE CUATRIENIO</t>
  </si>
  <si>
    <t>8, DESCRIPCIÓN DE LOS AVANCES Y LOGROS ALCANZADOS</t>
  </si>
  <si>
    <t xml:space="preserve">9, RETRASOS 
</t>
  </si>
  <si>
    <t xml:space="preserve">10, SOLUCIONES PLANTEADAS </t>
  </si>
  <si>
    <t>12, FUENTE DE EVIDENCIAS</t>
  </si>
  <si>
    <t>11,  BENEFICIOS O RESULTADOS A LA POBLACIÓN</t>
  </si>
  <si>
    <t>PROGRAMADO ACUMULADO AL PERIODO
AÑO 2020</t>
  </si>
  <si>
    <t>EJECUTADO ACUMUALDO AL PERIODO
 AÑO 2020</t>
  </si>
  <si>
    <t>PROGRAMADO ACUMULADO SEGPLAN
AÑO 2020</t>
  </si>
  <si>
    <t>EJECUTADO ACUMUALDO  SEGPLAN
 AÑO 2020</t>
  </si>
  <si>
    <t>Formato: Programación, Actualización y Seguimiento del Plan de Acción -  Componente de gestión</t>
  </si>
  <si>
    <t>Formato: Programación, Actualización y Seguimiento del Plan de Acción -Componente de Inversión</t>
  </si>
  <si>
    <t>Formato: Programación, Actualización y Seguimiento del Plan de Acción - Componente de Actividades</t>
  </si>
  <si>
    <t>Formato: Programación, Actualización y Seguimiento del Plan de Acción - Componente de  Territorialización</t>
  </si>
  <si>
    <t>Versión: 14</t>
  </si>
  <si>
    <t>Se agregan  en el componente de gestión y de inversión nuevas columnas para establecer más patrones de medición</t>
  </si>
  <si>
    <t xml:space="preserve">Subdirección de Calidad del Aire, Auditiva y Visual																																																																																																																																							</t>
  </si>
  <si>
    <t xml:space="preserve">7778 - Control a los factores de deterioro de calidad del aire, acústica y visual del Distrito Capital. Bogotá																																																																																																																																							</t>
  </si>
  <si>
    <t xml:space="preserve">02 Cambiar nuestros hábitos de vida para reverdecer a Bogotá y adaptarnos y mitigar la crisis																																																																																																																																							</t>
  </si>
  <si>
    <t xml:space="preserve">35 Manejo y prevención de contaminación																																																																																																																																							</t>
  </si>
  <si>
    <t>Realizar 4.000 acciones de seguimiento y control sobre los elementos de publicidad exterior visual instalados en las zonas con mayor densidad.</t>
  </si>
  <si>
    <t>Número de Acciones de Seguimiento realizadas</t>
  </si>
  <si>
    <t>Numero</t>
  </si>
  <si>
    <t>Suma</t>
  </si>
  <si>
    <t>Realizar 4.700 acciones de seguimiento y control de emisión de ruido a los establecimientos de comercio, industria y servicio ubicados en el perímetro urbano del DC.</t>
  </si>
  <si>
    <t>Realizar el 100% de las acciones para operar, mantener y ampliar la red de monitoreo de ruido ambiental de Bogotá para la identificación de la población urbana afectada por ruido en el Distrito.</t>
  </si>
  <si>
    <t>Porcentaje de acciones  de operación, mantenimiento y monitoreo de la red de ruido realizadas</t>
  </si>
  <si>
    <t>%</t>
  </si>
  <si>
    <t>Constante</t>
  </si>
  <si>
    <t>Reducir en el 10% como promedio ponderado ciudad, la concentración de material particulado PM10 y PM2.5, mediante la implementación del Plan de Gestión Integral de Calidad de Aire</t>
  </si>
  <si>
    <t>Concentración promedio ponderado de ciudad de material particulado PM10.</t>
  </si>
  <si>
    <t>ug/m3</t>
  </si>
  <si>
    <t>Decreciente</t>
  </si>
  <si>
    <t xml:space="preserve">
Concentración promedio ponderado de ciudad de material particulado PM 2,5.</t>
  </si>
  <si>
    <t>-</t>
  </si>
  <si>
    <t>( - )</t>
  </si>
  <si>
    <t>6, % CUMPLIMIENTO ACUMULADO (al periodo) cuatrienio</t>
  </si>
  <si>
    <t>REPROGRAMACIÓN VIGENCIA 
(VALOR INICIAL)</t>
  </si>
  <si>
    <t>PROGRAMADO JUN.</t>
  </si>
  <si>
    <t>EJECUTADO JUN.</t>
  </si>
  <si>
    <t>PROGRAMADO JUL.</t>
  </si>
  <si>
    <t>EJECUTADO  JUL.</t>
  </si>
  <si>
    <t>PROGRAMADO AGO.</t>
  </si>
  <si>
    <t>EJECUTADO  AGO.</t>
  </si>
  <si>
    <t>PROGRAMADO SEP.</t>
  </si>
  <si>
    <t>EJECUTADO  SEP.</t>
  </si>
  <si>
    <t>PROGRAMADO OCT.</t>
  </si>
  <si>
    <t>EJECUTADO  OCT.</t>
  </si>
  <si>
    <t>PROGRAMADO NOV.</t>
  </si>
  <si>
    <t>EJECUTADO NOV.</t>
  </si>
  <si>
    <t>PROGRAMADO  DIC.</t>
  </si>
  <si>
    <t>EJECUTADO DIC.</t>
  </si>
  <si>
    <t>PROGRAMADO ENE.</t>
  </si>
  <si>
    <t>EJECUTADO ENE.</t>
  </si>
  <si>
    <t>PROGRAMADO FEB.</t>
  </si>
  <si>
    <t>EJECUTADO FEB.</t>
  </si>
  <si>
    <t>PROGRAMADO MAR.</t>
  </si>
  <si>
    <t>EJECUTADO MAR.</t>
  </si>
  <si>
    <t>PROGRAMADO ABR.</t>
  </si>
  <si>
    <t>EJECUTADO ABR.</t>
  </si>
  <si>
    <t>PROGRAMADO MAY.</t>
  </si>
  <si>
    <t>EJECUTADO  MAY.</t>
  </si>
  <si>
    <t>Aire</t>
  </si>
  <si>
    <t xml:space="preserve">Ruido
</t>
  </si>
  <si>
    <t xml:space="preserve">Red de Ruido
</t>
  </si>
  <si>
    <t>Visual</t>
  </si>
  <si>
    <t>Realizar el 100% de las acciones para operar, mantener y ampliar la red de monitoreo de calidad del aire.</t>
  </si>
  <si>
    <t xml:space="preserve">Formular 29 documentos técnicos de formulación, seguimiento o evaluación de la gestión integral de la calidad del aire de Bogotá.
</t>
  </si>
  <si>
    <t xml:space="preserve">Realizar 8 informes de acciones de evaluación, control y seguimiento a fuentes fijas y fuentes móviles incluidos centros de diagnóstico automotor que operan en el distrito capital.
</t>
  </si>
  <si>
    <t xml:space="preserve">Realizar 4.700 acciones de evaluación, seguimiento y control de emisión de ruido a los establecimientos de comercio, industria y servicio ubicados en el perímetro urbano del D.C.
</t>
  </si>
  <si>
    <t xml:space="preserve">Realizar el 100% de las acciones para operar, mantener y ampliar la Red de Monitoreo de Ruido Ambiental de Bogotá para la identificación de la población urbana afectada por ruido en el distrito.
</t>
  </si>
  <si>
    <t xml:space="preserve">Realizar 7.948 acciones técnico-jurídicas de evaluación, seguimiento y control sobre los elementos de publicidad exterior visual - PEV, instalados en el perímetro urbano del D.C.
</t>
  </si>
  <si>
    <t xml:space="preserve">Atender el 100% de los conceptos técnicos que recomiendan actuaciones administrativas sancionatorias durante la vigencia para mejorar la eficiencia del proceso sancionatorio ambiental.
</t>
  </si>
  <si>
    <t xml:space="preserve">Constante
</t>
  </si>
  <si>
    <t>100%%</t>
  </si>
  <si>
    <t xml:space="preserve">Subdirección de Calidad del Aire, Auditiva y Visual		</t>
  </si>
  <si>
    <t xml:space="preserve">7778 - Control a los factores de deterioro de calidad del aire, acústica y visual del Distrito Capital. Bogotá		</t>
  </si>
  <si>
    <t>Realizar el 100% de las acciones para operar, mantener y ampliar la red de monitoreo de calidad del aire</t>
  </si>
  <si>
    <t>1. Realizar mantenimientos preventivos y correctivos en los equipos de la RMCAB</t>
  </si>
  <si>
    <t>X</t>
  </si>
  <si>
    <t>2. Realizar la validación y análisis de los datos provenientes de las estaciones de la RMCAB</t>
  </si>
  <si>
    <t>3. Elaborar y publicar en la página de la RMCAB 17 informes periódicos de calidad del aire</t>
  </si>
  <si>
    <t>4. Integrar los datos de las nuevas estaciones y nuevos equipos de la RMCAB</t>
  </si>
  <si>
    <t xml:space="preserve">5. Realizar acciones encaminadas a la integración de las redes de monitoreo de calidad del aire de la CAR y de la RMCAB.
</t>
  </si>
  <si>
    <t xml:space="preserve">6. Apoyar técnicamente la evaluación y selección de sensores de bajo costo, útiles para el establecimiento de una red de monitoreo de exposición a la contaminación. </t>
  </si>
  <si>
    <t>7. Elaborar el documento técnico con las acciones de evaluación y cierre al Plan Decenal de Descontaminación del Aire de Bogotá</t>
  </si>
  <si>
    <t>8. Elaborar el documento técnico con la estimación y espacialización de las emisiones de la ciudad de Bogotá</t>
  </si>
  <si>
    <t>9. Elaborar el documento técnico de lineamientos sobre protocolos de actuación en eventos de contaminación atmosférica y sobre gobernanzas del aire</t>
  </si>
  <si>
    <t>10. Realizar la intervención a las Fuentes Fijas  ubicadas en el Distrito Capital, a través de las acciones de evaluación, control,  seguimiento y monitoreo.</t>
  </si>
  <si>
    <t>11. Atender las solicitudes de quejas, derechos de petición, entes de control y radicados allegadas a la Entidad a través de vistas de inspección, vigilancia y control.</t>
  </si>
  <si>
    <t>12. Realizar las mediciones a los vehículos durante los operativos de evaluación, control y seguimiento a las fuentes móviles.</t>
  </si>
  <si>
    <t>13. Programar  y ejecutar las visitas técnicas del programa de auditoria a los centros de diagnóstico automotor que operan en el distrito capital.</t>
  </si>
  <si>
    <t xml:space="preserve">14. Estructurar y evaluar estrategias alternativas de seguimiento y control a fuentes móviles </t>
  </si>
  <si>
    <t>Ruido</t>
  </si>
  <si>
    <t>15. Realizar documentos técnicos de evaluación y seguimiento de emisión de ruido a establecimientos de comercio, industria y servicio, generados por visitas con medición/sin medición y  no efectivas.</t>
  </si>
  <si>
    <t>16. Realizar documentos técnicos: oficios evaluación de estudios de emisión de ruido conceptos técnicos aclaratorio y demás documentos relacionados que no requieren visita técnica.</t>
  </si>
  <si>
    <t>Red de Ruido</t>
  </si>
  <si>
    <t>Realizar el 100% de las acciones para operar, mantener y ampliar la Red de Monitoreo de Ruido Ambiental de Bogotá para la identificación de la población urbana afectada por ruido en el distrito.</t>
  </si>
  <si>
    <t>17. Asegurar la continua operación y comunicación de las estaciones de monitoreo que conforman la red de monitoreo de ruido ambiental del Distrito</t>
  </si>
  <si>
    <t xml:space="preserve">18.    Instalar, comunicar y restablecer la puesta en servicio de 10 estaciones de la red de monitoreo de ruido ambiental del Distrito. </t>
  </si>
  <si>
    <t>19. Gestionar los procesos relacionados con la acreditación de la metodología de medición de ruido ambiental ISO 1996 llevado a cabo por la SDA ante el IDEAM</t>
  </si>
  <si>
    <t xml:space="preserve">20. Actualizar los mapas estratégicos de ruido de todas las localidades urbanas del Distrito. </t>
  </si>
  <si>
    <t>21. Elaborar un informe técnico semestral de ruido ambiental que sirva como insumo para la identificación del porcentaje Urbano de Afectados por Ruido (%PUAR)</t>
  </si>
  <si>
    <t>Realizar 7.948 acciones técnico-jurídicas de evaluación, seguimiento y control sobre los elementos de publicidad exterior visual - PEV, instalados en el perímetro urbano del D.C.</t>
  </si>
  <si>
    <t>22. OPERATIVOS DE CONTROL Y SENSIBILIZACIÓN
Desarrollar actividades de control y sensibilización de los elementos Publicidad Exteriores Visual - PEV.</t>
  </si>
  <si>
    <t>23. SEGUIMIENTOS VALLAS. Evaluación.
Realizar visitas de control y seguimiento a los elementos mayores o vallas tubulares dentro del distrito.</t>
  </si>
  <si>
    <t>24. DOCUMENTOS DE OPERATIVOS DE CONTROL
Elaborar los documentos técnicos requeridos para el adecuado proceso interno de los elementos Publicidad Exteriores Visual - PEV ilegales en el distrito</t>
  </si>
  <si>
    <t>25. Realizar el seguimiento y actualización mensual de la información contenida en el Sistema Integrado de Información de Publicidad Exterior Visual - SIIPEV para dar cumplimiento al Acuerdo 610/2015</t>
  </si>
  <si>
    <t>26.Evaluación técnica a las solicitudes de registro de los elementos de publicidad exterior visual. - PEV, de acuerdo a las Peticiones y Quejas que alleguen a grupo.</t>
  </si>
  <si>
    <t>Atender el 100% de los conceptos técnicos que recomiendan actuaciones administrativas sancionatorias durante la vigencia para mejorar la eficiencia del proceso sancionatorio ambiental</t>
  </si>
  <si>
    <t>27. Acoger jurídicamente los conceptos técnicos mediante la proyección de los actos administrativos ambientales de carácter sancionatorio.</t>
  </si>
  <si>
    <t>28. Realizar el proceso de organización y administración de los documentos de archivos y expedientes sancionatorios.</t>
  </si>
  <si>
    <t>29. Notificar los actos administrativos en cumplimiento de la normatividad establecida.</t>
  </si>
  <si>
    <t>30. Realizar acciones de seguimiento y control ambiental en el marco del trámite sancionatorio.</t>
  </si>
  <si>
    <t>TOTAL PONDERACIÓN</t>
  </si>
  <si>
    <t>Bogotá D.C. Nota: El Plan de Gestión Integral de Calidad del Aire se encuentra enmarcado en las acciones de monitoreo, control y gestión a la calidad del aire, las cuales serán realizadas conjuntamente como ciudad en el marco del desarrollo de gobernanza, es decir que las estrategias, planes y proyectos estarán orientados al cumplimiento de la meta de reducir el 10% promedio ponderado de Material Partículado PM10 y PM2.5 para la ciudad. Como instrumento de planeación aplica para la ciudad y no cuenta con un diferenciador por localidad, sino como eje articulador de acciones que se desarrollen para mejorar la calidad del aire de la ciudad.</t>
  </si>
  <si>
    <t>Todas las Localidades (19).</t>
  </si>
  <si>
    <t>N.A</t>
  </si>
  <si>
    <t>Guaymaral	GYR	4°47'1.52"N	74°2'39.06"W
Usaquén	USQ	4°42'37.26"N	74°1'49.50"W
Suba	SUB	4°45'40.49"N	74° 5'36.46"W
Bolivia	BOL	4°44'9.12"N	74°7'33.18"W
Las Ferias	LFR	4°41'26.52"N	74°4'56.94"W
Centro de Alto Rendimiento	CDAR	4°39'30.48"N	74°5'2.28"W
Estación Móvil 7ma	MOV	4°38'32.75"N	74°5'2.28"W
MinAmbiente	MAM	4°37'31.75"N	74°4'1.13"W
Fontibón	FTB	4°40'41.67"N	74°8'37.75"W
Puente Aranda	PTE	4°37'54.36"N	74°7'2.94"W
Kennedy	KEN	4°37'30.18"N	74°9'40.80"W
Carvajal - Sevillana	CSE	4°35'44.22"N	74°8'54.90"W
Tunal	TUN	4°34'34.41"N	74°7'51.44"W
San Cristóbal	SCR	4°34'21.19"N	74°5'1.73"W
El Jazmín	JAZ	4°36'30.6"N 	74°06'53.8"W
Usme 	USM	4°31'55.4"N 	74°07'01.7"W
Bosa	BOS	4°36'20.2"N 	74°12'14.6"W
Ciudad Bolívar	CBV	4°34'40.1"N 	74°09'58.6"W
Colina	COL	4°44'14.1"N 	74°04'10.0"W
Móvil Fontibón	MOV2	4°40'03.7"N 	74°08'55.9"W</t>
  </si>
  <si>
    <t>DISTRITO CAPITAL</t>
  </si>
  <si>
    <t>Formular 29 documentos técnicos de formulación, seguimiento o evaluación de la gestión integral de la calidad del aire de Bogotá</t>
  </si>
  <si>
    <t>Realizar 8 informes de acciones de evaluación, control y seguimiento a fuentes fijas y fuentes móviles incluidos centros de diagnóstico automotor que operan en el distrito capital.</t>
  </si>
  <si>
    <t>Realizar 4.700 acciones de evaluación, seguimiento y control de emisión de ruido a los establecimientos de comercio, industria y servicio ubicados en el perímetro urbano del D.C.</t>
  </si>
  <si>
    <t xml:space="preserve">Bogotá D.C. Nota: La ejecución y cumplimiento de la meta del Proyecto de Inversión, se desarrolla sobre el Distrito Capital toda vez que su acción de evaluación, control y seguimiento no se delimitan a una o varias zonas especificas, la medición, impacto y resultados generados se aplican a nivel ciudad. </t>
  </si>
  <si>
    <t>1	CAI La Aurora	4,520859002	-74,122551	USME	UPZ57	GRAN YOMASA	Carrera 14L No. 71-03 Sur
2	CAI 20 De Julio	4,572536002	-74,092696	SAN CRISTOBAL	UPZ34	20 DE JULIO	calle 20 a sur No. 6A-46
3	CAI Ciudad Berna	4,582926002	-74,090467	ANTONIO NARIÑO	UPZ35	CIUDAD JARDIN	Calle 11 sur No. 10-03
4	CAI Claret	4,583737001	-74,127257	RAFAEL URIBE URIBE	UPZ39	QUIROGA	Calle 44 No. 27-50 Sur
5	Antonio Nariño	4,584800787	-74,10007024	ANTONIO NARIÃ‘O	UPZ38	RESTREPO	Calle 17 sur No. 16-91
6	CAI Venecia	4,589745001	-74,138379	TUNJUELITO	UPZ42	VENECIA	 Transv 44 No. 50G-00 Sur
7	CAI San Victorino	4,601214002	-74,081783	LOS MARTIRES	UPZ102	LA SABANA	Avenida Caracas con Calle 10
8	CAI Tejar	4,609127001	-74,128176	PUENTE ARANDA	UPZ40	CIUDAD MONTES	Avenida Carrera 68 con Avenida 1 de Mayo
9	CAI Caldas	4,632131001	-74,154017	KENNEDY	UPZ46	CASTILLA	Diagonal 38 sur Carrera 80
10	Edificio Marly	4,637504515	-74,06424644	CHAPINERO	UPZ99	CHAPINERO	Carrera 9 No. 50-60
11	Secretaria Distrital de Ambiente	4,641740007	-74,06575488	CHAPINERO	UPZ99	CHAPINERO	Avenida caracas No. 54-38
12	CAI Galerías	4,641821001	-74,07461	TEUSAQUILLO	UPZ100	GALERIAS	Calle 53 No. 25-01
13	CAI Siete De Agosto	4,658550001	-74,077148	BARRIOS UNIDOS	UPZ98	LOS ALCAZARES	Carrera 30 con Calle 64
14	CAI Modelia	4,664866001	-74,118697	FONTIBON	UPZ114	MODELIA	Carrera 74 No. 24-22
15	Estación Policía Fontibón	4,667842705	-74,14854885	FONTIBON	UPZ75	FONTIBON	Carrera 98 No. 16B-50
16	Jardín Botánico	4,668859017	-74,09874723	ENGATIVA	UPZ105	JARDIN BOTANICO	Calle 63 No. 68-95
17	Hotel Morrison	4,669047548	-74,05441343	CHAPINERO	UPZ97	CHICO LAGO	Calle 84 Bis No. 13-54
18	Estación Policía Santa Cecilia	4,669752341	-74,11901859	FONTIBON	UPZ114	MODELIA	Carrera 81 No. 24D-75
19	Cruz Roja Colombiana	4,673240542	-74,08914905	ENGATIVA	UPZ26	LAS FERIAS	Carrera 68 No. 68B-31
20	Alcaldía Local de Fontibón	4,673435455	-74,14407712	FONTIBON	UPZ75	FONTIBON	Carrera 99 No. 19-43
21	CAI Villa Luz	4,681289001	-74,107361	ENGATIVA	UPZ31	SANTA CECILIA	Carrera 77A No. 64C-26
22	CAI Álamos	4,690443001	-74,117244	ENGATIVA	UPZ116	ALAMOS	Transversal 93 No. 64G-00
23	CAI Navarra	4,695576001	-74,055263	USAQUEN	UPZ16	SANTA BARBARA	Autopista Norte No. 108A-60
24	Edificio Ejecutivo Plaza	4,699811326	-74,05065773	USAQUEN	UPZ16	SANTA BARBARA	Carrera 19A No. 118-13
25	CAI Villa Nidia	4,737773001	-74,022585	USAQUEN	UPZ11	SAN CRISTOBAL NORTE	Calle 163 No. 6A-25
26	CAI Villa Del Prado	4,753339688	-74,04699756	SUBA	UPZ17	SAN JOSE DE BAVARIA	Calle 172 con Autopista Norte</t>
  </si>
  <si>
    <t>Bogotá D.C.</t>
  </si>
  <si>
    <t>*Disminución de la afectación paisajística originada por la sobreexposición de elementos publicitarios en Bogotá a través de la pedagogía y las actuaciones administrativas y jurídicas sobre los presuntos infractores.
*Legalización de la publicidad exterior visual en la ciudad.</t>
  </si>
  <si>
    <t>Información generada por el equipo de trabajo de Publicidad Exterior Visual - PEV.</t>
  </si>
  <si>
    <t>Disminución de la afectación paisajística originada por la sobreexposición de elementos publicitarios en Bogotá a través de la pedagogía y las actuaciones administrativas y jurídicas sobre los presuntos infractores.
Legalización de la publicidad exterior visual en la ciudad.</t>
  </si>
  <si>
    <t>Las metas planteadas, implican la evaluación, control y seguimiento a fuentes de emisión de ruido, para así, identificar aquellas zonas donde las actividades de comercio, industria o servicio están impactando de forma negativa las condiciones acústicas del sector donde se desarrollan, de esta forma, perjudicando la calidad de vida de la comunidad circunvecina, esta identificación debe permitir que la gestión para el mejoramiento del bienestar, la salud y calidad de vida de los ciudadanos en el D.C sea más efectiva por todos los actores involucrados en la problemática ambiental del ruido, esto en el entendido que el compromiso frente al fomento de la calidad acústica del Distrito, depende de todos los generadores de emisiones, por medio del cumplimiento normativo ambiental vigente, que se traduce en una mejor calidad de vida para los ciudadanos.</t>
  </si>
  <si>
    <t>Sistema de Información Ambiental de la Entidad Forest.</t>
  </si>
  <si>
    <t>La correcta operación de la Red de Ruido de Bogotá, permiten una mejor cobertura del monitoreo de niveles de ruido ambiental, así como la identificación de zonas con fuentes sonoras de alto impacto con las cuales se establecen los insumos para la identificación de la población afectada por ruido en el Distrito.</t>
  </si>
  <si>
    <t>la evidencia esta cargada en el servidor de la SCAAV. Isolucion - Sistema de Información Ambiental de la Entidad Forest.</t>
  </si>
  <si>
    <t>Mantener las condiciones ambientales atmosféricas de la ciudad, de acuerdo con la norma nacional de calidad del aire con el objetivo de mejorar las condiciones de vida de la población de la ciudad.</t>
  </si>
  <si>
    <t>http://rmcab.ambientebogota.gov.co</t>
  </si>
  <si>
    <t xml:space="preserve">Garantizar el monitoreo permanente de la calidad del aire del distrito capital, informando a la ciudadanía, academia y otras entidades para la toma de decisiones y el seguimiento a la gestión del recurso aire </t>
  </si>
  <si>
    <t>N.A.</t>
  </si>
  <si>
    <t>Reporte de mantenimientos preventivos y correctivos: Software Gestor RMCAB http://201.245.192.252:82
Informes de calidad del aire de Bogotá: http://rmcab.ambientebogota.gov.co
Validación y análisis: Software ENVISTA RMCAB
Otros documentos: Servidor SDA - Carpeta RMCAB.</t>
  </si>
  <si>
    <t>Contar con los documentos técnicos en los cuales se evidencien las acciones de vigilancia, modelación y gestión de la calidad del aire de la ciudad, incluyendo la gobernanza, riesgos en la salud, restricciones por episodios de contaminación, regionalidad, y el cambio climático.</t>
  </si>
  <si>
    <t xml:space="preserve">\\192.168.175.17\scaav\2. Grupo Fuentes Fijas\INDICADORES POA\POA 2020-02
</t>
  </si>
  <si>
    <t>Con la información recolectada se va compilando la caracterización y documentación para la elaboración del informe semestral y los resultados sirven para determinar el cumplimiento normativo.</t>
  </si>
  <si>
    <t xml:space="preserve">Realizar 8 informes de acciones de evaluación, control y seguimiento a fuentes fijas y fuentes móviles incluidos centros de diagnóstico automotor que operan en el distrito capital.
</t>
  </si>
  <si>
    <t>Las metas planteadas, implican la evaluación, control y seguimiento a fuentes de emisión de ruido, para así, identificar aquellas zonas donde las actividades de comercio, industria o servicio están impactando de forma negativa las condiciones acústicas del sector donde se desarrollan, de esta forma, perjudicando la calidad de vida de la comunidad circunvecina, esta identificación debe permitir que la gestión para el mejoramiento del bienestar, la salud y calidad de vida de los ciudadanos en el D.C sea más efectiva por todos los actores involucrados en la problemática ambiental del ruido, esto en el entendido que el compromiso frente al fomento de la calidad acústica del Distrito, depende de todos los generadores de emisiones, por medio del cumplimiento normativo ambiental vigente, que se traduce en una mejor calidad de vida para los ciudadanos.
Las metas planteadas, implican la evaluación, control y seguimiento a fuentes de emisión de ruido, para así, identificar aquellas zonas donde las actividades de comercio, industria o servicio están impactando de forma negativa las condiciones acústicas del sector donde se desarrollan, de esta forma, perjudicando la calidad de vida de la comunidad circunvecina, esta identificación debe permitir que la gestión para el mejoramiento del bienestar, la salud y calidad de vida de los ciudadanos en el D.C sea más efectiva por todos los actores involucrados en la problemática ambiental del ruido, esto en el entendido que el compromiso frente al fomento de la calidad acústica del Distrito, depende de todos los generadores de emisiones, por medio del cumplimiento normativo ambiental vigente, que se traduce en una mejor calidad de vida para los ciudadanos.
Las metas planteadas, implican la evaluación, control y seguimiento a fuentes de emisión de ruido, para así, identificar aquellas zonas donde las actividades de comercio, industria o servicio están impactando de forma negativa las condiciones acústicas del sector donde se desarrollan, de esta forma, perjudicando la calidad de vida de la comunidad circunvecina, esta identificación debe permitir que la gestión para el mejoramiento del bienestar, la salud y calidad de vida de los ciudadanos en el D.C sea más efectiva por todos los actores involucrados en la problemática ambiental del ruido, esto en el entendido que el compromiso frente al fomento de la calidad acústica del Distrito, depende de todos los generadores de emisiones, por medio del cumplimiento normativo ambiental vigente, que se traduce en una mejor calidad de vida para los ciudadanos.
Las metas planteadas, implican la evaluación, control y seguimiento a fuentes de emisión de ruido, para así, identificar aquellas zonas donde las actividades de comercio, industria o servicio están impactando de forma negativa las condiciones acústicas del sector donde se desarrollan, de esta forma, perjudicando la calidad de vida de la comunidad circunvecina, esta identificación debe permitir que la gestión para el mejoramiento del bienestar, la salud y calidad de vida de los ciudadanos en el D.C sea más efectiva por todos los actores involucrados en la problemática ambiental del ruido, esto en el entendido que el compromiso frente al fomento de la calidad acústica del Distrito, depende de todos los generadores de emisiones, por medio del cumplimiento normativo ambiental vigente, que se traduce en una mejor calidad de vida para los ciudadanos.
Las metas planteadas, implican la evaluación, control y seguimiento a fuentes de emisión de ruido, para así, identificar aquellas zonas donde las actividades de comercio, industria o servicio están impactando de forma negativa las condiciones acústicas del sector donde se desarrollan, de esta forma, perjudicando la calidad de vida de la comunidad circunvecina, esta identificación debe permitir que la gestión para el mejoramiento del bienestar, la salud y calidad de vida de los ciudadanos en el D.C sea más efectiva por todos los actores involucrados en la problemática ambiental del ruido, esto en el entendido que el compromiso frente al fomento de la calidad acústica del Distrito, depende de todos los generadores de emisiones, por medio del cumplimiento normativo ambiental vigente, que se traduce en una mejor calidad de vida para los ciudadanos.
Las metas planteadas, implican la evaluación, control y seguimiento a fuentes de emisión de ruido, para así, identificar aquellas zonas donde las actividades de comercio, industria o servicio están impactando de forma negativa las condiciones acústicas del sector donde se desarrollan, de esta forma, perjudicando la calidad de vida de la comunidad circunvecina, esta identificación debe permitir que la gestión para el mejoramiento del bienestar, la salud y calidad de vida de los ciudadanos en el D.C sea más efectiva por todos los actores involucrados en la problemática ambiental del ruido, esto en el entendido que el compromiso frente al fomento de la calidad acústica del Distrito, depende de todos los generadores de emisiones, por medio del cumplimiento normativo ambiental vigente, que se traduce en una mejor calidad de vida para los ciudadanos.</t>
  </si>
  <si>
    <t xml:space="preserve">Sistema de Información Ambiental de la Entidad Forest.
</t>
  </si>
  <si>
    <t>La evidencia esta cargada en el servidor de la SCAAV. ISOLUCION - Sistema de Información Ambiental de la Entidad FOREST.</t>
  </si>
  <si>
    <t>Mejorar transversalmente el proceso sancionatorio ambiental con el fin de dar cumplimiento a las normas y lineamientos establecidos para controlar los factores de deterioro de calidad del aire, acústica y visual del Distrito Capital y a su vez contribuir al mejoramiento de la calidad de vida de los ciudadanos, a través de la función de vigilancia y control ambiental sobre dicho recurso.</t>
  </si>
  <si>
    <t xml:space="preserve">"""Sistema de Información Ambiental FOREST 
Archivos de la Dirección de Control Ambiental """
</t>
  </si>
  <si>
    <t xml:space="preserve">Formular 29 documentos técnicos de formulación, seguimiento o evaluación de la gestión integral de la calidad del aire de Bogotá
</t>
  </si>
  <si>
    <t>En el marco de la gestión integral de la calidad del aire de Bogotá, hasta la fecha (Junio-2021) se ha venido trabajando en el desarrollo de 3 documentos técnicos, los cuales son: 1. Documento técnico de Plan Aire con sus respectivos anexos y el Decreto del Plan Aire, en el cual se realizaron los ajustes relaciones a las observaciones dadas por la Secretaría Jurídica, el cual se encuentra en proceso de firma en el despacho de la Alcaldía de Bogotá. 2. Plan de Contingencia Distrital para la atención de episodios por condiciones desfavorables de calidad del aire en la ciudad, el cual recibió observaciones del IDIGER y en este momento se encuentran realizando las debidas correcciones, así mismo, se adelantó la Mesa Regional de Calidad del Aire con el propósito de conocer los procedimientos aplicados por la CAR para la atención de episodios de contaminación atmosférica y por último se entregan los avances de la metodología para la evaluación y ajuste de los intervalos del IBOCA. 3. Documento de modelación, el cual se entrega en su versión final para ser revisado y aprobado por parte del subdirector de calidad del aire y así pueda ser publicado.</t>
  </si>
  <si>
    <t>Subdirección de Calidad del Aire, Auditiva y Visual</t>
  </si>
  <si>
    <t>7778 - Control a los factores de deterioro de calidad del aire, acústica y visual del Distrito Capital. Bogotá</t>
  </si>
  <si>
    <t>META PROYECTO</t>
  </si>
  <si>
    <t>ATENDER EL 100% DE LOS CONCEPTOS TÉCNICOS QUE RECOMIENDAN ACTUACIONES ADMINISTRATIVAS SANCIONATORIAS DURANTE LA VIGENCIA PARA MEJORAR LA EFICIENCIA DEL PROCESO SANCIONATORIO AMBIENTAL.</t>
  </si>
  <si>
    <t>FORMULAR 29 DOCUMENTOS TÉCNICOS DE FORMULACIÓN, SEGUIMIENTO O EVALUACIÓN DE LA GESTIÓN INTEGRAL DE LA CALIDAD DEL AIRE DE BOGOTÁ</t>
  </si>
  <si>
    <t>74-RECURSOS PASIVOS EXIGIBLES OTROS DISTRITO</t>
  </si>
  <si>
    <t>REALIZAR 4.000 ACCIONES TÉCNICO-JURÍDICAS DE EVALUACIÓN, SEGUIMIENTO Y CONTROL SOBRE LOS ELEMENTOS DE PUBLICIDAD EXTERIOR VISUAL - PEV, INSTALADOS EN EL PERÍMETRO URBANO DEL D.C.</t>
  </si>
  <si>
    <t>492-MULTAS AMBIENTALES</t>
  </si>
  <si>
    <t>REALIZAR 4.700 ACCIONES DE EVALUACIÓN, SEGUIMIENTO Y CONTROL DE EMISIÓN DE RUIDO A LOS ESTABLECIMIENTOS DE COMERCIO, INDUSTRIA Y SERVICIO UBICADOS EN EL PERÍMETRO URBANO DEL D.C.</t>
  </si>
  <si>
    <t>152-RECURSOS PASIVOS MULTAS</t>
  </si>
  <si>
    <t>REALIZAR 8 INFORMES DE ACCIONES DE EVALUACIÓN, CONTROL Y SEGUIMIENTO A FUENTES FIJAS Y FUENTES MÓVILES INCLUIDOS CENTROS DE DIAGNÓSTICO AUTOMOTOR QUE OPERAN EN EL DISTRITO CAPITAL</t>
  </si>
  <si>
    <t>REALIZAR EL 100% DE ACCIONES PARA OPERAR, MANTENER Y AMPLIAR LA RED DE MONITOREO DE RUIDO AMBIENTAL DE BOGOTÁ PARA LA IDENTIFICACIÓN DE LA POBLACIÓN URBANA AFECTADA POR RUIDO EN EL DISTRITO.</t>
  </si>
  <si>
    <t>REALIZAR EL 100% DE LAS ACCIONES PARA OPERAR, MANTENER Y AMPLIAR LA RED DE MONITOREO DE CALIDAD DEL AIRE</t>
  </si>
  <si>
    <t>1-100-F001-VA-RECURSOS DISTRITO</t>
  </si>
  <si>
    <t>1-100-I073-VA-MULTAS AMBIENTALES</t>
  </si>
  <si>
    <t>1-200-I056-RB-MULTAS AMBIENTALES</t>
  </si>
  <si>
    <t>1.	Controlar y gestionar las emisiones contaminantes generadas por las diferentes fuentes de contaminación atmosférica.</t>
  </si>
  <si>
    <t>271-REDUCIR EN UN 10% COMO PROMEDIO PONDERADO CIUDAD, LA CONCENTRACIÓN DE MATERIAL PARTICULADO PM10 Y PM2.5, MEDIANTE LA IMPLEMENTACIÓN DEL PLAN DE GESTIÓN INTEGRAL DE LA CALIDAD DE AIRE.</t>
  </si>
  <si>
    <t>Porcentaje de reducción en la concentración
promedio ponderado del material partículado PM10 y PM2.5 en la ciudad</t>
  </si>
  <si>
    <t>Porcentaje</t>
  </si>
  <si>
    <t xml:space="preserve">Para el mes de julio de 2020, se remite el reporte de los mantenimientos preventivos y correctivos que se han realizado durante el mes, estos han sido ejecutados por los técnicos de campo. En el reporte se relaciona la fecha del mantenimiento, el No. de inventario, el nombre y la ubicación del equipo, la actividad que se realiza, el tipo de mantenimiento, el técnico responsable y la estación en la cual se realizó el mantenimiento. 
Por otro lado, se realizó la validación diaria de los datos de concentraciones de contaminantes criterio y parámetros meteorológicos que monitorea la RMCAB, se adjunta reporte de operatividad en el que se evidencia un 95,1% de los datos validos para el mes. 
Se realizó el análisis de datos del mes de junio de 2020 para plasmarlo en el informe de calidad del aire, se adjunta el documento de Excel en el que se evidencia el tratamiento de los datos. Asimismo, el equipo de la RMCAB en el mes de julio de 2020 elaboró y publicó el informe mensual de junio. Se adjunta copia de este.  </t>
  </si>
  <si>
    <t xml:space="preserve">No fueron programados avances para el mes de julio, la ejecución respectiva se realizará desde el mes de agosto </t>
  </si>
  <si>
    <t>Julio de 2020: Con el fin de construir el informe correspondiente al segundo semestre de 2020, se realizó intervención mediante actuaciones técnicas, atención a PQRs, visitas de control, acompañamientos entre otras actividades del sector de fuentes fijas, operativos de medición de seguimiento y control ambiental de emisiones a vehículos que transitan en el Distrito, visitas técnicas de auditoria  a centros de diagnóstico automotor del Distrito Capital y la caracterización de procedimientos vigentes correspondientes al control y seguimiento de fuentes móviles, con esta información se adelanta la construcción del informe de acciones de evaluación, control y seguimiento a las fuentes fijas y móviles.</t>
  </si>
  <si>
    <t>2.	Determinar las condiciones acústicas ambientales predominantes, que permitan   gestionar el mejoramiento del bienestar, la salud y calidad de vida de los ciudadanos en el D.C.</t>
  </si>
  <si>
    <t>269-REALIZAR 4.700 ACCIONES DE SEGUIMIENTO Y CONTROL DE EMISIÓN DE RUIDO A LOS ESTABLECIMIENTOS DE COMERCIO, INDUSTRIA Y SERVICIO UBICADOS EN EL PERÍMETRO URBANO DEL D.C.</t>
  </si>
  <si>
    <t>Número de acciones realizadas</t>
  </si>
  <si>
    <t>En cumplimiento a la meta plan de desarrollo planteada para el periodo de julio  2020, el área técnica de ruido realizó cinco (5) visitas técnicas, de las cuales una (1), corresponde a visita efectiva con medición, cuatro (4) visitas no efectivas por presencia de piso húmedo y/o presencia de lloviznas, las cuales, son objeto de reprogramación (articulo 20° Resolución 0627 de 2006) y tres (3) actuaciones técnicas correspondientes a otros documentos, dos (2) Conceptos Técnicos Aclaratorios y un (1) Concepto de Favorabilidad SUGA.  La Meta del proyecto de Inversión presenta avance en el mes de Julio, toda vez que las acciones realizadas se ejecutaron al comienzo del mes de Julio con personal contratado vigente desde el mes de marzo de 2020 y aun en el Plan de Desarrollo BMPT.</t>
  </si>
  <si>
    <t>3.	Fortalecer la cobertura de monitoreo de fuentes de emisión de ruido</t>
  </si>
  <si>
    <t>270-REALIZAR EL 100% DE LAS ACCIONES PARA OPERAR, MANTENER Y AMPLIAR LA RED DE MONITOREO DE RUIDO AMBIENTAL DE BOGOTÁ PARA LA IDENTIFICACIÓN DE LA POBLACIÓN URBANA AFECTADA POR RUIDO EN EL DISTRITO</t>
  </si>
  <si>
    <t>Porcentaje de acciones de operación,
mantenimiento y monitoreo de la red de ruido
realizadas</t>
  </si>
  <si>
    <t xml:space="preserve">Para el presente periodo, se programaron y realizaron visitas técnicas con la Empresa de Telecomunicaciones de Bogotá (ETB), para la instalación de tendido, configuración y puesta en marcha de servicio de internet por canal dedicado de las estaciones de la Red de Monitoreo de Ruido Ambiental de Bogotá (RMRAB) ubicadas en el CAI Berna, Jardín Botánico JCM, Cruz Roja Avenida 68, CAI Quirigua, CAI Las Ferias y CAI Normandía. 
Durante el presente periodo se diligencia y envía por correo electrónico matriz Inventario de equipos/ patrones/ material de referencia y programa de mantenimiento, calibración y verificación. </t>
  </si>
  <si>
    <t>4.	Reducir la saturación del paisaje urbano generada por los elementos de publicidad exterior visual ilegales.</t>
  </si>
  <si>
    <t>268-REALIZAR 4.000 ACCIONES DE SEGUIMIENTO Y CONTROL SOBRE LOS ELEMENTOS DE PUBLICIDAD EXTERIOR VISUAL - PEV, INSTALADOS EN LA ZONAS CON MAYOR DENSIDAD</t>
  </si>
  <si>
    <t>Número de acciones de seguimiento realizadas</t>
  </si>
  <si>
    <t>Se realizaron las siguientes actividades en cumplimiento de la meta
- Siete (7) operativos (5 Op. de sensibilización y 2 Op. de Control) - 87 establecimientos
- Cinco (5) visitas a elementos mayores (vallas tubulares): (3 visitas de evaluación y 2 visitas de control y seguimiento)
- Un (1) documento técnico: 1 Concepto técnico 
- Quince (15) visitas a elementos menores
- Cero (0) actuaciones técnicas de evaluación de elementos de publicidad de la vigencia.
La Meta del proyecto de Inversión presenta avance en el mes de Julio, toda vez que las acciones realizadas se ejecutaron al comienzo del mes de Julio con personal contratado vigente desde el mes de marzo de 2020 y aun en el Plan de Desarrollo BMPT.</t>
  </si>
  <si>
    <t>Durante julio, se atendió el 100% de los conceptos técnicos que recomendaron actuación administrativa sancionatoria, obteniendo el siguiente avance: 
Julio 2020:
N° de Conceptos Técnicos que recomiendan actuaciones administrativas sancionatorias: 13
N° de Conceptos Técnicos atendidos jurídicamente: 13
Total, avance meta julio 2020: 100 % 
Es importante aclarar que los avances en la magnitud de la meta están sujetos a la demanda de conceptos técnicos que genere el área técnica para ser acogidos jurídicamente; por lo tanto, el porcentaje de la magnitud programada es a 100% de conformidad con el volumen de conceptos recibidos durante el periodo.
La Meta del proyecto de Inversión presenta avance en el mes de Julio, toda vez que las actuaciones realizadas se ejecutaron al comienzo del mes de Julio con personal contratado vigente desde el mes de marzo de 2020 y aun en el Plan de Desarrollo BMPT.</t>
  </si>
  <si>
    <t xml:space="preserve">"Para el mes de julio, se realizó los mantenimientos preventivos y correctivos, se realizó la validación diaria de los datos de concentraciones de contaminantes criterio y parámetros meteorológicos que monitorea la RMCAB, el reporte de operatividad para el mes fue del 95,1%. Se realizó el análisis de datos del mes de junio para plasmarlo en el informe de calidad del aire. Asimismo, en el mes de julio de 2020 se elaboró y publicó el informe mensual de junio.
Para el mes de agosto, se realizó los mantenimientos preventivos y correctivos, se realizó la validación diaria de los datos de concentraciones de contaminantes criterio y parámetros meteorológicos que monitorea la RMCAB, el reporte de operatividad para el mes fue del 93,2%. Se realizó el análisis de datos del mes de julio para plasmarlo en el informe de calidad del aire, el informe mensual de julio se publicará a más tardar el 14 de septiembre, debido a los retrasos generados por la reducción de la capacidad operativa del personal durante la primera mitad de agosto."
</t>
  </si>
  <si>
    <t>En el marco de la gestión integral de la calidad del aire de Bogotá, se ha avanzado en la estructuración del contenido de 3 informes, los cuales son: 1. contenido en el cual se encuentra el cierre del PDDAB con los resultados respectivos de su implementación de 2010 a 2020, así como el contenido del plan estratégico para la gestión integral de la calidad del aire; 2. Definición del plan de trabajo con sus alcances teniendo en cuenta los 5 temas estratégicos definidos, avanzando en la concertación de las acciones relacionadas con las mesas de trabajo para la actualización del IBOCA y los lineamientos de protocolos de actuación con la mesa de expertos de calidad del aire, entre otras acciones relacionadas con la gestión de la calidad del aire; 3. Validación de datos e información de inventarios realizada para el Informe Anual de Calidad del Aire Año 2019, como estructura general del documento.</t>
  </si>
  <si>
    <t>Con el fin de construir el informe correspondiente al segundo semestre de 2020, se realizó intervención mediante la generación de actuaciones técnicas, producto de las visitas de Inspección Vigilancia, Control y Monitoreo generadas de la atención a PQRs,  y el ejercicio misional propio de la Entidad, mediante operativos internos, e interinstitucionales, acompañamientos a monitoreo de Fuentes Fijas de combustión externa y Fuentes Fijas de emisión por proceso así como operativos de medición en vía a vehículos que transitan en el Distrito Capital como parte del seguimiento y control ambiental a fuentes móviles, visitas técnicas de auditoria a Centros de Diagnóstico Automotor CDA'S  y la caracterización de procedimientos vigentes correspondientes al control y seguimiento de fuentes móviles.
Con esta información se adelanta la construcción del informe de acciones de evaluación, control y seguimiento a las fuentes fijas y móviles en el cual se reporta el avance de las actividades que desarrolla cada grupo, el cual habla de los objetivos la operatividad del grupo y los programas de autogestión aplicados durante la vigencia  semestre II 2020 teniendo en cuenta el control a los factores de deterioro ambiental  en pro de aportar a la meta plan de desarrollo de reducir en un 10% como promedio ponderado ciudad, la concentración de material partículado pm10 y pm2.5, mediante la implementación del plan de gestión integral de la calidad de aire. Alcanzando un 0.33% de la meta de gestión.</t>
  </si>
  <si>
    <t>En cumplimiento a la meta plan de desarrollo planteada para el periodo de julio  2020, el área técnica de ruido realizó cinco (5) visitas técnicas, de las cuales una (1), corresponde a visita efectiva con medición, cuatro (4) visitas no efectivas por presencia de piso húmedo y/o presencia de lloviznas, las cuales, son objeto de reprogramación (articulo 20° Resolución 0627 de 2006) y tres (3) actuaciones técnicas correspondientes a otros documentos, dos (2) Conceptos Técnicos Aclaratorios y un (1) Concepto de Favorabilidad SUGA.  
Agosto 2020, el área técnica de ruido realizó un total de 1 visita técnica, correspondientes a visita no efectiva, la cual es objeto de reprogramación. 6 actuaciones técnicas correspondientes a otros documentos así; 1 comunicación oficial externa sin visita para finalizar el caso, 1 oficio relacionado con una petición en el marco del SUGA, 1 presentación en ppt para una socialización a realizar en la Cámara de Comercio de Bogotá y 3 documentos técnicos relacionados con informes mensuales de las Acciones Populares que cursan en materia de ruido para un sector de las localidades de Bosa, Antonio Nariño y Teusaquillo. 
Así, el acumulado para el II semestre del 2020 es de: 6 visitas técnicas; 1 visita efectiva con medición, 5 visitas no efectivas objeto de reprogramación. 9 actuaciones técnicas correspondientes a otros documentos, dos 2 conceptos técnicos aclaratorios, dos 2 documentos relacionados con SUGA, 1 comunicación oficial externa para finalizar caso de presunta afectación por emisión de ruido, 1 presentación técnica enviada, vía correo electrónico, dirigida a la Cámara de Comercio de Bogotá y 3 informes mensuales para las Acciones Populares mencionadas previamente.</t>
  </si>
  <si>
    <t>Para el presente periodo, se programaron y realizaron visitas técnicas con la Empresa de Telecomunicaciones de Bogotá (ETB), para la instalación de tendido, configuración y puesta en marcha de servicio de internet por canal dedicado de las estaciones de la Red de Monitoreo de Ruido Ambiental de Bogotá (RMRAB) ubicadas en el CAI Las Ferias, CAI Quirigua y CAI Normandía. 
Asimismo, se participó en las reuniones de seguimiento programadas por los profesionales del laboratorio ambiental de la SDA – LABCIMAB, en donde se programa la presentación de plan de capacitaciones, proyección de matriz de equipos activos, cartas control y demás documentos necesarios para la acreditación en la matriz aire – ruido – ruido ambiental ante el IDEAM.</t>
  </si>
  <si>
    <t>Para la vigencia del Proyecto de Inversión se han realizado (46) acciones de evaluación, control y seguimiento:
            Trece (13) operativos de control y seguimiento, Nueve (09) visitas a elementos mayores, Un (1) documento técnico, Veintitrés (23)  visitas a elementos menores.
JULIO: Se realizaron veintiocho (28) actividades en cumplimiento de la meta
- Siete (7) operativos (5 Op. de sensibilización y 2 Op. de Control) - 87 establecimientos
- Cinco (5) visitas a elementos mayores (vallas tubulares)
- Un (1) documento técnico: 1 Concepto técnico 
- Quince (15) visitas a elementos menores
AGOSTO: se realizaron dieciocho (18) acciones en cumplimiento de la meta
- Seis (06) operativos (03 Op. de control y 03 Op. de sensibilización) - 45 establecimientos.
- Cuatro (04) visitas a elementos mayores (vallas tubulares).
- Ocho (08) visitas a elementos menores de PEV.
Nota: La información de evaluación a elementos de Publicidad Exterior Visual se reporta trimestralmente</t>
  </si>
  <si>
    <t>Para el cumplimiento de las regulaciones asociadas al control de los factores de deterioro de calidad del aire, acústica y visual del Distrito Capital, la Secretaría Distrital de Ambiente durante el mes de Agosto atendió el 100% de los conceptos técnicos que recomiendan una actuación administrativa sancionatoria, obteniendo el siguiente avance: 
Agosto 2020 
N° de Conceptos Técnicos que recomiendan actuaciones administrativas sancionatorias: 13 (Conceptos Técnicos No 6572, 7991, 569, 6322, 13400, 8356, 1360, 8126, 8784, 4927, 7458, 11323, 2092).  
N° de Conceptos Técnicos atendidos jurídicamente: 13 (AUTO N. AUTO DCA-02819-AUTO DCA-02820-AUTO DCA-02821-AUTO DCA-02822-AUTO DCA-02824-AUTO DCA-02861-AUTO DCA-02869-AUTO DCA 02878
AUTO DCA-02882-AUTO DCA-02883-AUTO DCA-02902-AUTO DCA-02903-AUTO DCA-02904)
Total, avance meta Agosto 2020: 100 % 
Por último, es importante tener presente que los avances en la magnitud de la meta están sujetos a la demanda de conceptos técnicos que remitan las áreas para ser acogidos jurídicamente; por lo tanto, el porcentaje de la magnitud programada corresponde al 100%.</t>
  </si>
  <si>
    <t>Para el mes de septiembre el porcentaje de cumplimiento para este indicador es del 100%, basado en: se realizó el reporte de los mantenimientos preventivos y correctivos que se realizaron en el mes, se realizó la validación diaria de los datos de concentraciones de contaminantes criterio y parámetros meteorológicos que monitorea la RMCAB, el reporte de operatividad para el mes de septiembre fue del 95,7%. (el cual es promedio de los datos validos de todos los parámetros de la red  que se genera a través del software Envista).
Se realizó el análisis de datos del mes de agosto de 2020 y del Trimestre abr-jun 2020. Asimismo, el equipo de la RMCAB en el mes de septiembre elaboró y publicó el informe mensual de agosto y el informe Trimestral abr-jun 2020, adicionalmente se publico el informe mensual de julio que estaba retrasado. Se mantiene el proceso de validación de los datos generados por las nuevas estaciones y los equipos, se solicito la activación de las estaciones nuevas (El Jazmín, Usme y Bosa) en el Envista Web. 
De acuerdo con la tipología constante de la meta se presenta un avance acumulado del 100% para la vigencia.</t>
  </si>
  <si>
    <t>En el marco de la gestión integral de la calidad del aire de Bogotá, durante la vigencia en el Proyecto de Inversión se ha avanzado en la estructuración del contenido de 3 informes, los cuales son: 
1. Avance en el desarrollo del documento técnico el cual contiene los resultados y se evidencian las acciones realizadas en el marco del PDDAB de 2010 a 2019 con los indicadores de seguimiento, resultados de las medidas optimas y medidas complementarias. 
2. El documento con las metodologías utilizadas para la estimación de los inventarios de emisión que contemplan enfoques Top-Down y Bottom-Up. Mientras que el primer enfoque utiliza información en un rango de tiempo y zona específica (lo cual es ideal para tener un panorama general del estado de las emisiones a nivel ciudad); el segundo permite desagregar temporal y espacialmente las emisiones, útil para ejercicios de modelación detallada de la calidad del aire.  
3. El documento técnico que recopila las acciones orientados a la definición de los protocolos de actuaciones de alertas ambientales, adelantando además las etapas para la definición y adopción del nuevo IBOCA de acuerdo con lo estipulado por la Resolución 2254 de 2017, adicionalmente se ha nutrido diferentes espacios de gobernanza con temas de articulación entre la SDS y SDA, así como instancia de participación con mesas de expertos, entre otros.
Se presenta un avance acumulado del 25% de la meta para la vigencia 2020. Y del 3,45% para el Cuatrienio.</t>
  </si>
  <si>
    <t>A este corte, se ha avanzado un 0.34% del informe programado en la vigencia, basado en las actividades de recolección de la información de las acciones de seguimiento y control de los grupos de fuentes fijas y fuentes móviles. Este documento  contendrá la presentación del estado del arte de los grupos competentes, descripción de la metodología desarrollada en las acciones de evaluación, seguimiento, control y monitoreo realizadas, con la cual se podrá determinar la toma de decisiones a nivel jurídico y la formulación de proyectos en el marco de la disminución los índices de contaminación ambiental.</t>
  </si>
  <si>
    <t>A 30 de septiembre, se han realizado 120 acciones, equivalentes a: 71 visitas técnicas (8 visitas efectivas con medición, 44 visitas efectivas para cerrar el caso y 19 visitas no efectivas objeto de reprogramación), así como 49 actuaciones técnicas de otros documentos (2 conceptos técnicos aclaratorios, 1 comunicación oficial externa para finalizar caso de presunta afectación por emisión de ruido, 1 presentación técnica enviada, dirigida a la Cámara de Comercio de Bogotá, 15 oficios SUGA, 6 Informes de acciones populares, 1 evaluación de estudio de ruido, 2 participaciones WEBINAR MADS, 19 capacitaciones a los gestores de la OPEL, 1 Socialización a la CAL Mártires, 1 informe para la CAL de Tunjuelito).
Acumulado de 120 equivalente al 28,17% de avance en la vigencia.</t>
  </si>
  <si>
    <t>A este corte, se presenta un avance del 100%, que equivalen a: 1) Visitas técnicas de evaluación de daños a 11 de las estaciones de monitoreo de ruido ambiental que se vieron involucradas en los desmanes ocurridos en los CAI, los días 09 y 10 de septiembre de 2020, y 2) Visitas de mantenimiento preventivo a 20 de las estaciones que componen el sistema. (En caso que se tengan las cantidades de visitas, por favor enunciarlas).</t>
  </si>
  <si>
    <t>Para la vigencia del Proyecto de Inversión se han realizado (192) acciones de evaluación, control y seguimiento:
- Veintiocho (28) operativos de control y seguimiento
- Cincuenta y tres (53) visitas a elementos mayores
- Dos (02) documentos técnicos
- Un (01) cargue de información a la plataforma SIIPEV.
- Cincuenta y cinco (55) evaluaciones a solicitudes de elementos de publicidad exterior visual.
- Cincuenta y tres (53) visitas a elementos menores.
Correspondiente a un avance en la meta para la vigencia del 82,05%, y un avance en la meta del cuatrienio del 4,8%.</t>
  </si>
  <si>
    <t>Para el cumplimiento de las regulaciones asociadas al control de los factores de deterioro de calidad del Aire, Auditiva y Visual del Distrito Capital, la Secretaría Distrital de Ambiente durante el trimestre, se atendió el 100% de los conceptos técnicos que recomiendan una actuación Administrativa Sancionatoria, obteniendo el siguiente avance: 
•	N° de Conceptos Técnicos que recomiendan actuaciones administrativas sancionatorias: 146 
•	N° de Conceptos Técnicos atendidos jurídicamente: 146
Por último, es importante tener presente que los avances en la magnitud de la meta están sujetos a la demanda de conceptos técnicos que remitan las áreas para ser acogidos jurídicamente.</t>
  </si>
  <si>
    <t>De acuerdo con la tipología constante de la meta se presenta un avance acumulado del 100% para la vigencia 2020.  Se realizaron mantenimientos preventivos y correctivos, validación y análisis de datos, incluyendo nuevas estaciones en la RMCAB (Bolivia, Usme, Ciudad Bolívar, Bosa, Jazmín) se trabajó en integración SDA-CAR y en plan de prueba de sensores de bajo costo.
Para el mes de noviembre el porcentaje de cumplimiento para este indicador es del 98%, se realizó el reporte de los mantenimientos preventivos y correctivos que se realizaron en el mes, se realizó la validación diaria de los datos de concentraciones de contaminantes criterio y parámetros meteorológicos que monitorea la RMCAB, el reporte de operatividad para el mes de noviembre fue del 96,4%  el cual es promedio de los datos validos de todos los parámetros de la red  que se genera a través del software Envista. Se realizó el análisis de datos del mes de octubre de 2020. Asimismo, el equipo de la RMCAB en el mes de noviembre elaboró el informe mensual de octubre y lo publicó el 02 de diciembre. Se mantiene el proceso de validación de los datos generados por las nuevas estaciones y los equipos.
Avance acumulado en la ejecución de la meta 100%.</t>
  </si>
  <si>
    <t>En el segundo semestre de 2020, con respecto a lo programado de la meta se tiene un avance del 75%, correspondiendo a 3 documentos técnicos para que al final del año se entreguen los 4 documentos totales, Con respecto al cuatrienio hay un avance del 10,3%, la descripción de las actividades realizadas para el mes de noviembre a continuación:
1.	se procedió a realizar la consolidación de la información de resultados logrados para cada uno de los proyectos, teniendo en cuenta el periodo de implementación definido para cada uno de estos en el marco de las reuniones y concertaciones realizadas, logrando capturar y consolidar la información y datos de los indicadores de resultados y gestión, específicamente lo relacionado con las estrategias sectoriales, ya que las mismas con identificadas como los sectores y fuentes que aportan en mayor proporción a las emisiones de material partículado en la ciudad.
Seguido, se realizó la descripción de la metodología de seguimiento y evaluación a cada uno de los proyectos, mencionada metodología será enfocada a aquellos proyectos que se encuentren en implementación, y mediante el cual se obtienen los resultados respectivos
2.	se realizó la consolidación de la información faltante del documento, en especial en los resultados de resuspendido, en donde se realiza el cálculo de las emisiones de este para el año 2018 y en el documento se realiza la explicación de este cálculo y los resultados encontrados para este año y sus impactos en la calidad de aire. Adicionalmente se realizan correcciones enviadas por el profesional a cargo de la revisión del documento para posteriormente ordenar el documento para la presentación del mes actual. En este documento las secciones que tendrá ejecución para el siguiente mes serán el resumen ejecutivo, conclusiones, y estética del documento, para su presentación final. 
3.	en el marco de la actualización normativa del IBOCA, se busca la armonización con la normatividad nacional, sin dejar a un lado el papel central en la gestión del riesgo que tiene este indicador. Con base en las discusiones y análisis adelantados entre la SDA y la SDS, se avanzó en el borrador del Documento Técnico de Soporte para la primera etapa de modificación normativa del IBOCA. Este documento se desarrolla con base en las justificaciones conceptuales, técnicas y jurídicas del borrador del articulado. En este documento se debe incluir el análisis retrospectivo de los nuevos niveles de alerta que sean definidos en dicha modificación normativa,
Seguidamente, y en el marco del proceso que debe surtir los protocolos de actuación frente a las alertas por calidad del aire, se están realizando las mesas de trabajo y concertación para los mismos, en ese sentido durante este mes de noviembre, se adelantaron diferentes espacios de trabajo para exponer los resultados de la modelación de restricciones para las fuentes fijas y fuentes móviles en la ciudad durante episodios de contaminación atmosférica. Uno de ellos es la articulación entre la Secretaria Distrital de Ambiente y la Secretaria Distrital de Movilidad, y también reuniones con la ANDI exponiendo los resultados de los escenarios de modelación para las fuentes fijas industriales en la ciudad.</t>
  </si>
  <si>
    <t>El avance acumulado para la vigencia 2020 del cumplimiento en la ejecución de la meta es del 0.71% del informe programado esto basado en: las actividades de recolección de la información de las acciones de seguimiento y control de los grupos de fuentes fijas y fuentes móviles. 
El avance acumulado se registra, así:
•	Julio, 017% de avance en el Informe de gestión.
•	Agosto, 0,16% de avance en el Informe de gestión.
•	Septiembre, 0,01% de avance en el Informe de gestión.
•	Octubre, 0,17% de avance en el Informe de gestión.
Avance de Noviembre 0,20, basado en : Este documento contiene la presentación del estado del arte de los grupos competentes, descripción de la metodología desarrollada en las acciones de evaluación, seguimiento, control y monitoreo realizadas, con la cual se podrá determinar la toma de decisiones a nivel jurídico y la formulación de proyectos en el marco de la disminución los índices de contaminación ambiental.
Se registra el inicio de los monitoreos de fuentes fijas como laboratorio acreditado para la toma de muestras de los parámetros de NOx, SO2 y MP en las industrias objeto de control; se atienden las visitas de seguimiento de la autorización realizada por el IDEAM para cada uno de los programas de evaluación control y seguimiento de fuentes móviles. 
Así mismo, se realizan los seguimientos a empresas que son objeto de permiso de emisiones, operativos de medición en vía a vehículos que transitan en el Distrito Capital, visitas técnicas de auditoria a Centros de Diagnóstico Automotor CDA'S, vinculación de empresas al programa de autorregulación y requerimientos ambientales presentados por la ciudadanía.
Alcanzando un 71% del cumplimiento de la meta de inversión para la vigencia 2020.</t>
  </si>
  <si>
    <t>Para la vigencia 2020, se presenta un avance acumulado de la meta de cuatrocientas veintitrés (423) actuaciones, correspondientes al 99,30% de ejecución, es así: 
•	Julio; acciones de seguimiento y control de emisión de ruido; cinco (05) visitas y tres (03) documentos técnicos. Total, ocho (08) acciones.
•	Agosto; acciones de seguimiento y control de emisión de ruido; uno (01) visitas y seis (06) documentos técnicos. Total, siete (07) acciones.
•	Septiembre; acciones de seguimiento y control de emisión de ruido; sesenta y cinco (65) visitas y cuarenta (40) documentos técnicos. Total, ciento cinco (105) acciones.
•	Octubre; acciones de seguimiento y control de emisión de ruido; ciento veinte (120) visitas y veintiocho (28) documentos técnicos. Total, ciento cuarenta y ocho (148) acciones.
•	Noviembre; acciones de seguimiento y control de emisión de ruido; ciento veinte dos (122) visitas y treinta y tres (33) documentos técnicos. Total, ciento cincuenta y cinco acciones (155)
En general se distribuyen:
•	313 visitas técnicas (51 visitas efectivas con medición, 184 visitas efectivas para cerrar el caso y 78 visitas no efectivas (reprogramación).
•	110 actuaciones técnicas de otros documentos:
o	12 informes acciones populares
o	2 conceptos aclaratorios
o	1 presentación a la Cámara de Comercio de Bogotá
o	20 socializaciones OPEL
o	7 socializaciones CAL
o	1 socialización en mesa territorial
o	1 oficio de salida cerrando caso
o	3 estudios de ruido
o	2 WEBINAR con el MADS
o	1 informe CAL
o	60 oficios SUGA
Avance acumulado en la vigencia de 99,30%.</t>
  </si>
  <si>
    <t>En cumplimiento la meta en la vigencia 2020, se presenta un avance del 100%, basado en el desarrollo de actividades así: (tipología de la Meta Constante)
Julio: se avanza en el informe técnico semestral en el cual se relacionan estadística y geográficamente, las empresas que tramitan reactivación económica ante la alcaldía mayor de Bogotá, a fin de clasificar y priorizar posibles establecimientos objeto de monitoreo de ruido, que sirvan de insumo para la identificación del %PUAR. Avance en el periodo 100%.
Agosto: Durante el presente periodo se avanza en la proyección del informe técnico semestral en el cual se incluyen los datos de las estaciones de la Red de Monitoreo de Ruido Ambiental de Bogotá (RMRAB) y los avances en la formulación de procedimiento de validación de los datos generados. Avance en el periodo 100%.
Septiembre: Para el presente periodo se avanza en la proyección del informe semestral de operación de la red de ruido del Distrito, dentro del cual se incluye reporte de siniestros en nueve (9) de las estaciones de monitoreo de ruido que fueron objeto de vandalismo durante las protestas ocurridas el 09 y 10 se septiembre. Avance en el periodo 100%.
Octubre: Durante el presente periodo se avanza con la proyección del informe semestral de operación de la Red de Monitoreo de Ruido Ambiental de Bogotá (RMRAB) en el cual se destacan la realización de las siguientes actividades: reporte de empresas que solicitaron reactivación económica por COVID 19, acreditación del procedimiento de monitoreo de ruido ambiental ante el IDEAM, soporte y mantenimiento a las estaciones de monitoreo de ruido, actualización del visor monitor web MAIGRAI. Avance en el periodo 100%.
Noviembre:  Para el presente mes, se avanza con la proyección del informe semestral de operación de la Red de Monitoreo de Ruido Ambiental de Bogotá (RMRAB) en el cual se reportan principalmente  la realización de las siguientes actividades: reporte de empresas que solicitaron reactivación económica por COVID 19, acreditación del procedimiento de monitoreo de ruido ambiental ante el IDEAM, actividades de soporte y mantenimiento  realizado a las estaciones de monitoreo de ruido, actualización del visor monitor web MAIGRAI , reporte de estaciones de la RMRAB afectadas durante protestas y espacialización de datos de emisión de ruido Colector-ESRI. 
Avance acumulado según la tipología de la meta es del 100% para la vigencia 2020.</t>
  </si>
  <si>
    <t>Para la vigencia 2020 del Proyecto de Inversión se han realizado doscientas veinte nueve (229) acciones de evaluación, control y seguimiento, así:
•	Julio, 28 Acciones, avance de ejecución del 12%.
•	Agosto, 18 Acciones, avance de ejecución del 8%.
•	Septiembre, 136 Acciones, avance de ejecución del 62%.
•	Octubre, 37 Acciones, avance de ejecución del 16%.
•	Noviembre, No se realizaron acciones de evaluación sobre el resto del Distrito, se encaminaron a las Zonas de Alta Densidad.
Avance Acumulado 97,86%.</t>
  </si>
  <si>
    <t>Para el cumplimiento de las regulaciones asociadas al control de los factores de deterioro de calidad del Aire, Auditiva y Visual del Distrito Capital, la Secretaría Distrital de Ambiente durante el periodo del 1 de julio al 30 de noviembre de 2020 atendió el 100% de los conceptos técnicos que recomiendan una actuación Administrativa Sancionatoria, obteniendo el siguiente avance: 
Julio 2020:
N° de Conceptos Técnicos que recomiendan actuaciones administrativas sancionatorias: 13 
N° de Conceptos Técnicos atendidos jurídicamente: 13
Agosto 2020
N° de Conceptos Técnicos que recomiendan actuaciones administrativas sancionatorias: 13 
N° de Conceptos Técnicos atendidos jurídicamente: 13.
Septiembre 2020
N° de Conceptos Técnicos que recomiendan actuaciones administrativas sancionatorias: 133
N° de Conceptos Técnicos atendidos jurídicamente: 133.
Octubre 2020
N° de Conceptos Técnicos que recomiendan actuaciones administrativas sancionatorias: 13
N° de Conceptos Técnicos atendidos jurídicamente: 13.
Noviembre 2020
N° de Conceptos Técnicos que recomiendan actuaciones administrativas sancionatorias: 04
N° de Conceptos Técnicos atendidos jurídicamente: 04.  
Total, avance meta Noviembre 2020: 100 %
Por último, es importante tener presente que los avances en la magnitud de la meta están sujetos a la demanda de conceptos técnicos que remitan los grupos técnicos para ser acogidos jurídicamente; por lo tanto, el porcentaje de la magnitud programada corresponde al 100%</t>
  </si>
  <si>
    <t xml:space="preserve">Para el mes de enero el porcentaje de cumplimiento para este indicador es del 86%, se realizó el reporte de los mantenimientos preventivos y correctivos que se realizaron en el mes, se realizó la validación diaria de los datos de concentraciones de contaminantes criterio y parámetros meteorológicos que monitorea la RMCAB en las estaciones antiguas, quedando pendiente la validación de las estaciones nuevas por falta de contrato del profesional de validación. El reporte de operatividad para el mes de enero fue del 94,5% el cual es promedio de los datos validos de todos los parámetros de la red en las estaciones antiguas que se genera a través del software Envista. Se realizó el análisis de datos del mes de diciembre de 2020 y esta pendiente la terminación y publicación del informe mensual. Se mantiene el proceso de validación de los datos generados por las nuevas estaciones y los equipos. 
Para el mes de enero como parte del proceso de colaboración entre la Red de Monitoreo de Calidad del Aire de Bogotá – RMCAB y los diferentes actores en el establecimiento de esta red colaborativa de sensores de bajo costo se mantuvo la operación de los sensores instalados en la estación de Las ferias por parte del Colectivo CanAir.io, La Universidad Central y La Universidad Nacional. Adicionalmente, se mantiene en operación los sensores de bajo costo del Colectivo CanAir.io en la estación Kennedy y en la estación del Tunal.
Se realizaron mantenimientos preventivos y correctivos, validación y análisis de datos, incluyendo nuevas estaciones en la RMCAB (Bolivia, Usme, Ciudad Bolívar, Bosa, Jazmín) se mantuvo el plan de prueba de sensores de bajo costo.
</t>
  </si>
  <si>
    <t>Avance acumulado para la vigencia 2021 del cumplimiento en la ejecución de la meta es del 100% de la presentación de dos (02) informes programados esto basado en: las actividades de recolección de la información de las acciones de seguimiento y control de los grupos de fuentes fijas y fuentes móviles. 
El avance acumulado se registra, así:
•	Enero 0.1 % de avance en el Informe de gestión de la vigencia 2021.</t>
  </si>
  <si>
    <t>Avance acumulado para la vigencia 2020 del cumplimiento en la ejecución de la meta es del 100% de la presentación de uno (01) informe programado esto basado en: las actividades de recolección de la información de las acciones de seguimiento y control de los grupos de fuentes fijas y fuentes móviles. 
El avance acumulado se registra, así:
•	Julio, 017% de avance en el Informe de gestión.
•	Agosto, 0,16% de avance en el Informe de gestión.
•	Septiembre, 0,01% de avance en el Informe de gestión.
•	Octubre, 0,17% de avance en el Informe de gestión.
•	Noviembre, 0,20% de avance en el Informe de gestión.
Avance de Diciembre 0,29, basado en: Con el fin de construir el informe correspondiente al segundo semestre del año, se realizó intervención mediante actuaciones técnicas, visitas de control, acompañamientos, monitoreos, operativos de medición en vía a vehículos que transitan en el Distrito Capital, visitas técnicas de auditoria a Centros de Diagnóstico Automotor CDA'S, vinculación de empresas al programa de autorregulación y requerimientos ambientales presentados por la ciudadanía. entre otras actividades del grupo fuentes, con esta información se construyó el informe de acciones de evaluación, control y seguimiento a las fuentes de emisión.
Con lo anterior, se evidenciaron fortalezas y acciones de mejora a implementar en los grupos fuentes de emisión, para el cumplimiento de la meta.  
Alcanzando un 100% del cumplimiento de la meta de inversión para la vigencia 2020.</t>
  </si>
  <si>
    <t>En cumplimiento acumulativo de la meta para enero del 2021 se desarrollaron 36 actuaciones técnicas, correspondientes a acciones de seguimiento y control de emisión de ruido (visitas) y documentos técnicos, a continuación, se detallan las acciones:
•	Enero: 20 visitas – 16 documentos técnicos, total 36 acciones.
De las acciones realizadas se resume:
20 visitas técnicas discriminadas así: 8 visitas efectivas con medición, 4 visitas efectivas sin medición, 6 visitas efectivas para cerrar el caso y 2 visitas no efectivas para reprogramar.
16 actuaciones técnicas de otros documentos diferenciados así: 1 informe de la acción popular que cursa en la localidad Antonio Nariño, 1 concepto técnico aclaratorio, 14 oficios SUGA.</t>
  </si>
  <si>
    <t>Enero: Se proyectan informes relacionados con la operación de la Red de Monitoreo de Ruido Ambiental de Bogotá (RMRAB) durante el mes de enero del 2021 en la cual se reportan principalmente la realización de las siguientes actividades acreditación del procedimiento de monitoreo de ruido ambiental ante el IDEAM, actividades de soporte y mantenimiento realizado a las estaciones de monitoreo de ruido, espacialización de datos de emisión de ruido Colector - ESRI y se presenta el procedimiento interno de manejo de PQR´s a la secretaria de salud.</t>
  </si>
  <si>
    <t xml:space="preserve">Acumulado 2021: Para la vigencia del Proyecto de Inversión del año 2021 se han realizado doscientas setenta y ocho (278) acciones de evaluación, control y seguimiento:
Cuatro (04) operativos de control
Doce (12) visitas de evaluación a elementos mayores 
Doscientas sesenta y dos (262) evaluaciones a solicitudes de elementos de publicidad exterior visual.
Acumulado vigencia: Para la vigencia del año 2020 y 2021 del Proyecto de Inversión se han realizado mil quinientas sesenta (1.570) acciones de evaluación, control y seguimiento:
Cincuenta y nueve (59) operativos de control y seguimiento
Ciento nueve (109) visitas a elementos mayores
Tres (03) documentos técnicos
Tres (03) cargues de información a la plataforma SIIPEV.
Mil trescientos cuarenta y dos (1.342) evaluaciones a solicitudes de elementos de publicidad exterior visual.
</t>
  </si>
  <si>
    <t>Para el cumplimiento de las regulaciones asociadas al control de los factores de deterioro de calidad del Aire, Auditiva  y Visual del Distrito Capital,  la Secretaría Distrital de Ambiente programo ejecución de actividades a partir del mes de febrero del 2021.</t>
  </si>
  <si>
    <t>En la ejecución de la meta durante la vigencia 2021; Se han realizado mantenimientos preventivos y correctivos, validación y análisis de datos, incluyendo nuevas estaciones en la RMCAB (Bolivia, Usme, Ciudad Bolívar, Bosa, Jazmín) se mantuvo el plan de prueba de sensores de bajo costo.
Enero; el porcentaje de cumplimiento para este indicador es del 86%, el cual corresponde al reporte de los mantenimientos preventivos y correctivos que se realizaron en el mes, se realizó la validación diaria de los datos de concentraciones de contaminantes criterio y parámetros meteorológicos que monitorea la RMCAB en las estaciones antiguas, quedando pendiente la validación de las estaciones nuevas por falta de contrato del profesional de validación.
Febrero el porcentaje de cumplimiento para este indicador es del 75%, se realizó el reporte de los mantenimientos preventivos y correctivos que se realizaron en el mes, se realizó la validación diaria de los datos de concentraciones de contaminantes criterio y parámetros meteorológicos que monitorea la RMCAB. El reporte de operatividad para el mes de febrero fue del 95,6% el cual es promedio de los datos validos de todos los parámetros de la red en las estaciones que se genera a través del software Envista. Se realizó el análisis de datos del mes de enero de 2021 y esta pendiente la terminación y publicación del informe mensual. Se mantiene el proceso de validación de los datos generados por las nuevas estaciones y los equipos.</t>
  </si>
  <si>
    <t>Avance acumulado para la vigencia 2021 en el cumplimiento de la meta es del 5,3% de la presentación de ocho (08) informes programados esto basado en: las actividades de recolección de la información de las acciones de seguimiento y control de la calidad del aire de Bogotá.
El avance acumulado se registra, así:
•	Enero 0,2 % de avance en el Informe de gestión de la vigencia 2021.
•	Febrero 0,25% de avance en el Informe de gestión de la vigencia 2021.</t>
  </si>
  <si>
    <t>Avance acumulado para la vigencia 2021 del cumplimiento en la ejecución de la meta es del 13% de la presentación de dos (02) informes; programado esto basado en: las actividades de recolección de la información de las acciones de seguimiento y control de los grupos de fuentes fijas y fuentes móviles. 
El avance acumulado se registra, así:
•	Enero 0,15, de avance en la ejecución de la meta.
•	Febrero 0,11, de avance en la ejecución de la meta.
basado en: la intervención mediante actuaciones técnicas, visitas de control, acompañamientos, monitoreos, operativos de medición en vía a vehículos que transitan en el Distrito Capital, visitas técnicas de auditoria a Centros de Diagnóstico Automotor CDA'S, con esta información se construyó el informe de acciones de evaluación, control y seguimiento a las fuentes de emisión.</t>
  </si>
  <si>
    <t>En cumplimiento acumulativo de la meta para 2021 se han desarrollado 52 actuaciones técnicas así: 20 visitas (8 efectivas con medición, 6 efectivas cerrar caso, 2 no efectivas para reprogramar, 4 efectivas sin medición en cumplimiento a actos administrativos) y 32 actuaciones técnicas correspondientes a otros documentos (3 informes acciones populares para las localidades de Antonio Nariño, Bosa y Teusaquillo, 1 concepto técnico aclaratorio, 28 oficios SUGA para eventos de aglomeración de público en el Distrito Capital).  Avnce Acumulado en la vigencia 5,82%</t>
  </si>
  <si>
    <t>A corte Enero 20201, se proyecta el informe relacionado con la operación de la Red de Monitoreo de Ruido Ambiental de Bogotá (RMRAB), en la cual, se reportan principalmente la realización de las  actividades acreditación del procedimiento de monitoreo de ruido ambiental ante el IDEAM, actividades de soporte y mantenimiento realizado a las estaciones de monitoreo de ruido, espacialización de datos de emisión de ruido Colector - ESRI y se presentó el procedimiento interno de manejo de PQR´s a la secretaria de salud.
Febrero: Se proyecta informe relacionado con la operación de la Red de Monitoreo de Ruido Ambiental de Bogotá (RMRAB), se reportan principalmente la realización de las siguientes actividades, de soporte y mantenimiento realizado a las estaciones de monitoreo de ruido, y el avance en el proceso de instalación de las estaciones de la RMRAB afectadas durante protestas. contratación del personal para a la operación de la RMRAB.
Avance acumulado en la vigencia : 100%."</t>
  </si>
  <si>
    <t>Acumulado en la vigencia 2021: se han realizado cuatrocientas ochenta y nueve (489) acciones de evaluación, control y seguimiento:
•	Cuatro (04) operativos de control
•	Doce (12) visitas de evaluación a elementos mayores 
•	Cuatrocientos sesenta y tres (473) evaluaciones a solicitudes de elementos de publicidad exterior visual.
Avance en a la ejecución de la Meta Vigencia; 64,43%.
Acumulada vigencia: Para la vigencia del año 2020 y 2021 del Proyecto de Inversión se han realizado mil setecientas ochenta y un (1.781) acciones de evaluación, control y seguimiento:
Cincuenta y nueve (59) operativos de control y seguimiento
Ciento nueve (109) visitas a elementos mayores
Tres (03) documentos técnicos
Tres (03) cargues de información a la plataforma SIIPEV.
Cincuenta y cuatro (54) visitas IVC a elementos menores
Mil quinientas cincuenta y tres (1.553) evaluaciones a solicitudes de elementos de publicidad exterior visual.  Avance en a la ejecución de la Meta Cuatrienio; 44,53%.</t>
  </si>
  <si>
    <t>La Secretaría Distrital de Ambiente del 01 de febrero al 28 de febrero de 2021 en ejercicio de su función sancionatoria acogió el 100% de los conceptos técnicos relacionados con el recurso ambiental aire, auditiva y visual y que recomiendan una actuación administrativa sancionatoria, como se relaciona a continuación: 
No de Conceptos Técnicos que recomiendan actuaciones administrativas sancionatorias: 18 Conceptos Técnicos.
No de Conceptos Técnicos atendidos jurídicamente: 18 Conceptos Técnicos acogidos
Avance total corte 28 de febrero de 2021: 100%</t>
  </si>
  <si>
    <t>En la ejecución de la meta durante la vigencia 2021, se realizaron mantenimientos preventivos y correctivos, validación y análisis de datos, incluyendo nuevas estaciones en la red (Bolivia, Usme, Ciudad Bolívar, Bosa, Jazmín), y además, se mantuvo el plan de prueba de sensores de bajo costo.
Para el mes de Enero, el porcentaje de cumplimiento para este indicador es del 86%, el cual corresponde al reporte de los mantenimientos preventivos y correctivos que se realizaron en el mes, se realizó la validación diaria de los datos de concentraciones de contaminantes criterio y parámetros meteorológicos que monitorea la red en las estaciones antiguas, quedando pendiente la validación de las estaciones nuevas por falta de contrato del profesional de validación.
Febrero: el porcentaje de cumplimiento para este indicador es del 75%, donde se realizó el reporte de los mantenimientos preventivos y correctivos para el mes, validación diaria de los datos de concentraciones de contaminantes criterio y parámetros meteorológicos que monitorea la red. Se realizó el análisis de datos del mes de enero de 2021 y esta pendiente la terminación y publicación del informe mensual. Se mantiene el proceso de validación de los datos generados por las nuevas estaciones y los equipos.</t>
  </si>
  <si>
    <t>En el marco de la gestión integral de la calidad del aire de Bogotá, se ha venido trabajando en el desarrollo de 3 documentos técnicos, los cuales son: 1. Publicación a consulta publica de los documentos relacionados con el Plan Aire, recopilando observaciones realizadas por los actores externos y posteriormente realizando los debidos ajustes al documento. 2. Concertación de medidas de restricción a las fuentes móviles entre la SDA Y SDM, así mismo, en el marco de actuación definido en la Estrategia Distrital de Respuesta se remitió al IDIGER para su revisión, aprobación y posterior divulgación. 3. Identificación de la metodología del primer informe de modelación por medio de la validación de datos e información del capítulo de modelación de calidad de aire en la ciudad del Informe Anual de Calidad del Aire Año 2019.
Avance acumulado para la vigencia 2021 en el cumplimiento de la meta es del 12,50%. Este seguimiento corresponde a las actividades de recolección de la información, y de las acciones de seguimiento y control de la calidad del aire de Bogotá.
El avance acumulado se registra, así:
•	Enero 0,2.
•	Febrero 0,25.
•	Marzo 0,55 de avance en el Informe de gestión de la vigencia 2021.</t>
  </si>
  <si>
    <t>Avance acumulado para la vigencia 2021 del cumplimiento en la ejecución de la meta es del 36%. Este avance está basado en las actividades de recolección de información de las acciones de seguimiento y control de los grupos de fuentes fijas y fuentes móviles. También en la intervención mediante actuaciones técnicas, visitas de control, acompañamientos, monitoreos, operativos de medición en vía a vehículos que transitan en el Distrito Capital, visitas técnicas de auditoria a Centros de Diagnóstico Automotor CDA'S, con esta información se construyó el informe de acciones de evaluación, control y seguimiento a las fuentes de emisión.
El avance acumulado se registra, así:
•	Enero 0,15, de avance en la ejecución de la meta.
•	Febrero 0,11, de avance en la ejecución de la meta.
•	Marzo 0,1, de avance en la ejecución de la meta.</t>
  </si>
  <si>
    <t>En cumplimiento acumulativo de la meta para 2021 se han desarrollado 156 actuaciones técnicas así: 109 visitas (13 efectivas con medición, 57 efectivas cerrar caso, 30 no efectivas para reprogramar, 9 efectivas sin medición en cumplimiento a actos administrativos) y 47 actuaciones técnicas correspondientes a otros documentos (5 informes acciones populares para las localidades de Antonio Nariño, Bosa y Teusaquillo, 1 concepto técnico aclaratorio, 41 oficios SUGA para eventos de aglomeración de público en el Distrito Capital).</t>
  </si>
  <si>
    <t>La meta presenta un avance del 100%, en el I trimestre del 2021 dado por:
 *Enero 2021, se proyecta el informe relacionado con la operación de la Red de Monitoreo de Ruido Ambiental de Bogotá (RMRAB), en la cual, se reportan principalmente la realización de las actividades acreditación del procedimiento de monitoreo de ruido ambiental ante el IDEAM, actividades de soporte y mantenimiento realizado a las estaciones de monitoreo de ruido, espacialización de datos de emisión de ruido Colector - ESRI y se presentó el procedimiento interno de manejo de PQR´s a la secretaria de salud.
*Febrero: actividades, de soporte y mantenimiento realizado a las estaciones de monitoreo de ruido, y el avance en el proceso de instalación de las estaciones de la RMRAB afectadas durante protestas. contratación del personal para a la operación de la RMRAB.
*Marzo: Se genera informe de avance semestral del mes de marzo relacionado con la operación de la Red de Monitoreo de Ruido Ambiental de Bogotá (RMRAB) durante el primer trimestre del 2021 en la cual se reportan principalmente la realización de las actividades de soporte y mantenimiento realizado a las estaciones de monitoreo de ruido y el avance en el proceso de instalación de las estaciones de la RMRAB afectadas durante protestas, además se realizaron los estudios previos para la renovación de los contratos de arrendamiento y se realizó el análisis técnico de los datos reportados en el mes de enero en el visor WEB MAIGRAI, solicitudes de cotización pata la compra de software y solicitudes de cotizaciones para la calibración de equipos.</t>
  </si>
  <si>
    <t>Para la vigencia del Proyecto de Inversión del año 2021 se han realizado mil trescientas veinte y seis (1.326) acciones de evaluación, control y seguimiento:
Cuatro (05) operativos de control.
Veinticuatro (24) visitas de evaluación a elementos mayores.
Un (01) cargue de información a la plataforma SIIPEV.
Mil doscientas noventa y seis (1.296) evaluaciones a solicitudes de elementos de publicidad exterior visual.
Acumulado Cuatrienio: Para la vigencia del año 2020 y 2021 del Proyecto de Inversión se han realizado dos mil seiscientas diez y ocho (2.618) acciones de evaluación, control y seguimiento:
Sesenta (60) operativos de control y seguimiento
Ciento veintiún (121) visitas a elementos mayores
Tres (03) documentos técnicos
Cuatro (04) cargues de información a la plataforma SIIPEV.
Cincuenta y cuatro (54) visitas IVC a elementos menores
Dos mil trescientas setenta y seis (2.376) evaluaciones a solicitudes de elementos de publicidad exterior visual.</t>
  </si>
  <si>
    <t>La Secretaría Distrital de Ambiente del 01 de enero al 31 de marzo de 2021 en ejercicio de su función sancionatoria acogió el 100% de los conceptos técnicos relacionados con el recurso ambiental aire, auditiva y visual y que recomiendan una actuación administrativa sancionatoria, como se relaciona a continuación: 
No de Conceptos Técnicos que recomiendan actuaciones administrativas sancionatorias: 24 Conceptos Técnicos.
No de Conceptos Técnicos atendidos jurídicamente: 24 Conceptos Técnicos acogidos
Avance total corte 31 de marzo de 2021: 100%.</t>
  </si>
  <si>
    <t>Durante la ejecución 2021, se han realizado mantenimientos preventivos y correctivos, validación y análisis de datos, diaria de las concentraciones de contaminantes criterio y parámetros meteorológicos que monitorea la RMCAB incluyendo nuevas estaciones en la red (Bolivia, Usme, Ciudad Bolívar, Bosa, Jazmín, Colina y Móvil Fontibón), así como sus respectivos informes. Además, se realizó la validación diaria de los datos de concentraciones de contaminantes criterio y parámetros meteorológicos que monitorea la red en las estaciones antiguas. Se mantuvo el plan de prueba de sensores de bajo costo.
Se realizó el análisis de datos del mes de marzo de 2021. 
Como parte del proceso de colaboración entre la Red de Monitoreo de Calidad del Aire de Bogotá – RMCAB y los diferentes actores en el establecimiento de esta red colaborativa de sensores de bajo costo se mantuvo la operación de los sensores instalados en la estación de Las ferias por parte del Colectivo CanAir.io, La Universidad Central y La Universidad Nacional. Adicionalmente, se mantiene en operación los sensores de bajo costo del Colectivo CanAir.io en la estación Kennedy y en la estación del Tunal.
Para el mes de Abril se realizó el análisis de datos del mes de marzo de 2021. Asimismo, el equipo de la RMCAB en el mes de abril publicó los informes de diciembre 2020, enero, febrero 2021 y el informe trimestral oct-dic 2020 que estaba retrasado y se avanzo en la elaboración del informe de marzo de 2021.</t>
  </si>
  <si>
    <t>En el marco de la gestión integral de la calidad del aire de Bogotá, hasta la fecha se ha venido trabajando en el desarrollo de 3 documentos técnicos, los cuales son: 
1.	Revisión y ajuste al documento técnico de Plan Aire, así mismo, su envió a las diferentes secretarias firmantes para su respectiva revisión y firma del Decreto Distrital del Plan Aire y posteriormente, remisión del documento técnico, anexos y Decreto del Plan aire a la alcaldía mayor de Bogotá.
2.	Suscripción entre la SDA y SDS de la Resolución por la cual se establece el nuevo “Índice Bogotano de Calidad del Aire y Riesgo en salud - IBOCA- para la gestión conjunta del riesgo de deterioro del ambiente y de salud humana”. Así mismo, en relación con el Plan de Contingencia y Emergencia Distrital por contaminación atmosférica para la atención de eventos por contaminación atmosférica fue remitido para su revisión al IDIGER.
3.	Adición de los resultados gráficos de modelación y calidad del aire al primer informe de modelación, de igual manera, se han enlistado las posibilidades de mejoras del Sistema Integrado de Modelación de Calidad de Aire.
Este avance de uno (1,6) en términos numéricos, corresponde a:
•	Enero 0,2.
•	Febrero 0,25.
•	Marzo 0,55 
•	Abril 0,60; de avance en el Informe de gestión de la vigencia 2021.</t>
  </si>
  <si>
    <t>En el cumplimiento del (01) informes de gestión programados para la vigencia 2021; se ha alcanzado un avance acumulado en la ejecución de la meta del 0,51, equivalente a un 51% respecto a lo programado. 
Este avance está basado en las actividades de recolección de información de las acciones de evaluación, control y seguimiento de los grupos de fuentes fijas y fuentes móviles. También en la intervención mediante actuaciones técnicas, visitas de control y seguimiento, acompañamientos, monitoreos, operativos de medición en vía a vehículos que transitan en el Distrito Capital, visitas técnicas de auditoria a Centros de Diagnóstico Automotor CDA'S, con esta información se construyó el informe de acciones de evaluación, control y seguimiento a las fuentes de emisión.
El avance acumulado se registra, así:
•	Enero 0,15, de avance en la ejecución de la meta.
•	Febrero 0,11, de avance en la ejecución de la meta.
•	Marzo 0,10, de avance en la ejecución de la meta.
•Abril 0,15, de avance en la ejecución de la meta.</t>
  </si>
  <si>
    <t>Para la vigencia 2021, se han desarrollado 272 actuaciones técnicas que corresponde a un 30,46% respecto a lo programado, y a su vez, un avance del 16,23% durante el cuatrienio.
Este avance del 2021, se conforma de 205 visitas (25 efectivas con medición, 22 efectivas sin medición en cumplimiento a actos administrativos, 97 efectivas para cerrar el caso, 61 no efectivas para reprogramar) y 67 actuaciones técnicas correspondientes a otros documentos (8 informes de acciones populares, para las localidades de Antonio Nariño, Bosa y Teusaquillo, 1 concepto técnico aclaratorio, 52 oficios SUGA, 6 participaciones en reuniones interinstitucionales).</t>
  </si>
  <si>
    <t>La meta presenta un avance del 100% para la vigencia, que corresponde a:
 *Enero 2021, se proyecta el informe relacionado con la operación de la Red de Monitoreo de Ruido Ambiental de Bogotá (RMRAB), en la cual, se reportan principalmente la realización de las actividades acreditación del procedimiento de monitoreo de ruido ambiental ante el IDEAM, actividades de soporte y mantenimiento realizado a las estaciones de monitoreo de ruido, espacialización de datos de emisión de ruido Colector - ESRI y se presentó el procedimiento interno de manejo de PQR´s a la secretaria de salud.
*Febrero: actividades, de soporte y mantenimiento realizado a las estaciones de monitoreo de ruido, y el avance en el proceso de instalación de las estaciones de la RMRAB afectadas durante protestas. contratación del personal para a la operación de la RMRAB.
*Marzo: Se genera informe de avance semestral del mes de marzo relacionado con la operación de la Red de Monitoreo de Ruido Ambiental de Bogotá (RMRAB) durante el primer trimestre del 2021 en la cual se reportan principalmente la realización de las actividades de soporte y mantenimiento realizado a las estaciones de monitoreo de ruido y el avance en el proceso de instalación de las estaciones de la RMRAB afectadas durante protestas, además se realizaron los estudios previos para la renovación de los contratos de arrendamiento y se realizó el análisis técnico de los datos reportados en el mes de enero en el visor WEB MAIGRAI, solicitudes de cotización pata la compra de software y solicitudes de cotizaciones para la calibración de equipos.   
                                                                                                                                                                                                                                          * Abril:  Se genera informe de avance semestral del mes de abril relacionado con la operación de la Red de Monitoreo de Ruido Ambiental de Bogotá (RMRAB) durante los cuatro primeros meses del 2021 en la cual se reportan principalmente la realización de las   actividades de soporte y mantenimiento  realizado a las estaciones de monitoreo de ruido y la instalación de las 10 estaciones de la RMRAB afectadas durante protestas, además se firmaron los estudios previos para la renovación de los contratos de arrendamiento y se realizó el análisis técnico de los datos reportados en el mes de enero en el visor MAIGRAI, e avanzo en la realización del estudio previo para la compra de un software de modelación acústica.</t>
  </si>
  <si>
    <t>Para la vigencia del Proyecto de Inversión del año 2021 se han realizado mil setecientas setenta y cuatro (1.501) acciones de evaluación, control y seguimiento:
Quince (15) operativos de control.
Cuarenta y ocho (48) visitas de evaluación a elementos mayores.
Uno (01) cargue de información a la plataforma SIIPEV.
Mil cuatrocientos treinta y siete(1.437) evaluaciones a solicitudes de elementos de publicidad exterior visual.
Lo anterior, dando un avance para el cuatrienio de (2.793)  acciones de evaluación, control y seguimiento 70 operativos de control y seguimiento,145 visitas a elementos mayores, 03 documentos técnicos, 05 cargues de información a la plataforma SIIPEV, 54 visitas a elementos menores, 2.516 evaluaciones a solicitudes de elementos de publicidad exterior visual.</t>
  </si>
  <si>
    <t>La Secretaría Distrital de Ambiente del 01 de enero al 30 de abril de 2021 en ejercicio de su función sancionatoria acogió el 64% de los conceptos técnicos relacionados con el recurso ambiental aire, auditiva y visual y que recomiendan una actuación administrativa sancionatoria, como se relaciona a continuación: 
No de Conceptos Técnicos que recomiendan actuaciones administrativas sancionatorias: 108 Conceptos Técnicos.
No de Conceptos Técnicos atendidos jurídicamente: 69 Conceptos Técnicos acogidos
Avance total corte 30 de abril de 2021: 64%</t>
  </si>
  <si>
    <t>3201013 - Documentos de lineamientos técnicos para mejorar la calidad ambiental de las áreas urbanas</t>
  </si>
  <si>
    <t>Valor correspondiente a la ejecución de OPS.</t>
  </si>
  <si>
    <t>No se ejecutaron recuros</t>
  </si>
  <si>
    <t xml:space="preserve">Realizar 8 informes de acciones de evaluación, control y seguimiento a fuentes fijas y fuentes móviles incluidos Centros de Diagnóstico Automotor que operan en el Distrito Capital. </t>
  </si>
  <si>
    <t>3201021 - Documentos de instrumentos técnicos de evaluación y seguimiento ambiental</t>
  </si>
  <si>
    <t>Realizar 4.700 acciones de evaluación, seguimiento y control de emisión de ruido a los establecimientos de comercio, industria y servicio ubicados en el perímetro urbano del DC.</t>
  </si>
  <si>
    <t>3201010 - Servicio de divulgación de la incorporación de consideraciones ambientales en la planificación sectorial</t>
  </si>
  <si>
    <t>100% de las acciones para operar, mantener y ampliar la red de monitoreo de ruido ambiental de Bogotá para la identificación del porcentaje de Población Urbana Afectada por Ruido (%PUAR) en el perímetro urbano del DC</t>
  </si>
  <si>
    <t>3201005 - Documentos de estudios técnicos para el fortalecimiento del desempeño ambiental de los sectores productivos</t>
  </si>
  <si>
    <t>Realizar 4.000 acciones técnico-jurídicas de evaluación, seguimiento y control sobre los elementos de publicidad exterior visual - PEV instalados en el perímetro urbano del D.C.</t>
  </si>
  <si>
    <t>Valor correspondiente a la ejecución de OPS. Y pago en la ejecución de contratos de Bienes y Servicios.</t>
  </si>
  <si>
    <t>III ACTIVIDADES SUIFT (PRESUPUESTO) VIGENCIA 2022</t>
  </si>
  <si>
    <t>PRESUPUESTO VIGENCIA SUIFP 2022</t>
  </si>
  <si>
    <t>PRESUPUESTO
OBLIGADO (GIRADO) 2022</t>
  </si>
  <si>
    <t>Estaciones de monitoreo con mantenimiento realizado</t>
  </si>
  <si>
    <t>Número</t>
  </si>
  <si>
    <t>Planes de Acción o Gestión Formulados.</t>
  </si>
  <si>
    <t>Informes elaborados para acompañar la toma de decisiones de autoridades ambientales</t>
  </si>
  <si>
    <t>Visitas realizadas a predios</t>
  </si>
  <si>
    <t>Sistemas de Información Diseñados, Actualizados o en Funcionamiento</t>
  </si>
  <si>
    <t>Informes de seguimiento realizados</t>
  </si>
  <si>
    <t>Porcentaje De Procesos Ejecutados</t>
  </si>
  <si>
    <t xml:space="preserve">"Durante la ejecución 2021, se han realizado mantenimientos preventivos y correctivos, validación y análisis de datos, diaria de las concentraciones de contaminantes criterio y parámetros meteorológicos que monitorea la RMCAB incluyendo las nuevas estaciones en la red (Bolivia, Usme, Ciudad Bolívar, Bosa, Jazmín, Colina y Móvil Fontibón), así como sus respectivos informes. Se mantuvo el plan de prueba de sensores de bajo costo.
Se realizó y publicó el informe mensual de abril de 2021. 
Como parte del proceso de colaboración entre la Red de Monitoreo de Calidad del Aire de Bogotá – RMCAB y los diferentes actores en el establecimiento de esta red colaborativa de sensores de bajo costo se mantuvo la operación de los sensores instalados en la estación de Las Ferias por parte del Colectivo CanAir.io, La Universidad Central y La Universidad Nacional. Se mantiene en operación los sensores de bajo costo del Colectivo CanAir.io en la estación Kennedy y en la estación del Tunal. Adicionalmente se realizó una visita de inspección a la estación de Las Ferias con el personal del proceso de consultoría que lidera el CIMAB para este tema.
Para el mes de mayo se elaboró y publicó el informe mensual de abril de 2021. Asimismo, el equipo de la RMCAB en el mes de mayo publicó el informe de marzo 2021."
</t>
  </si>
  <si>
    <t xml:space="preserve">En el marco de la gestión integral de la calidad del aire de Bogotá, hasta la fecha (Mayo 2021), se ha venido trabajando en el desarrollo de 3 documentos técnicos, los cuales son: 1. Documento técnico de Plan Aire con sus respectivos anexos y el Decreto del Plan Aire, los cual se encuentra en proceso de firma en el despacho de la Alcaldía de Bogotá. 2. Plan de Contingencia Distrital para la atención de episodios por condiciones desfavorables de calidad del aire en la ciudad, el cual se encuentra en proceso de divulgación con las alcaldías municipales de Soacha, Mosquera, Funza, la CAR y SDM de Bogotá, así mismo, se avanzó en la conceptualización del Análisis Costo Beneficio de las medidas de restricción, este instrumento permitirá elegir las restricciones que impacten en menor medida en términos económicos y sociales durante los episodios de contaminación atmosférica. 3. Documento de modelación, en el cual se ha avanzado en la consolidación de las emisiones que se presentan en la ciudad con sus respectivos resultados, de igual manera se realizó la revisión y organización del documento, buscando validar el modelo de calidad del aire y determinar las oportunidades de mejora.
</t>
  </si>
  <si>
    <t xml:space="preserve">"En el cumplimiento de los dos (02) informes de gestión programados para la vigencia 2021; se ha alcanzado un avance acumulado en la ejecución de la meta del 0,65, equivalente a un 25,5% respecto a lo programado. 
Este avance está basado en las actividades de recolección de información de las acciones de evaluación, control y seguimiento de los grupos de fuentes fijas y fuentes móviles. También en la intervención mediante actuaciones técnicas, visitas de control y seguimiento, acompañamientos, monitoreos, operativos de medición en vía a vehículos que transitan en el Distrito Capital, visitas técnicas de auditoria a Centros de Diagnóstico Automotor CDA'S, con esta información se construyó el informe de acciones de evaluación, control y seguimiento a las fuentes de emisión.
El avance acumulado se registra, así:
•Enero 0,15, de avance en la ejecución de la meta.
•Febrero 0,11, de avance en la ejecución de la meta.
•Marzo 0,10, de avance en la ejecución de la meta.
•	Abril 0,15, de avance en la ejecución de la meta.
•	Mayo 0,14, de avance en la ejecución de la meta."
</t>
  </si>
  <si>
    <t xml:space="preserve">"La Secretaría Distrital de Ambiente, en el marco de las acciones de seguimiento y control de emisión de ruido a los establecimientos de comercio, industria y servicio ubicados en el perímetro urbano del D.C., presenta avance acumulado al Plan de Desarrollo de (883) acciones, de los cuales (491) corresponde a la vigencia 2020 y (348) en la vigencia 2021, así:
•	Enero: (20) visitas y (16) documentos técnicos, total (36) acciones.
•	Febrero: (16) documentos técnicos.
•	Marzo: (89) visitas y (15) documentos técnicos, total (104) acciones.
•	 Abril: (96) visitas y (20) documentos técnicos, total mes (116) acciones, 
•	 Mayo: (76) visitas y (50) documentos técnicos, total mes (26) acciones, acumulado (348) acciones
Vigencia 2020:
Se realizaron 491 actuaciones técnicas, correspondientes a las 374 visitas relacionadas con acciones de seguimiento y control a emisiones de ruido y 117 documentos técnicos."
</t>
  </si>
  <si>
    <t xml:space="preserve">"La meta presenta un avance del 100% para la vigencia, que corresponde a:
 *Enero 2021, se proyecta el informe relacionado con la operación de la Red de Monitoreo de Ruido Ambiental de Bogotá (RMRAB), en la cual, se reportan principalmente la realización de las actividades acreditación del procedimiento de monitoreo de ruido ambiental ante el IDEAM, actividades de soporte y mantenimiento realizado a las estaciones de monitoreo de ruido, espacialización de datos de emisión de ruido Colector - ESRI y se presentó el procedimiento interno de manejo de PQR´s a la secretaria de salud.
*Febrero: actividades, de soporte y mantenimiento realizado a las estaciones de monitoreo de ruido, y el avance en el proceso de instalación de las estaciones de la RMRAB afectadas durante protestas. contratación del personal para a la operación de la RMRAB.
*Marzo: Se genera informe de avance semestral del mes de marzo relacionado con la operación de la Red de Monitoreo de Ruido Ambiental de Bogotá (RMRAB) durante el primer trimestre del 2021 en la cual se reportan principalmente la realización de las actividades de soporte y mantenimiento realizado a las estaciones de monitoreo de ruido y el avance en el proceso de instalación de las estaciones de la RMRAB afectadas durante protestas, además se realizaron los estudios previos para la renovación de los contratos de arrendamiento y se realizó el análisis técnico de los datos reportados en el mes de enero en el visor WEB MAIGRAI, solicitudes de cotización pata la compra de software y solicitudes de cotizaciones para la calibración de equipos.
* Abril:  Se genera informe de avance semestral del mes de abril relacionado con la operación de la Red de Monitoreo de Ruido Ambiental de Bogotá (RMRAB) durante los cuatro primeros meses del 2021 en la cual se reportan principalmente la realización de las   actividades de soporte y mantenimiento  realizado a las estaciones de monitoreo de ruido y la instalación de las 10 estaciones de la RMRAB afectadas durante protestas, además se firmaron los estudios previos para la renovación de los contratos de arrendamiento y se realizó el análisis técnico de los datos reportados en el mes de enero en el visor MAIGRAI, e avanzo en la realización del estudio previo para la compra de un software de modelación acústica.
Mayo: Para el mes de Mayo se proyecta en informe de operación de la Red de Monitoreo de Ruido Ambiental de Bogotá (RMRAB), en el cual se relacionan las operaciones y mantenimientos realizados a las estaciones que se encuentran en operación actualmente."
</t>
  </si>
  <si>
    <t xml:space="preserve">"Para la vigencia del Proyecto de Inversión del año 2021 se han realizado dos mil setecientas seis (2.706) acciones de evaluación, control y seguimiento:
Quince (15) operativos de control.
Sesenta (60) visitas de evaluación a elementos mayores.
Un (01) documento técnico firmado.
Tres (03) cargues de información a la plataforma SIIPEV.
Dos mil seiscientas veintisiete (2.627) evaluaciones a solicitudes de elementos de publicidad exterior visual.  Lo anterior, dando un avance para el cuatrienio de 3.998 acciones de evaluación, control y seguimiento 70 operativos de control y seguimiento,157 visitas a elementos mayores, 04 documentos técnicos, 54 visitas a elementos menores, 06 cargues de información a la plataforma SIIPEV, 3.707 evaluaciones a solicitudes de elementos de publicidad exterior visual."
</t>
  </si>
  <si>
    <t xml:space="preserve">"La Secretaría Distrital de Ambiente del 01 de enero al 31 de mayo de 2021 en ejercicio de su función sancionatoria acogió el 87.7% de los conceptos técnicos relacionados con el recurso ambiental aire, auditiva y visual y que recomiendan una actuación administrativa sancionatoria, como se relaciona a continuación: 
No de Conceptos Técnicos que recomiendan actuaciones administrativas sancionatorias: 122 Conceptos Técnicos.
No de Conceptos Técnicos atendidos jurídicamente: 107 Conceptos Técnicos acogidos
Avance  corte 31 mayo de 2021: 87.7%"
</t>
  </si>
  <si>
    <t>En cumplimiento acumulativo de la meta para 2021 se han desarrollado 52 actuaciones técnicas así: 20 visitas (8 efectivas con medición, 6 efectivas cerrar caso, 2 no efectivas para reprogramar, 4 efectivas sin medición en cumplimiento a actos administrativos) y 32 actuaciones técnicas correspondientes a otros documentos (3 informes acciones populares para las localidades de Antonio Nariño, Bosa y Teusaquillo, 1 concepto técnico aclaratorio, 28 oficios SUGA para eventos de aglomeración de público en el Distrito Capital).  Avance Acumulado en la vigencia 5,82%</t>
  </si>
  <si>
    <t>"Para el primer trimestre de la vigencia 2021, se han realizado los mantenimientos mensuales a todos los equipos de todas las estaciones de monitoreo de la red. Para el mes de abril de la vigencia 2021, se han realizado los mantenimientos mensuales a todos los equipos de todas las estaciones de monitoreo de la red.
Para el mes de mayo de la vigencia 2021, se han realizado los mantenimientos mensuales a todos los equipos de todas las estaciones de monitoreo de la red. Sin embargo, se generaron retrasos significativos en la atención a los correctivos debido a la capacidad operativa limitada que tiene la Red actualmente por no contar con los vehículos necesarios para atender las 20 estaciones actuales.
Acumulado de la actividad del 36,16%."</t>
  </si>
  <si>
    <t>"En el cumplimiento de los dos (02) informes de gestión programados para la vigencia 2021; se ha alcanzado un avance acumulado en la ejecución de la meta del 0,65, equivalente a un 25,5% respecto a lo programado. 
Este avance está basado en las actividades de recolección de información de las acciones de evaluación, control y seguimiento de los grupos de fuentes fijas y fuentes móviles. También en la intervención mediante actuaciones técnicas, visitas de control y seguimiento, acompañamientos, monitoreos, operativos de medición en vía a vehículos que transitan en el Distrito Capital, visitas técnicas de auditoria a Centros de Diagnóstico Automotor CDA'S, con esta información se construyó el informe de acciones de evaluación, control y seguimiento a las fuentes de emisión.
El avance acumulado se registra, así:
•Enero 0,15, de avance en la ejecución de la meta.
•Febrero 0,11, de avance en la ejecución de la meta.
•Marzo 0,10, de avance en la ejecución de la meta.
•	Abril 0,15, de avance en la ejecución de la meta.
•	Mayo 0,14, de avance en la ejecución de la meta.</t>
  </si>
  <si>
    <t>"ENERO 20 visitas así: 8 efectivas con medición, 4 efectivas sin medición, correspondientes a actos administrativos, 6 efectivas para cerrar el caso y 2 no efectivas (reprogramar). 
FEBRERO 0 visitas.
MARZO 89 visitas así: 5 visitas efectivas con medición, 5 visitas efectivas sin medición, 51 visitas efectivas cerrar caso, 28 visitas no efectivas (reprogramar). 
ABRIL 96 visitas así: 12 visitas efectivas con medición, 13 visitas efectivas en atención a actos administrativos, 40 visitas efectivas para cerrar el caso y 31 visitas no efectivas (reprogramar).
MAYO: 61 visitas.</t>
  </si>
  <si>
    <t>Durante la vigencia 2021, se ha realizado la construcción y proyección del informe relacionado con la operación de la Red de Monitoreo de Ruido Ambiental de Bogotá (RMRAB) durante los meses de enero, febrero, marzo, abril y Mayo del 2021 en la cual se reportan principalmente la realización de las siguientes actividades: acreditación del procedimiento de monitoreo de ruido ambiental ante el IDEAM, actividades de soporte y mantenimiento realizado a las estaciones de monitoreo de ruido, espacialización de datos de emisión de ruido Colector - ESRI y se presenta el procedimiento interno de manejo de PQR´s a la Secretaría de Salud, la firma  de estudios previos para la renovación de los contratos del Edificio Ejecutivo Plaza, Edificio Marly 51, Edificio Restrepo y Hotel Morrison.</t>
  </si>
  <si>
    <t>"Para la vigencia del Proyecto de Inversión del año 2021 se han realizado dos mil setecientas seis (2.706) acciones de evaluación, control y seguimiento:
Quince (15) operativos de control.
Sesenta (60) visitas de evaluación a elementos mayores.
Un (01) documento técnico firmado.
Tres (03) cargues de información a la plataforma SIIPEV.
Dos mil seiscientas veintisiete (2.627) evaluaciones a solicitudes de elementos de publicidad exterior visual.  Lo anterior, dando un avance para el cuatrienio de 3.998 acciones de evaluación, control y seguimiento 70 operativos de control y seguimiento,157 visitas a elementos mayores, 04 documentos técnicos, 54 visitas a elementos menores, 06 cargues de información a la plataforma SIIPEV, 3.707 evaluaciones a solicitudes de elementos de publicidad exterior visual.</t>
  </si>
  <si>
    <t>"Durante la ejecución 2021, se han realizado mantenimientos preventivos y correctivos, validación y análisis de datos, diaria de las concentraciones de contaminantes criterio y parámetros meteorológicos que monitorea la RMCAB incluyendo las nuevas estaciones en la red (Bolivia, Usme, Ciudad Bolívar, Bosa, Jazmín, Colina y Móvil Fontibón), así como sus respectivos informes. Se mantuvo el plan de prueba de sensores de bajo costo.
Se realizó y publicó el informe trimestral ene-abr 2021 y anual 2020. Adicionalmente se publicó el informe mensual de mayo 2021.
Se mantiene el proceso de validación de los datos generados por las nuevas estaciones y los equipos. Se realizó la revisión de la parte jurídica y de cooperación a la estructura del Convenio entre la SDA y la CAR de Cundinamarca, estableciendo necesidades de poder definir el tipo de convenio a realizar, el periodo de ejecución y el rol de cada entidad para los formatos a utilizar y el cargue de los documentos. En ese sentido, se realizó reunión con los profesionales de la Corporación Autónoma Regional de Cundinamarca para establecer las actividades a realizar en el marco de la integración de las redes de la SDA y la CAR, específicamente lo relacionado con el tema de modelación de calidad del aire, en ese sentido se avanzó en la estructura del Convenio, específicamente en lo relacionado con las actividades para el componente de modelación.
Como parte del proceso de colaboración entre la Red de Monitoreo de Calidad del Aire de Bogotá – RMCAB y los diferentes actores en el establecimiento de esta red colaborativa de sensores de bajo costo se mantuvo la operación de los sensores instalados en la estación de Las Ferias por parte del Colectivo CanAir.io, La Universidad Central y La Universidad Nacional. Adicionalmente, se mantiene en operación los sensores de bajo costo del Colectivo CanAir.io en la estación Kennedy y en la estación del Tunal y se realizó la instalación de los sensores en el marco de la consultoría para evaluación de sensores de bajo costo liderado por el grupo de CIMAB y SATAB.
Para el mes de junio se completo el análisis de datos y la redacción del informe mensual de mayo de 2021. Asimismo, el equipo de la RMCAB en el mes de junio completo la elaboración y publicó los informes trimestrales ene-abr 2021 y anual 2020. Adicionalmente se publicó el informe mensual de mayo.</t>
  </si>
  <si>
    <t>"En el cumplimiento de los dos (02) informes de gestión programados para la vigencia 2021; se ha alcanzado un avance acumulado en la ejecución de la meta de 1 equivalente a un 50% respecto a lo programado. 
Este avance está basado en las actividades de recolección de información de las acciones de evaluación, control y seguimiento de los grupos de fuentes fijas y fuentes móviles. También en la intervención mediante actuaciones técnicas, visitas de control y seguimiento, acompañamientos, monitoreos, operativos de medición en vía a vehículos que transitan en el Distrito Capital, visitas técnicas de auditoria a Centros de Diagnóstico Automotor CDA'S, con esta información se construyó el informe de acciones de evaluación, control y seguimiento a las fuentes de emisión.
El avance acumulado se registra, así:
•	Enero 0,15, de avance en la ejecución de la meta.
•	Febrero 0,11, de avance en la ejecución de la meta.
•	Marzo 0,10, de avance en la ejecución de la meta.
•	Abril 0,15, de avance en la ejecución de la meta.
•	Mayo 0,14, de avance en la ejecución de la meta.
•	Junio 0,35, de avance en la ejecución de la meta.</t>
  </si>
  <si>
    <t>"Para la vigencia 2021, se han desarrollado 463 actuaciones técnicas que corresponde a un 51,85% respecto a lo programado, y a su vez, un avance del 20,2% durante el cuatrienio.
Este avance del 2021, se conforma de 357 (41 visitas efectivas con medición, 24 visitas efectivas sin medición en cumplimiento a actos administrativos, 175 visitas efectivas para cerrar el caso, 117 visitas no efectivas para reprogramar) y 106 actuaciones técnicas correspondientes a otros documentos (14 informes de acciones populares, para las localidades de Antonio Nariño, Bosa, Fontibón y Teusaquillo, 1 concepto técnico aclaratorio, 19 socializaciones a la OPEL, 1 socialización CAL, 1 socialización CAL, 4 otras socializaciones a JAL, Humedal el Burro, mesa de empresarios y mesa de ASOBARES, 4 estudios de ruido, 57 oficios SUGA).</t>
  </si>
  <si>
    <t>"La meta presenta un avance del 100% para la vigencia, que corresponde a:
 *Enero 2021, se proyecta el informe relacionado con la operación de la Red de Monitoreo de Ruido Ambiental de Bogotá (RMRAB), en la cual, se reportan principalmente la realización de las actividades acreditación del procedimiento de monitoreo de ruido ambiental ante el IDEAM, actividades de soporte y mantenimiento realizado a las estaciones de monitoreo de ruido, espacialización de datos de emisión de ruido Colector - ESRI y se presentó el procedimiento interno de manejo de PQR´s a la secretaria de salud.
*Febrero: actividades, de soporte y mantenimiento realizado a las estaciones de monitoreo de ruido, y el avance en el proceso de instalación de las estaciones de la RMRAB afectadas durante protestas. contratación del personal para a la operación de la RMRAB.
*Marzo: Se genera informe de avance semestral del mes de marzo relacionado con la operación de la Red de Monitoreo de Ruido Ambiental de Bogotá (RMRAB) durante el primer trimestre del 2021 en la cual se reportan principalmente la realización de las actividades de soporte y mantenimiento realizado a las estaciones de monitoreo de ruido y el avance en el proceso de instalación de las estaciones de la RMRAB afectadas durante protestas, además se realizaron los estudios previos para la renovación de los contratos de arrendamiento y se realizó el análisis técnico de los datos reportados en el mes de enero en el visor WEB MAIGRAI, solicitudes de cotización pata la compra de software y solicitudes de cotizaciones para la calibración de equipos.
* Abril:  Se genera informe de avance semestral del mes de abril relacionado con la operación de la Red de Monitoreo de Ruido Ambiental de Bogotá (RMRAB) durante los cuatro primeros meses del 2021 en la cual se reportan principalmente la realización de las   actividades de soporte y mantenimiento  realizado a las estaciones de monitoreo de ruido y la instalación de las 10 estaciones de la RMRAB afectadas durante protestas, además se firmaron los estudios previos para la renovación de los contratos de arrendamiento y se realizó el análisis técnico de los datos reportados en el mes de enero en el visor MAIGRAI, e avanzo en la realización del estudio previo para la compra de un software de modelación acústica.
* Mayo: Para el mes de Mayo se proyecta en informe de operación de la Red de Monitoreo de Ruido Ambiental de Bogotá (RMRAB), en el cual se relacionan las operaciones y mantenimientos realizados a las estaciones que se encuentran en operación actualmente.
*Junio: Se termina la consolidación del informe semestral de operación de la Red de Monitoreo de Ruido Ambiental de Bogotá (RMRAB).</t>
  </si>
  <si>
    <t>"Para la vigencia del Proyecto de Inversión del año 2021 se han realizado tres mil quinientas cuatro (3.504) acciones de evaluación, control y seguimiento:
-	Dieciséis (16) operativos de control.
-	Setenta y cuatro (74) visitas de evaluación a elementos mayores.
-	Tres (03) documentos técnicos firmados.
-	Cuatro (04) cargues de información a la plataforma SIIPEV.
-	Tres mil cuatrocientas siete (3.407) evaluaciones a solicitudes de elementos de publicidad exterior visual.
Lo anterior, dando un avance para el cuatrienio de 4.796 acciones de evaluación, control y seguimiento 70 operativos de control y seguimiento,157 visitas a elementos mayores, 04 documentos técnicos, 54 visitas a elementos menores, 06 cargues de información a la plataforma SIIPEV, 3.707 evaluaciones a solicitudes de elementos de publicidad exterior visual.
Para la vigencia del año 2020 y 2021 del Proyecto de Inversión se han realizado tres mil novecientas noventa y ocho (4.796) acciones de evaluación, control y seguimiento:
-	Setenta y un (71) operativos de control y seguimiento
-	Ciento setenta y un (171) visitas a elementos mayores
-	Seis (06) documentos técnicos
-	Cincuenta y cuatro (54) visitas IVC a elementos menores
-	Siete (07) cargues de información a la plataforma SIIPEV
-	Cuatro mil cuatrocientas ochenta y siete (4.487) evaluaciones a solicitudes de elementos de publicidad exterior visual.</t>
  </si>
  <si>
    <t xml:space="preserve">"La Secretaría Distrital de Ambiente del 01 de enero al 30 de junio de 2021 en ejercicio de su función sancionatoria acogió el 91.6% de los conceptos técnicos relacionados con el recurso ambiental aire, auditiva y visual y que recomiendan una actuación administrativa sancionatoria, como se relaciona a continuación: 
No de Conceptos Técnicos que recomiendan actuaciones administrativas sancionatorias: 192 Conceptos Técnicos.
No de Conceptos Técnicos atendidos jurídicamente: 176 Conceptos Técnicos acogidos."
</t>
  </si>
  <si>
    <t>"Para el primer trimestre de la vigencia 2021, se han realizado los mantenimientos mensuales a todos los equipos de todas las estaciones de monitoreo de la red. Para el mes de abril de la vigencia 2021, se han realizado los mantenimientos mensuales a todos los equipos de todas las estaciones de monitoreo de la red.
Para el mes de mayo de la vigencia 2021, se han realizado los mantenimientos mensuales a todos los equipos de todas las estaciones de monitoreo de la red. Sin embargo, se generaron retrasos significativos en la atención a los correctivos debido a la capacidad operativa limitada que tiene la Red actualmente por no contar con los vehículos necesarios para atender las 20 estaciones actuales.
junio, se han realizado los mantenimientos mensuales a todos los equipos de todas las estaciones de monitoreo de la red. Sin embargo, se evidenció una limitación en la operatividad, asociada a los 4 casos positivos de COVID-19 que se presentaron en el equipo de campo.</t>
  </si>
  <si>
    <t xml:space="preserve">"En el cumplimiento de los dos (02) informes de gestión programados para la vigencia 2021; se ha alcanzado un avance acumulado en la ejecución de la meta de 1 equivalente a un 50% respecto a lo programado. 
Este avance está basado en las actividades de recolección de información de las acciones de evaluación, control y seguimiento de los grupos de fuentes fijas y fuentes móviles. También en la intervención mediante actuaciones técnicas, visitas de control y seguimiento, acompañamientos, monitoreos, operativos de medición en vía a vehículos que transitan en el Distrito Capital, visitas técnicas de auditoria a Centros de Diagnóstico Automotor CDA'S, con esta información se construyó el informe de acciones de evaluación, control y seguimiento a las fuentes de emisión.
El avance acumulado se registra, así:
•	Enero 0,15, de avance en la ejecución de la meta.
•	Febrero 0,11, de avance en la ejecución de la meta.
•	Marzo 0,10, de avance en la ejecución de la meta.
•	Abril 0,15, de avance en la ejecución de la meta.
•	Mayo 0,14, de avance en la ejecución de la meta.
•	Junio 0,35, de avance en la ejecución de la meta."
</t>
  </si>
  <si>
    <t>"ENERO 20 visitas así: 8 efectivas con medición, 4 efectivas sin medición, correspondientes a actos administrativos, 6 efectivas para cerrar el caso y 2 no efectivas (reprogramar). 
FEBRERO 0 visitas.
MARZO 89 visitas así: 5 visitas efectivas con medición, 5 visitas efectivas sin medición, 51 visitas efectivas cerrar caso, 28 visitas no efectivas (reprogramar). 
ABRIL 96 visitas así: 12 visitas efectivas con medición, 13 visitas efectivas en atención a actos administrativos, 40 visitas efectivas para cerrar el caso y 31 visitas no efectivas (reprogramar).
MAYO 61 visitas así: 9 visitas efectivas con medición, 2 visitas efectivas en atención a actos administrativos, 33 visitas efectivas para cerrar el caso, 17 visitas no efectivas (reprogramar)
JUNIO 91 visitas así: 7 visitas efectivas con medición, 45 visitas efectivas para cerrar el caso, 39 visitas no efectivas para (reprogramar)."</t>
  </si>
  <si>
    <t>El Plan Estratégico para la Gestión Integral de la Calidad del Aire – Plan Aire 2030, se encuentra enmarcado en el desarrollo de las acciones de monitoreo, control y gestión a la calidad del aire en la ciudad de Bogotá; las cuales serán realizadas conjuntamente como ciudad, en el marco del desarrollo de la estrategia de gobernanza, mediante la ejecución de los 45 proyectos consolidados en su estructura, los cuales aportan al cumplimiento de la meta de reducir el 10% promedio ponderado de Material Partículado PM 10 y PM 2.5 a 2030. 
En ese orden de ideas, el Plan Aire 2030, pretende resolver la problemática de contaminación atmosférica en Bogotá, con la ejecución de los proyectos enfocadas en la mitigación de las principales fuentes generadores de emisión, como son: sector transporte, sector industrial, sector de la construcción e infraestructura urbana, sector comercial y sector de maquinaria fuera de ruta. 
Como instrumento de planeación de la ciudad, no se podrá generar para el Plan Aire una diferenciación territorial en la intervención de las acciones, sino que estará enfocado a los sectores y fuentes de emisiones priorizadas</t>
  </si>
  <si>
    <t>Mapas de Plan Aire ( Anexo SHAPE FILE)</t>
  </si>
  <si>
    <t>Bogotá D.C. 
Ruido ambiental, de acuerdo con lo establecido en la Resolución 0627 de 2006 del entonces Ministerio de Ambiente, Vivienda y Desarrollo Territorial, se constituyó la Red de Monitoreo de Ruido Ambiental de Bogotá – RMRAB, la cual consiste en un sistema de adquisición en tiempo real de datos acústicos relacionados con ruido ambiental, adquisición que emplea el método descrito en la Norma ISO 1996: Acústica. Descripción, medición y evaluación del ruido ambiental
Nota: Si bien la operación de la red de monitoreo de ruido ambiental de Bogotá, se realiza por estaciones ubicadas en distintos sectores de la ciudad; la medición y resultados generados se establecen a nivel ciudad.</t>
  </si>
  <si>
    <t>Localidades:
USAQUEN
USME
TUNJUELITO
FONTIBON
ENGATIVA
BARRIOS UNIDOS
TEUSAQUILLO
LOS MARTIRES
ANTONIO NARIÑO
PUENTE ARANDA
LA CANDELARIA
RAFAEL URIBE URIBE</t>
  </si>
  <si>
    <t>Durante la ejecución 2021, se han realizado mantenimientos preventivos y correctivos, validación y análisis de datos, diaria de las concentraciones de contaminantes criterio y parámetros meteorológicos que monitorea la RMCAB incluyendo las nuevas estaciones en la red (Bolivia, Usme, Ciudad Bolívar, Bosa, Jazmín, Colina y Móvil Fontibón), así como sus respectivos informes. Se mantuvo el plan de prueba de sensores de bajo costo.
Se realizó y publicó el informe trimestral ene-abr 2021 y anual 2020. Adicionalmente se publicó el informe mensual de mayo 2021.
Se mantiene el proceso de validación de los datos generados por las nuevas estaciones y los equipos. Se realizó la revisión de la parte jurídica y de cooperación a la estructura del Convenio entre la SDA y la CAR de Cundinamarca, estableciendo necesidades de poder definir el tipo de convenio a realizar, el periodo de ejecución y el rol de cada entidad para los formatos a utilizar y el cargue de los documentos. En ese sentido, se realizó reunión con los profesionales de la Corporación Autónoma Regional de Cundinamarca para establecer las actividades a realizar en el marco de la integración de las redes de la SDA y la CAR, específicamente lo relacionado con el tema de modelación de calidad del aire, en ese sentido se avanzó en la estructura del Convenio, específicamente en lo relacionado con las actividades para el componente de modelación.
Como parte del proceso de colaboración entre la Red de Monitoreo de Calidad del Aire de Bogotá – RMCAB y los diferentes actores en el establecimiento de esta red colaborativa de sensores de bajo costo se mantuvo la operación de los sensores instalados en la estación de Las Ferias por parte del Colectivo CanAir.io, La Universidad Central y La Universidad Nacional. Adicionalmente, se mantiene en operación los sensores de bajo costo del Colectivo CanAir.io en la estación Kennedy y en la estación del Tunal y se realizó la instalación de los sensores en el marco de la consultoría para evaluación de sensores de bajo costo liderado por el grupo de CIMAB y SATAB.
Para el mes de junio se completo el análisis de datos y la redacción del informe mensual de mayo de 2021. Asimismo, el equipo de la RMCAB en el mes de junio completo la elaboración y publicó los informes trimestrales ene-abr 2021 y anual 2020. Adicionalmente se publicó el informe mensual de mayo.
Para el mes de julio se reportaron los mantenimientos preventivos y correctivos que se realizaron durante el mes, se realizó la validación diaria de los datos de concentraciones de contaminantes criterio y parámetros meteorológicos que monitorea la RMCAB. Para el mes de julio se completo el análisis de datos y la redacción del informe mensual de junio de 2021, completando su elaboración y posterior publicación. 
Para el mes de julio como parte del proceso de colaboración entre la Red de Monitoreo de Calidad del Aire de Bogotá – RMCAB y los diferentes actores en el establecimiento de esta red colaborativa de sensores de bajo costo se mantuvo la operación de los sensores instalados en la estación de Las Ferias por parte del Colectivo CanAir.io, La Universidad Central y La Universidad Nacional. Se mantiene en operación los sensores de bajo costo del Colectivo CanAir.io en la estación Kennedy y en la estación del Tunal y se realizó la instalación de los microsensores en el marco del proceso de consultoría para evaluación de sensores de bajo costo liderado por el grupo de CIMAB y SATAB. Adicionalmente, se realizó el apoyo para el montaje de otros microsensores en cuatro estaciones de la RMCAB en el marco de un proyecto liderado por la Universidad Nacional y que busca medir la calidad del aire en cinco ciudades del pais con este tipo de instrumentos.</t>
  </si>
  <si>
    <t xml:space="preserve">En el marco de la gestión integral de la calidad del aire de Bogotá, a la fecha (julio - 2021) se han presentado 3 documentos técnicos, los cuales son: 1. Documento técnico de Plan Aire, con sus respectivos anexos y el Decreto del Plan Aire, 2. Informe de seguimiento semestral del grupo de SATAB 2021-I. 3. Documento de modelación. Así mismo, se viene trabajando en el desarrollo de 5 documentos técnicos, los cuales serán presentados en el transcurso del año, siendo: 1. Informe semestral de Seguimiento al Plan Estratégico para la Gestión Integral de la Calidad del Aire – Plan Aire 2030, en el cual se ha venido reportando el avance mensual de los 37 proyectos que se encuentran en el plan de acción. 2. Se ha venido trabajando en la estructuración del documento de inventario de emisiones 2021. 3. Documento protocolo de actuación, donde se ajustó el documento del Plan de Contingencia para la atención de episodios de contaminación atmosférica en la ciudad conforme a las observaciones realizadas por parte del equipo del IDIGER. 4. Documento estrategia de gobernanza, este se incluyó en el plan de gestión integral de Calidad del Aire de Bogotá con dos fases principales: Formulación de la estrategia en 2021-2022 e implementación de la estrategia durante el periodo 2022-2024. 5. Informe de seguimiento semestral del grupo de SATAB 2021-II, en el cual se ha venido trabajando en la descripción de las cuatro líneas estratégicas para su operación: i) Índice Bogotano de Calidad del Aire y Riesgo en salud -IBOCA- ii) Avance en la actualización del Plan de Contingencia para la atención de eventos de contaminación atmosférica iii) Gobernanza de la calidad del aire, iv) Monitoreo y análisis de contaminantes y sensores de bajo costo. 
</t>
  </si>
  <si>
    <t xml:space="preserve">"En el cumplimiento de los dos (02) informes de gestión programados para la vigencia 2021; se ha alcanzado un avance acumulado en la ejecución de la meta de 1 equivalente a un 50% respecto a lo programado. 
Este avance está basado en las actividades de recolección de información de las acciones de evaluación, control y seguimiento de los grupos de fuentes fijas y fuentes móviles. También en la intervención mediante actuaciones técnicas, visitas de control y seguimiento, acompañamientos, monitoreos, operativos de medición en vía a vehículos que transitan en el Distrito Capital, visitas técnicas de auditoria a Centros de Diagnóstico Automotor CDA'S, con esta información se construyó el informe de acciones de evaluación, control y seguimiento a las fuentes de emisión.
El avance acumulado se registra, así:
•	Enero 0,15, de avance en la ejecución de la meta.
•	Febrero 0,11, de avance en la ejecución de la meta.
•	Marzo 0,10, de avance en la ejecución de la meta.
•	Abril 0,15, de avance en la ejecución de la meta.
•	Mayo 0,14, de avance en la ejecución de la meta.
•	Junio 0,35, de avance en la ejecución de la meta.
•	Julio 0,18, de avance en la ejecución de la meta"
</t>
  </si>
  <si>
    <t xml:space="preserve">"La meta presenta un avance del 100% para la vigencia, que corresponde a:
- Enero 2021, se proyecta el informe relacionado con la operación de la Red de Monitoreo de Ruido Ambiental de Bogotá (RMRAB), en la cual, se reportan principalmente la realización de las actividades acreditación del procedimiento de monitoreo de ruido ambiental ante el IDEAM, actividades de soporte y mantenimiento realizado a las estaciones de monitoreo de ruido, espacialización de datos de emisión de ruido Colector - ESRI y se presentó el procedimiento interno de manejo de PQR´s a la secretaria de salud.
- Febrero: actividades, de soporte y mantenimiento realizado a las estaciones de monitoreo de ruido, y el avance en el proceso de instalación de las estaciones de la RMRAB afectadas durante protestas. contratación del personal para a la operación de la RMRAB.
- Marzo: Se genera informe de avance semestral del mes de marzo relacionado con la operación de la Red de Monitoreo de Ruido Ambiental de Bogotá (RMRAB) durante el primer trimestre del 2021 en la cual se reportan principalmente la realización de las actividades de soporte y mantenimiento realizado a las estaciones de monitoreo de ruido y el avance en el proceso de instalación de las estaciones de la RMRAB afectadas durante protestas, además se realizaron los estudios previos para la renovación de los contratos de arrendamiento y se realizó el análisis técnico de los datos reportados en el mes de enero en el visor WEB MAIGRAI, solicitudes de cotización pata la compra de software y solicitudes de cotizaciones para la calibración de equipos.
- Abril:  Se genera informe de avance semestral del mes de abril relacionado con la operación de la Red de Monitoreo de Ruido Ambiental de Bogotá (RMRAB) durante los cuatro primeros meses del 2021 en la cual se reportan principalmente la realización de las   actividades de soporte y mantenimiento  realizado a las estaciones de monitoreo de ruido y la instalación de las 10 estaciones de la RMRAB afectadas durante protestas, además se firmaron los estudios previos para la renovación de los contratos de arrendamiento y se realizó el análisis técnico de los datos reportados en el mes de enero en el visor MAIGRAI, e avanzo en la realización del estudio previo para la compra de un software de modelación acústica.
- Mayo: Para el mes de Mayo se proyecta en informe de operación de la Red de Monitoreo de Ruido Ambiental de Bogotá (RMRAB), en el cual se relacionan las operaciones y mantenimientos realizados a las estaciones que se encuentran en operación actualmente.
- Junio: Se termina la consolidación del informe semestral de operación de la Red de Monitoreo de Ruido Ambiental de Bogotá (RMRAB).
- Julio:  se genera avance del informe  semestral relacionado con la operación de la Red de Monitoreo de Ruido Ambiental de Bogotá (RMRAB) durante el primer mes del segundo semestre del del 2021, en el cual se reportan principalmente la realización de las   actividades de soporte y mantenimiento  realizado a las estaciones de monitoreo de ruido, se hace el reporte del informe semestral de operación y análisis de datos del primer semestre, informe semestral de laboratorio ambiental e infome de gestión. Se avanzó en la realización del estudio previo para la compra de un software de modelación acústica, además se realizó la proyección de presupuesto para el año 2022. Por otro lado se cargaron a SIPSE los documentos actualizados del Edificio Ejecutivo Plaza para la renovación del contrato; en lo refente a materia de acreditación de la metodología de la ISO 1996 ante el IDEAM , se adelantó con la generación y revisión de documentos requeridos en la lista de chequeo generada por la RMRAB"
</t>
  </si>
  <si>
    <t xml:space="preserve">"Durante el mes de julio, se realizaron doscientas sesenta y cinco (265) acciones en cumplimiento de la meta:
Once (11) operativos de control: 55 establecimientos en Teusaquillo
Veinticuatro (24) visitas de evaluación a elementos mayores en Barrios Unidos, Fontibón, Kennedy, Puente Aranda, Suba, Teusaquillo, Tunjuelito y Usaquén.
Ciento once (111) documentos técnicos firmados.
Un (01) cargue de información a la plataforma SIIPEV.
Ciento dieciocho (118) evaluaciones a solicitudes de elementos de publicidad exterior visual.
Para la vigencia del Proyecto de Inversión del año 2021 se han realizado tres mil quinientas cuatro (3.769) acciones de evaluación, control y seguimiento:
Veintisiete (27) operativos de control.
Noventa y ocho (98) visitas de evaluación a elementos mayores.
Ciento catorce (114) documentos técnicos firmados.
Cinco (05) cargues de información a la plataforma SIIPEV.
Tres mil quinientas veinticinco (3.525) evaluaciones a solicitudes de elementos de publicidad exterior visual.
Lo anterior, dando un avance para el cuatrienio de 5.061  acciones de evaluación, control y seguimiento: 82 operativos de control y seguimiento,195 visitas a elementos mayores, 117 documentos técnicos, 54 visitas a elementos menores, 08 cargues de información a la plataforma SIIPEV, 4.605 evaluaciones a solicitudes de elementos de publicidad exterior visual."
</t>
  </si>
  <si>
    <t xml:space="preserve">"La Secretaría Distrital de Ambiente del 01 de enero al 31 de julio de 2021 en ejercicio de su funcion sancionatoria acogió el 97.63% de los conceptos técnicos relacionados con el recurso  ambiental aire, auditiva y visual y que recomiendan una actuación administrativa sancionatoria, como se relaciona a continuación: 
No de Conceptos Técnicos que recomiendan actuaciones administrativas sancionatorias: 294 Conceptos Técnicos.
No de Conceptos Técnicos atendidos jurídicamente: 286 Conceptos Técnicos acogidos
</t>
  </si>
  <si>
    <t>Para la vigencia 2021, se han desarrollado 559 actuaciones técnicas que corresponde a un 62,6% respecto a lo programado para el año, y a su vez, un avance del 22,3% durante el cuatrienio.
Este avance del 2021, se conforma de 440  (49 visitas efectivas con medición, 31 visitas efectivas sin medición en cumplimiento a actos administrativos, 214 visitas efectivas para cerrar el caso, 146 visitas no efectivas para reprogramar) y 119 actuaciones técnicas correspondientes a otros documentos (17 informes de acciones populares, para las localidades de Antonio Nariño, Bosa, Fontibón y Teusaquillo, 1 concepto técnico aclaratorio, 19 socializaciones a la OPEL, 1 socialización CAL, 1 socialización CAL, 4 otras socializaciones a JAL, Humedal el Burro, mesa de empresarios y mesa de ASOBARES, 4 estudios de ruido, 67 oficios SUGA)</t>
  </si>
  <si>
    <t>ENERO 20 visitas así: 8 efectivas con medición, 4 efectivas sin medición, correspondientes a actos administrativos, 6 efectivas para cerrar el caso y 2 no efectivas (reprogramar). 
FEBRERO 0 visitas.
MARZO 89 visitas así: 5 visitas efectivas con medición, 5 visitas efectivas sin medición, 51 visitas efectivas cerrar caso, 28 visitas no efectivas (reprogramar). 
ABRIL 96 visitas así: 12 visitas efectivas con medición, 13 visitas efectivas en atención a actos administrativos, 40 visitas efectivas para cerrar el caso y 31 visitas no efectivas (reprogramar).
MAYO 61 visitas así: 9 visitas efectivas con medición, 2 visitas efectivas en atención a actos administrativos, 33 visitas efectivas para cerrar el caso, 17 visitas no efectivas (reprogramar)
JUNIO 91 visitas así: 7 visitas efectivas con medición, 45 visitas efectivas para cerrar el caso, 39 visitas no efectivas para (reprogramar).
JULIO 83 visitas así: 8 visitas efectivas con medición, 7 visitas efectivas sin medición, 39 visitas efectivas para cerrar el caso y 29 visitas no efectivas para (reprogramar)</t>
  </si>
  <si>
    <t xml:space="preserve">Durante el mes agosto se realizaron doscientas tres (203) acciones en cumplimiento de la meta:
Diez (10) operativos: (09) de control en Teusaquillo y (01) de sensibilización en La Candelaria: 45 y 10 establecimientos respectivamente.
Veinticinco (25) visitas de evaluación a elementos mayores en Barrios Unidos, Engativá, Fontibón, Kennedy, Suba, Teusaquillo, y Usaquén.
Cinco (05) documentos técnicos firmados.
Un (01) cargue de información a la plataforma SIIPEV.
Ciento treinta y dos (132) evaluaciones a solicitudes de elementos de publicidad exterior visual.
Para la vigencia del Proyecto de Inversión del año 2021 se han realizado tres mil novecientas setenta y dos (3.972) acciones de evaluación, control y seguimiento:
Treinta y siete (37) operativos de control y sensibilización
Ciento veintitrés (123) visitas de evaluación a elementos mayores.
Ciento diecinueve (119) documentos técnicos firmados.
Seis (06) cargues de información a la plataforma SIIPEV.
Tres mil seiscientas ochenta y siete (3.687) evaluaciones a solicitudes de elementos de publicidad exterior visual.
Lo anterior, dando un avance para el cuatrienio de 5.264 acciones de evaluación, control y seguimiento: 92 operativos de control y seguimiento, 220 visitas de evaluación a elementos mayores, 122 documentos técnicos, 54 visitas a elementos menores, 09 cargues de información a la plataforma SIIPEV, 4.767 evaluaciones a solicitudes de elementos de publicidad exterior visual.
</t>
  </si>
  <si>
    <t>Para la vigencia 2021, se han desarrollado 661 actuaciones técnicas que corresponde a un 74,0% respecto a lo programado para el año, y a su vez, un avance del 24,5% durante el cuatrienio.
Este avance del 2021, se conforma de 529  (58 visitas efectivas con medición, 45 visitas efectivas sin medición en cumplimiento a actos administrativos, 251 visitas efectivas para cerrar el caso, 175 visitas no efectivas para reprogramar) y 132 actuaciones técnicas correspondientes a otros documentos (18 informes de acciones populares, para las localidades de Antonio Nariño, Bosa, Fontibón y Teusaquillo, 1 concepto técnico aclaratorio, 19 socializaciones a la OPEL, 1 socialización CAL, 1 socialización CAL, 4 otras socializaciones a JAL, Humedal el Burro, mesa de empresarios y mesa de ASOBARES, 5 estudios de ruido, 78 oficios SUGA).</t>
  </si>
  <si>
    <t>La meta presenta un avance del 100% para la vigencia, que corresponde a:
- Enero 2021, se proyecta el informe relacionado con la operación de la Red de Monitoreo de Ruido Ambiental de Bogotá (RMRAB), en la cual, se reportan principalmente la realización de las actividades acreditación del procedimiento de monitoreo de ruido ambiental ante el IDEAM, actividades de soporte y mantenimiento realizado a las estaciones de monitoreo de ruido, espacialización de datos de emisión de ruido Colector - ESRI y se presentó el procedimiento interno de manejo de PQR´s a la secretaria de salud.
- Febrero: actividades, de soporte y mantenimiento realizado a las estaciones de monitoreo de ruido, y el avance en el proceso de instalación de las estaciones de la RMRAB afectadas durante protestas. contratación del personal para a la operación de la RMRAB.
- Marzo: Se genera informe de avance semestral del mes de marzo relacionado con la operación de la Red de Monitoreo de Ruido Ambiental de Bogotá (RMRAB) durante el primer trimestre del 2021 en la cual se reportan principalmente la realización de las actividades de soporte y mantenimiento realizado a las estaciones de monitoreo de ruido y el avance en el proceso de instalación de las estaciones de la RMRAB afectadas durante protestas, además se realizaron los estudios previos para la renovación de los contratos de arrendamiento y se realizó el análisis técnico de los datos reportados en el mes de enero en el visor WEB MAIGRAI, solicitudes de cotización pata la compra de software y solicitudes de cotizaciones para la calibración de equipos.
- Abril:  Se genera informe de avance semestral del mes de abril relacionado con la operación de la Red de Monitoreo de Ruido Ambiental de Bogotá (RMRAB) durante los cuatro primeros meses del 2021 en la cual se reportan principalmente la realización de las   actividades de soporte y mantenimiento  realizado a las estaciones de monitoreo de ruido y la instalación de las 10 estaciones de la RMRAB afectadas durante protestas, además se firmaron los estudios previos para la renovación de los contratos de arrendamiento y se realizó el análisis técnico de los datos reportados en el mes de enero en el visor MAIGRAI, e avanzo en la realización del estudio previo para la compra de un software de modelación acústica.
- Mayo: Para el mes de Mayo se proyecta en informe de operación de la Red de Monitoreo de Ruido Ambiental de Bogotá (RMRAB), en el cual se relacionan las operaciones y mantenimientos realizados a las estaciones que se encuentran en operación actualmente.
- Junio: Se termina la consolidación del informe semestral de operación de la Red de Monitoreo de Ruido Ambiental de Bogotá (RMRAB).
- Julio:  se genera avance del informe  semestral relacionado con la operación de la Red de Monitoreo de Ruido Ambiental de Bogotá (RMRAB) durante el primer mes del segundo semestre del 2021, en el cual se reportan principalmente la realización de las   actividades de soporte y mantenimiento  realizado a las estaciones de monitoreo de ruido, se hace el reporte del informe semestral de operación y análisis de datos del primer semestre, informe semestral de laboratorio ambiental e informe de gestión. Se avanzó en la realización del estudio previo para la compra de un software de modelación acústica, además se realizó la proyección de presupuesto para el año 2022. Por otro lado, se cargaron a SIPSE los documentos actualizados del Edificio Ejecutivo Plaza para la renovación del contrato; en lo refente a materia de acreditación de la metodología de la ISO 1996 ante el IDEAM, se adelantó con la generación y revisión de documentos requeridos en la lista de chequeo generada por la RMRAB.
Agosto: se realiza el 100% de las acciones relacionadas con la operación y mantenimiento de la Red de Monitoreo de Ruido Ambiental de Bogotá (RMRAB), presentación avance del informe semestral para el segundo periodo del 2021, presentación del avance del informe de los Mapas Estratégicos de Ruido del Distrito (MER), actualización de valor central cartas control, seguimiento a arriendos, respuestas a solicitudes ciudadanas, cargue de documentos para la renovación de los contratos de arriendo,  realización de anexo técnico  del estudio previo para la adquisición de un software de modelación acústica, solicitud a la empresa ETB del cronograma de instalación de internet, solicitud de mantenimientos de las estaciones de ruido por parte de la empresa TEKCEN S.A.S. y Cargue de adiciones en el sistema SIPSE del personal de la RMRAB.</t>
  </si>
  <si>
    <t>En el marco de la gestión integral de la calidad del aire de Bogotá, a la fecha se han presentado 3 documentos técnicos, los cuales son: 1. Documento técnico de Plan Aire, con sus respectivos anexos y el Decreto del Plan Aire, 2. Informe de seguimiento semestral del grupo de SATAB 2021-I. 3. Documento de modelación. Así mismo, se viene trabajando en el desarrollo de 5 documentos técnicos, los cuales serán presentados en el transcurso del año, siendo: 1. Informe semestral de Seguimiento al Plan Estratégico para la Gestión Integral de la Calidad del Aire – Plan Aire 2030, en el cual se ha venido reportando el avance mensual de los 37 proyectos que se encuentran en el plan de acción. 2. Se ha venido trabajando en la estructuración y revisión metodológica del Informe de Actualización de Inventarios de Emisiones 2021 - II. 3. Documento protocolo de actuación, donde se ajustó el documento del Plan de Contingencia para la atención de episodios de contaminación atmosférica en la ciudad conforme a las observaciones realizadas por parte del equipo del IDIGER. 4. Documento estrategia de gobernanza, este se incluyó en el plan de gestión integral de Calidad del Aire de Bogotá con dos fases principales: Formulación de la estrategia en 2021-2022 e implementación de la estrategia durante el periodo 2022-2024. 5. Informe de seguimiento semestral del grupo de SATAB 2021-II, en el cual se ha venido trabajando en la descripción de las cuatro líneas estratégicas para su operación: i) Índice Bogotano de Calidad del Aire y Riesgo en salud -IBOCA- ii) Avance en la actualización del Plan de Contingencia para la atención de eventos de contaminación atmosférica iii) Gobernanza de la calidad del aire, iv) Monitoreo y análisis de contaminantes y v) sensores de bajo costo.</t>
  </si>
  <si>
    <t>Durante la ejecución 2021, se han realizado mantenimientos preventivos y correctivos, validación y análisis de datos, diaria de las concentraciones de contaminantes criterio y parámetros meteorológicos que monitorea la RMCAB incluyendo las nuevas estaciones en la red (Bolivia, Usme, Ciudad Bolívar, Bosa, Jazmín, Colina y Móvil Fontibón), así como sus respectivos informes. Se mantuvo el plan de prueba de sensores de bajo costo.
Se realizó y publicó el informe trimestral ene-abr 2021 y anual 2020. Adicionalmente se han publicó los informes mensuales de enero a julio de 2021.
Se mantiene el proceso de validación de los datos generados por las nuevas estaciones y los equipos. Se realizó la revisión de la parte jurídica y de cooperación a la estructura del Convenio entre la SDA y la CAR de Cundinamarca, estableciendo necesidades de poder definir el tipo de convenio a realizar, el periodo de ejecución y el rol de cada entidad para los formatos a utilizar y el cargue de los documentos. En ese sentido, se realizó reunión con los profesionales de la Corporación Autónoma Regional de Cundinamarca para establecer las actividades a realizar en el marco de la integración de las redes de la SDA y la CAR, específicamente lo relacionado con el tema de modelación de calidad del aire, en ese sentido se avanzó en la estructura del Convenio, específicamente en lo relacionado con las actividades para el componente de modelación.
Se realizaron mantenimientos preventivos y correctivos, validación y análisis de datos y se mantuvo el plan de prueba de sensores de bajo costo.
Para el mes de agosto el porcentaje de cumplimiento para este indicador es del 93%. Se reportaron los mantenimientos preventivos y correctivos que se realizaron durante el mes, se realizó la validación diaria de los datos de concentraciones de contaminantes criterio y parámetros meteorológicos que monitorea la RMCAB. El reporte de operatividad para el mes de agosto fue del 92,6%  el cual es promedio de los datos validos de todos los parámetros de la red en las estaciones que se genera a través de Envista. Para el mes de agosto se completo el análisis de datos y la redacción del  informe mensual de julio de 2021, completando su elaboración y posterior publicación. Cabe mencionar que durante agosto los indicadores relacionados con el trabajo en campo se vieron afectados debido a las limitaciones en la operación de la RMCAB asociadas a la baja disponibilidad de vehículos que ha tenido la SCAAV y que ha generado retrasos en la atención a las actividades correctivas y algunas actividades de tipo preventivo debido a que la mayor parte del tiempo solo se cuenta con un vehículo  para atender 20 estaciones y mover 7 contratistas.
Para el mes de agosto como parte del proceso de colaboración entre la Red de Monitoreo de Calidad del Aire de Bogotá – RMCAB y los diferentes actores en el establecimiento de esta red colaborativa de sensores de bajo costo se mantuvo la operación de los sensores instalados en la estación de Las Ferias por parte del Colectivo CanAir.io, La Universidad Central y La Universidad Nacional. Se mantiene en operación los sensores de bajo costo del Colectivo CanAir.io en la estación Kennedy y en la estación del Tunal y se realizó la instalación de los microsensores en el marco del proceso de  consultoria para evaluación de sensores de bajo costo liderado por el grupo de CIMAB y SATAB. Adicionalmente, se realizó el apoyo para el montaje de otros microsensores en cuatro estaciones de la RMCAB en el marco de un proyecto liderado por la Universidad Nacional y que busca medir la calidad del aire en cinco ciudades del pais con este tipo de instrumentos.</t>
  </si>
  <si>
    <t>En el cumplimiento de los dos (02) informes de gestión programados para la vigencia 2021; se ha alcanzado un avance acumulado en la ejecución de la meta de 1,39 equivalente a un 69,5% respecto a lo programado. 
Este avance está basado en las actividades de recolección de información de las acciones de evaluación, control y seguimiento de los grupos de fuentes fijas y fuentes móviles. También en la intervención mediante actuaciones técnicas, visitas de control y seguimiento, acompañamientos, monitoreos, operativos de medición en vía a vehículos que transitan en el Distrito Capital, visitas técnicas de auditoria a Centros de Diagnóstico Automotor CDA'S, con esta información se construyó el informe de acciones de evaluación, control y seguimiento a las fuentes de emisión.
El avance acumulado se registra, así:
•	Enero 0,15, de avance en la ejecución de la meta.
•	Febrero 0,11, de avance en la ejecución de la meta.
•	Marzo 0,10, de avance en la ejecución de la meta.
•	Abril 0,15, de avance en la ejecución de la meta.
•	Mayo 0,14, de avance en la ejecución de la meta.
•	Junio 0,35, de avance en la ejecución de la meta.
•	Julio 0,18, de avance en la ejecución de la meta.
•	Agosto 0,13, de avance en la ejecución de la meta</t>
  </si>
  <si>
    <t>La Secretaría Distrital de Ambiente del 01 de enero al 31 de agosto de 2021 en ejercicio de su función sancionatoria acogió el 97.72% de los conceptos técnicos relacionados con el recurso ambiental aire, auditiva y visual y que recomiendan una actuación administrativa sancionatoria, como se relaciona a continuación: 
No de Conceptos Técnicos que recomiendan actuaciones administrativas sancionatorias: 352 Conceptos Técnicos.
No de Conceptos Técnicos atendidos jurídicamente: 344 Conceptos Técnicos acogidos.</t>
  </si>
  <si>
    <t>|</t>
  </si>
  <si>
    <t>La Secretaría Distrital de Ambiente, en el marco de las acciones de seguimiento y control sobre los elementos de Publicidad Exterior Visual- PEV en las zonas con mayor densidad, ha avanzado al Plan de Desarrollo en (864) acciones, de las cuales (195) corresponden a la vigencia 2020, y (669) acciones para la vigencia 2021.
ENE: (30) operativos de control y sensibilización, (08) visitas a elementos mayores de PEV.
FEB: (10) operativos de control y sensibilización
MAR: (26) operativos de control y sensibilización, (07) visitas a elementos mayores de PEV.
ABR: (30) operativos de control y sensibilización, (14) visitas a elementos mayores de PEV.
MAY: (37) operativos de control y sensibilización, (21) documentos técnicos.
JUN: (35) operativos de control y sensibilización, (10) visitas a elementos mayores de PEV, (48) documentos técnicos.
JUL: (35) operativos de control y sensibilización, (15) visitas a elementos mayores de PEV, (179) documentos técnicos.
AGO: (35) operativos de control y sensibilización, (22) visitas a elementos mayores, (53) documentos técnicos firmados.
Para septiembre 2021 se realizaron cincuenta y cuatro (54) acciones de seguimiento y control en las zonas críticas de mayor densidad para los elementos menores de PEV y resto de distrito para elementos mayores así:
(35) operativos: (10) de control y (25) de sensibilización en Kennedy, Santa Fé y Suba, interviniendo 50 y 250 establecimientos respectivamente.
(19) visitas a elementos mayores en Antonio Nariño, Chapinero, Fontibón, Suba, Teusaquillo, y Usaquén
Siendo así, un acumulado anual de: (273) operativos de sensibilización y control, (95) visitas a elementos mayores de PEV, (301) documentos técnicos.</t>
  </si>
  <si>
    <t>Se encuentran pendientes por firma (35) documentos técnicos de control para dar cumplimiento a la meta mensual según la gestión realizada.</t>
  </si>
  <si>
    <t>Con el objeto de surtir la suscripción de los documentos técnicos pendientes, se envió la base de datos con los números de procesos a la cual se le dará prioridad en su suscripción y trámite por parte de la Subdirección de Calidad del Aire, Auditiva y Visual – SCAAV.</t>
  </si>
  <si>
    <t>Durante el mes de septiembre se realizaron doscientas noventa y cuatro (294) acciones en cumplimiento de la meta:
Diez (10) operativos de control en Engativá y Teusaquillo: 50 establecimientos.
Dieciocho (18) visitas de evaluación a elementos mayores en Antonio Nariño, Chapinero, Fontibón, Suba, Teusaquillo, y Usaquén.
Un (01) cargue de información a la plataforma SIIPEV.
Doscientos sesenta y cinco (265) evaluaciones a solicitudes de elementos de publicidad exterior visual.
Para la vigencia del Proyecto de Inversión del año 2021 se han realizado cuatro mil doscientas sesenta y seis (4.266) acciones de evaluación, control y seguimiento:
Cuarenta y siete (47) operativos de control y sensibilización
Ciento cuarenta y uno (141) visitas de evaluación a elementos mayores.
Ciento diecinueve (119) documentos técnicos firmados.
Siete (07) cargues de información a la plataforma SIIPEV.
Tres mil novecientas cincuenta y dos (3.952) evaluaciones a solicitudes de elementos de publicidad exterior visual.
Lo anterior, dando un avance para el cuatrienio de 5.558 acciones de evaluación, control y seguimiento: 102 operativos de control y seguimiento, 238 visitas de evaluación a elementos mayores, 122 documentos técnicos, 54 visitas a elementos menores, 10 cargues de información a la plataforma SIIPEV, 5.032 evaluaciones a solicitudes de elementos de publicidad exterior visual.</t>
  </si>
  <si>
    <t>SEPTIEMBRE: fueron realizados (10) operativos sobre dos zonas del resto del distrito, diferente a las zonas de mayor saturación de la siguiente manera:
Engativá (UPZ 73 Garcés Navas): (05) Op. control el 03 y 07 de septiembre, interviniendo 25 establecimientos.
Teusaquillo (UPZ 106 La Esmeralda): (05) Op. control el 02, 03, 04 y 09 de septiembre, interviniendo 25 establecimientos.
Acumulado:
Primer Trimestre: 5 operativos de control.
Enero: 4 operativos
Marzo: 1 operativo
Segundo Trimestre: 11 operativos de control.
Abril: 10 operativos
Junio: 1 operativo
Tercer trimestre: 31 operativos de control y sensibilización.
Julio: 11 operativos
Agosto: 10 operativos 
Septiembre: 10 operativos.</t>
  </si>
  <si>
    <t>SEPTIEMBRE: fueron realizadas un total de (19) visitas de evaluación a elementos mayores de PEV como sigue:
Barrios Unidos: 1 visita en la UPZ 21 Los Andes
Chapinero: 2 visitas en las UPZ 97 Chicó Lago y 99 Chapinero
Ciudad Bolívar: 2 visitas en la UPZ 69 Ismael Perdomo
Fontibón: 3 visitas en la UPZ 75 Fontibón y 77 Zona Franca
Kennedy: 4 visitas en las UPZ 44 Américas, 47 Kennedy Central, 78 Tintal Norte y 113 Bavaria
Suba: 1 visita en la UPZ 19 El Prado
Teusaquillo: 1 visita en la UPZ 107 Quinta Paredes
Usaquén: 4 visitas en la UPZ 10 La Uribe, 13 Los Cedros
Acumulado:
Primer Trimestre: 24 visitas de evaluación a elementos mayores.
Enero: 12 visitas
Marzo: 12 visitas
Segundo Trimestre: 50 visitas de evaluación a elementos mayores.
Abril: 24 visitas
Mayo: 12 visitas
Junio: 14 visitas
Tercer trimestre: 67 visitas de evaluación a elementos mayores.
Julio: 24 visitas
Agosto: 25 visitas
Septiembre: 18 visitas</t>
  </si>
  <si>
    <t>Acumulado anual
Enero (24) documentos técnicos pendientes por firma para reportar.
Febrero (26) documentos técnicos pendientes por firma para reportar.
Marzo (58) documentos técnicos pendientes por firma para reportar.
Abril (62) documentos técnicos pendientes por firma para reportar.
Mayo (1) documento técnico firmado y (65) pendientes por firma para reportar.
Junio (2) documentos técnicos firmados y (112) pendientes por firma para reportar.
Julio (111) documentos firmados y (5) pendientes por firma para reportar.
Agosto (5) documentos firmados y (46) pendientes por firma para reportar.
Septiembre (90) documentos técnicos pendientes por firma para reportar.</t>
  </si>
  <si>
    <t>ENERO:  Se realizó el seguimiento al Sistema Integrado de Información de Publicación Exterior Visual – SIIPEV.
FEBRERO: No se realizó el seguimiento al Sistema Integrado de Información de Publicación Exterior Visual – SIIPEV, por lo cual no se logró validar el cargue de la información contenida en la plataforma, debido a que el personal encargado no se encuentra contratado.
MARZO: Se realizó el seguimiento al Sistema Integrado de Información de Publicación Exterior Visual – SIIPEV y se validó el cargue de la información contenida en la plataforma.
ABRIL: Se realizó el seguimiento al Sistema Integrado de Información de Publicación Exterior Visual – SIIPEV y se validó el cargue de la información contenida en la plataforma.
MAYO: Se realizó el seguimiento al Sistema Integrado de Información de Publicación Exterior Visual – SIIPEV y se validó el cargue de la información contenida en la plataforma.
JUNIO: Se realizó el seguimiento al Sistema Integrado de Información de Publicación Exterior Visual – SIIPEV y se validó el cargue de la información contenida en la plataforma.
JULIO: Se realizó el seguimiento al Sistema Integrado de Información de Publicación Exterior Visual – SIIPEV y se validó el cargue de la información contenida en la plataforma.
AGOSTO: Se realizó el seguimiento al Sistema Integrado de Información de Publicación Exterior Visual – SIIPEV y se validó el cargue de la información contenida en la plataforma.
SEPTIEMBRE: Se realizó el seguimiento al Sistema Integrado de Información de Publicación Exterior Visual – SIIPEV y se validó el cargue de la información contenida en la plataforma.</t>
  </si>
  <si>
    <t>ENERO: Se realizó la evaluación de (262) solicitudes de registro que dejaron como resultado: 133 registros y 129 requerimientos de información.
FEBRERO: En el mes de febrero se realizó la evaluación de (211) solicitudes de registro que dejaron como resultado: 40 registros, 21 requerimientos de información y 150 evaluaciones por correspondencia. 
MARZO: Se realizó la evaluación de (823) solicitudes de registro que dejaron como resultado: 109 registros, 149 requerimientos de información y 565 evaluaciones por correspondencia.
ABRIL: Se realizó la evaluación de (453) solicitudes de registro que dejaron como resultado: 76 registros, 72 requerimientos de información y 305 evaluaciones por correspondencia. 
MAYO: Se realizó la evaluación de (878) solicitudes de registro que dejaron como resultado: 157 registros, 129 requerimientos de información y 592 evaluaciones por correspondencia. 
JUNIO: Se realizó la evaluación de (780) solicitudes de registro que dejaron como resultado: 410 registros, y 370 requerimientos de información. 
JULIO: Se realizó la evaluación de (118) solicitudes de registro que dejaron como resultado: 32 registros, y 86 requerimientos de información correspondientes a la vigencia del PDD.
AGOSTO: Se realizó la evaluación de (162) solicitudes de registro que dejaron como resultado: 56 registros, y 106 requerimientos de información correspondientes a la vigencia del PDD.
SEPTIEMBRE: Se realizó la evaluación de (265) solicitudes de registro que dejaron como resultado: 74 registros, y 191 requerimientos de información correspondientes a la vigencia del PDD.</t>
  </si>
  <si>
    <t>Para la vigencia 2021, se han desarrollado 757 actuaciones técnicas que corresponde a un 84,8% respecto a lo programado para el año, y a su vez, un avance del 26,6% durante el cuatrienio.
Este avance del 2021, se conforma de: 622 visitas y 135 actuaciones correspondientes a otros documentos técnicos;
•	I trimestre: 13 efectivas con medición, 9 efectivas sin medición, 57 efectivas para cerrar el caso, 30 no efectivas para reprogramar y 47 otros documentos técnicos. Total, trimestre 156 acciones.
•	II trimestre: 28 efectivas con medición, 15 efectivas sin medición, 118 efectivas para cerrar el caso, 87 no efectivas para reprogramar y 59 otros documentos técnicos. Total, trimestre 307 acciones.
•	III trimestre: 25 efectivas con medición, 29 efectivas sin medición, 113 efectivas para cerrar el caso, 98 no efectivas para reprogramar y 29 otros documentos técnicos. Total, trimestre 294 acciones.</t>
  </si>
  <si>
    <t>Avance del 2021:
•	I trimestre: 13 efectivas con medición, 9 efectivas sin medición, 57 efectivas cerrar el caso, 30 no efectivas (reprogramar), total ejecutado 109.
•	II trimestre: 28 efectivas con medición, 15 efectivas sin medición, 118 efectivas cerrar el caso, 87 no efectivas (reprogramar), total ejecutado 248.
•	III trimestre: 25 efectivas con medición, 29 efectivas sin medición, 113 efectivas cerrar el caso, 98 no efectivas (reprogramar), total ejecutado 265.
Acumulado anual 622 visitas, de estas: 66 efectivas con medición, 53 efectivas sin medición, 288 efectivas cerrar el caso, 215 no efectivas (reprogramar). Se han realizado visitas técnicas en las 19 localidades urbanas del Distrito.</t>
  </si>
  <si>
    <t>Avance del 2021:
•	I trimestre: 47 otros documentos técnicos (5 informes acciones populares Antonio Nariño, Bosa, Teusaquillo, 1 conceptos aclaratorios, 41 SUGA). 
•	II trimestre: 59 otros documentos técnicos (9 informes acciones populares Antonio Nariño, Bosa, Teusaquillo, 24 socializaciones, 4 estudios de ruido, 6 reuniones, 16 SUGA). 
•	III trimestre: 29 otros documentos técnicos (7 informes acciones populares Antonio Nariño, Bosa, Teusaquillo, 1 estudio de ruido, 21 SUGA).
Acumulado anual 135 otros documentos técnicos, de estas: 21 informes acciones populares, 1 aclaratorio, 19 socializaciones OPEL, 1 CAL, 4 otras socializaciones, 5 estudios de ruido, 6 reuniones, 78 SUGA.</t>
  </si>
  <si>
    <t>La Secretaría Distrital de Ambiente, en el marco de las acciones de operación, mantenimiento y monitoreo de la red de ruido realizadas, presenta el avance de la vigencia que se detalla a continuación:
* 2020 se proyectaron los informes correspondientes a la operación Red de Monitoreo de Ruido Ambiental de Bogotá (RMRAB), en los cuales se reportan la realización de las actividades acreditación de la metodología de medición de ruido ambiental de la ISO 1996 ante el IDEAM y actividades de soporte y mantenimiento realizado a las estaciones de monitoreo.
* Primer trimestre del año 2021 se avanza en la consolidación del informe relacionado con la operación de la Red de Monitoreo de Ruido Ambiental de Bogotá (RMRAB), se realizaron actividades, de soporte y mantenimiento realizado a las estaciones de monitoreo de ruido, y el avance en el proceso de instalación de las estaciones de la RMRAB afectadas durante protestas del 2020 y la contratación del personal para a la operación de la RMRAB.
* Segundo trimestre del 2021 se realiza el 100% de las acciones relacionadas con la operación y mantenimiento de la Red de Monitoreo de Ruido Ambiental de Bogotá (RMRAB), presentación avance del informe semestral del 2021, informe de gestión y balance social e informe de laboratorio y metrología para la operación de la RMRAB, actualización de Valor Central Cartas Control, seguimiento a arriendos, respuestas a solicitudes ciudadanas, firma de estudios previos para la renovación de los contratos de arriendo, convenios para la operación de estaciones de monitoreo, reporte de las estaciones vandalizadas, reunión con el comité técnico para la aprobación del contrato de arrendamiento con el Edificio Ejecutivo Plaza, realización de estudio previo para la adquisición de un Software de modelación acústica, acompañamiento a la empresa ETB para la reconexión de internet, verificación y acompañamiento a los mantenimientos de las estaciones de ruido por parte de la empresa TEKCEN S.A.S.
* Tercer trimestre del año 2021; avance del informe semestral relacionado con la operación de la Red de Monitoreo de Ruido Ambiental de Bogotá (RMRAB) durante el segundo mes del segundo semestre del 2021, en la cual se reportan la realización de las actividades de soporte y mantenimiento realizado a las estaciones de monitoreo de ruido, se hace entrega del primer avance del informe de actualización de los Mapas Estratégicos del Distrito (MER), avance del informe de Laboratorio Ambiental y se solicitó concepto técnico sobre la infraestructura tecnológica para la instalación del software de modelación acústica. La acreditación ante el IDEAM y la NTC ISO/IEC 17025, se adelantó con la generación y revisión de documentos requeridos en la lista de chequeo generada para tal fin.</t>
  </si>
  <si>
    <t>Avance del 100% para la vigencia 2021, que corresponde a:
* Primer trimestre del año 2021 se avanza en la consolidación del informe relacionado con la operación de la Red de Monitoreo de Ruido Ambiental de Bogotá (RMRAB), se realizaron actividades, de soporte y mantenimiento realizado a las estaciones de monitoreo de ruido, y el avance en el proceso de instalación de las estaciones de la RMRAB afectadas durante protestas del 2020 y la contratación del personal para a la operación de la RMRAB.
* Segundo trimestre del 2021 se realiza el 100% de las acciones relacionadas con la operación y mantenimiento de la Red de Monitoreo de Ruido Ambiental de Bogotá (RMRAB), presentación avance del informe semestral del 2021, informe de gestión y balance social e informe de laboratorio y metrología para la operación de la RMRAB, actualización de Valor Central Cartas Control, seguimiento a arriendos, respuestas a solicitudes ciudadanas, firma de estudios previos para la renovación de los contratos de arriendo, convenios para la operación de estaciones de monitoreo, reporte de las estaciones vandalizadas, reunión con el comité técnico para la aprobación del contrato de arrendamiento con el Edificio Ejecutivo Plaza, realización de estudio previo para la adquisición de un Software de modelación acústica, acompañamiento a la empresa ETB para la reconexión de internet, verificación y acompañamiento a los mantenimientos de las estaciones de ruido por parte de la empresa TEKCEN S.A.S.
* Tercer trimestre del año 2021; avance del informe semestral relacionado con la operación de la Red de Monitoreo de Ruido Ambiental de Bogotá (RMRAB) durante el segundo mes del segundo semestre del 2021, en la cual se reportan la realización de las actividades de soporte y mantenimiento realizado a las estaciones de monitoreo de ruido, se hace entrega del primer avance del informe de actualización de los Mapas Estratégicos del Distrito (MER), avance del informe de Laboratorio Ambiental y se solicitó concepto técnico sobre la infraestructura tecnológica para la instalación del software de modelación acústica. La acreditación ante el IDEAM y la NTC ISO/IEC 17025, se adelantó con la generación y revisión de documentos requeridos en la lista de chequeo generada para tal fin.</t>
  </si>
  <si>
    <t>En cumplimiento de esta actividad se aseguró la continua operación en el primer semestre de la vigencia 2021 de las estaciones que conforman la Red de Monitoreo de Ruido Ambiental de Bogotá (RMRAB). Para el segundo semestre:
* Julio: En el mes de julio se realizan el cronograma de mantenimiento de las estaciones de la RMRAB y se continúa con el aseguramiento de la información.
*Agosto: Se realizan visitas de mantenimiento y de instalación de internet por parte de la empresa de la ETB.
*Septiembre: Se realiza reunión con el personal de la ETB para coordinar la instalación del internet en las estaciones faltantes de conexión. Se determina por parte de la ETB que no cuentan con cobertura de internet en seis (6) de las estaciones por lo que se inicia el proceso de buscar otro operador que pueda prestar el servicio.</t>
  </si>
  <si>
    <t>Se realizó la completa instalación y puesta en funcionamiento de las diez (10) estaciones vandalizadas, por ende, se da como finalizada (Junio) y cerrada esta actividad.</t>
  </si>
  <si>
    <t>Para el tercer trimestre del año 2021, en cumplimiento de esta actividad se gestionaron procesos relacionados con la acreditación de la metodología de medición de ruido ambiental ISO 1996 llevado a cabo por la Secretaria Distrital de Ambiente ante el IDEAM. Se adelanta el proceso de actualización de los procedimientos a cargo de la RMRAB y se generan documentos asociados a la acreditación (procedimientos, instructivos, planes, manuales, formatos, soportes, etc.) a la cual se le hace seguimiento por medio de una lista de chequeo generada internamente.</t>
  </si>
  <si>
    <t>Para el 1 semestre del 2021, se termina la conformación de los estudios preliminares para la construcción y actualización de los Mapas Estratégicos de Ruido (MER). Se conforman los grupos de trabajo y se oficializó el cronograma de actividades.
* Julio: Se analizan las diferentes bases de datos suministradas por las diferentes áreas para la actualización de los MER.
* Agosto: Se realiza la entrega del primer avance de la actualización de los (MER) que contiene la preparación cartográfica, el levantamiento del modelo digital en 3D del Distrito y la definición de los parámetros de entrada al modelo.
*Septiembre: Se gestiona y realiza el estudio previo para la adquisición de un software de modelación acústica.</t>
  </si>
  <si>
    <t>Durante el primer semestre de la vigencia 2021, se ha realizado la construcción y proyección del informe relacionado con la operación de la Red de Monitoreo de Ruido Ambiental de Bogotá (RMRAB): acreditación del procedimiento de monitoreo de ruido ambiental ante el IDEAM, actividades de soporte y mantenimiento realizado a las estaciones de monitoreo de ruido, espacialización de datos de emisión de ruido Colector - ESRI y se presenta el procedimiento interno de manejo de PQR´s a la Secretaría de Salud, la firma  de estudios previos para la renovación de los contratos del Edificio Ejecutivo Plaza, Edificio Marly 51, Edificio Restrepo y Hotel Morrison.
* Durante el tercer trimestre del 2021 se realiza el avance del segundo informe semestral el cual relaciona las novedades de la Red de Monitoreo de Ruido Ambiental como los documentos presentados ante el laboratorio ambiental para la acreditación ante el IDEAM, además se relacionan las PQR´S a las cuales se les dio respuesta, se continúa con el pago de los diferentes arriendos, se realizan diferentes capacitaciones relacionadas con la ISO 1996, adiciones a los contratos de prestación de servicios y se entrega avance del informe de los MER.</t>
  </si>
  <si>
    <t>En el marco de la gestión integral de la calidad del aire de Bogotá, en el Primer semestre de la vigencia 2021 se han presentado 3 documentos técnicos, asi: 
1. Documento técnico de Plan Aire, con sus respectivos anexos y el Decreto del Plan Aire.
2. Informe de seguimiento semestral del grupo de SATAB 2021-I.
3. Documento de modelación. 
Para el Segundo semestre, se viene trabajando en el desarrollo de 5 documentos técnicos, los cuales serán presentados al termino del segundo semestre del 2021;
1. Informe semestral de Seguimiento al Plan Estratégico para la Gestión Integral de la Calidad del Aire – Plan Aire 2030, en el cual se reporta el avance mensual de los 37 proyectos que se encuentran en el plan de acción. 
2. Estructuración y revisión metodológica del Informe de Actualización de Inventarios de Emisiones 2021 - II.
3. Documento protocolo de actuación, del Plan de Contingencia para la atención de episodios de contaminación atmosférica en la ciudad frente a los componentes de conocimiento del riesgo, reducción del riesgo y manejo de alertas y emergencias.
4. Documento estrategia de Gobernanza, este se incluyó en el plan de gestión integral de Calidad del Aire de Bogotá con dos fases principales: Formulación de la estrategia en 2021-2022 e implementación de la estrategia durante el periodo 2022-2024.
5. Informe de seguimiento semestral del grupo de SATAB 2021-II, descripción de las cuatro líneas estratégicas para su operación: i) Índice Bogotano de Calidad del Aire y Riesgo en salud -IBOCA- ii) Avance en la actualización del Plan de Contingencia para la atención de eventos de contaminación atmosférica iii) Gobernanza de la calidad del aire, iv) Monitoreo y análisis de contaminantes y v) sensores de bajo costo.</t>
  </si>
  <si>
    <t>Se realizó el debido seguimiento y reporte de los avances de los 37 proyectos en implementación del Plan Aire 2030, que se contemplan en el plan de acción, el cual establece las actividades y el porcentaje de avance programado en el documento de Plan Aire, arrojando como resultado 28 proyectos que se encuentran con una correcta ejecución que corresponden al 76% de la ejecución del plan y 9 proyectos en estudio.</t>
  </si>
  <si>
    <t>Modelo: se ha realizado la actualización y validación del módulo de fuentes móviles, con el fin de realizar el procesamiento de las emisiones para estas fuentes incluyendo los resultados al documento de inventario de emisiones como información de análisis del impacto que estas generan en cada una de las localidades de la ciudad. Se avanzó en la metodología de estimación del contaminante Black carbón, el cual representa la influencia de este en la calidad de aire de la ciudad de Bogotá.</t>
  </si>
  <si>
    <t>Se han reportaron los siguientes avances respecto a los 3 documentos técnicos:
1. Documento técnico del Plan de contingencia para la atención de eventos de contaminación atmosférica en los siguientes componentes: conocimiento del riesgo, reducción del riesgo y manejo de alertas y emergencias. Adicionalmente, se establecieron criterios de actuación, enfocados en la reducción de exposición a la ciudadanía y en la reducción de emisiones en la ciudad. Actualmente el documento se encuentra en la fase de remisión de observaciones por los diferentes actores involucrados. Se encuentra en un 80% de cumplimiento.
2. En el marco de la gestión integral de la calidad del aire y de la gobernanza se ha venido trabajando junto a la Secretaría Distrital de salud y otras entidades del distrito en la estructuración y socialización de una Estrategia de pedagógica y de comunicación del IBOCA. Se encuentra en un 50% de cumplimiento.
3. Desarrollo del documento de gestión que contiene los avances relacionados con la operación del Sistema de Alertas Tempranas Ambientales de Bogotá, en su componente aire, el cual se resume en las siguientes líneas estratégicas: i) la gestión del Índice Bogotano de Calidad del Aire -IBOCA- ii) el avance en la actualización y consolidación del Plan de Contingencia para la atención de eventos de contaminación atmosférica iii) la gobernanza de la calidad del aire, iv) el monitoreo y análisis de contaminantes; v) el uso de sensores de bajo costo. Se encuentra en un 70% de cumplimiento.</t>
  </si>
  <si>
    <t>En el cumplimiento de los dos (02) informes de gestión programados para la vigencia 2021; se ha alcanzado un avance acumulado en la ejecución de la meta de equivalente a un 75% respecto a lo programado. 
Este avance está basado en las actividades de recolección de información de las acciones de evaluación, control y seguimiento de los grupos de fuentes fijas y fuentes móviles. También en la intervención mediante actuaciones técnicas, visitas de control y seguimiento, acompañamientos, monitoreos, operativos de medición en vía a vehículos que transitan en el Distrito Capital, visitas técnicas de auditoria a Centros de Diagnóstico Automotor CDA'S, con esta información se construyó el informe de acciones de evaluación, control y seguimiento a las fuentes de emisión.
Para el primer semestre del año el acumulado es de 1 informe entregado como avance en la ejecución de la meta
Para el segundo semestre del año el acumulado es de 0,48 de avance en la ejecución de la meta.</t>
  </si>
  <si>
    <t>En el primer trimestre de 2021 se avanzó un 11,87% el cual corresponde al número de actuaciones técnicas generadas del Seguimiento, Control y monitoreo a las fuentes fijas producto de las visitas de Inspección, Vigilancia, Control y monitoreo. Se atendieron un total de 171 actuaciones técnicas. 
Segundo trimestre de 2021 se avanzó un 43,74% corresponde al número de actuaciones técnicas generadas del Seguimiento, Control y monitoreo a las fuentes fijas producto de las visitas de Inspección, Vigilancia, Control y monitoreo Se atendieron un total de 415 actuaciones técnicas.
Tercer trimestre de 2021 se avanzó un 20,01% el cual corresponde al número de actuaciones técnicas generadas del Seguimiento, Control y monitoreo a las fuentes fijas producto de las visitas de Inspección, Vigilancia, Control y monitoreo. Se atendieron un total de 444 actuaciones técnicas.
Cabe anotar que en el mes de septiembre se atendieron 330 solicitudes de la siguiente manera 70 DP, 28 PQR, 7 IAS y 225 radicados generando un total de 157 actuaciones técnicas distribuidas así: 67 CT/IT y 90 oficios de respuesta definitiva.</t>
  </si>
  <si>
    <t>Durante el primer trimestre de 2021: se acumulo el de 24,99%. Para el segundo trimestre se acumuló 24,99% que Corresponde a la atención del 100% de solicitudes allegadas al grupo de fuentes fijas para el primer semestre del 2021.
En el tercer trimestre de 2021 se avanzó un 24,99% porcentaje correspondiente a la atención del 100% de solicitudes allegadas al grupo de fuentes fijas 
Septiembre se avanzó en el control a establecimientos e industrias que cuentan con fuentes fijas de emisión atmosférica, haciendo las visitas de Inspección, Vigilancia y Control en un total de 149 visitas técnicas emitiendo las correspondientes respuestas y actuaciones técnicas donde se realiza un análisis ambiental y normativo y se establecen las acciones que deben realizar para dar cumplimento; atendiendo las solicitudes de la siguiente manera 70 DP, 28 PQR, 7 IAS y 225 radicados para un total de 330 solicitudes, generando un total de 157 actuaciones técnicas distribuidas así: 67 CT/IT y 90 oficios de respuesta definitiva.</t>
  </si>
  <si>
    <t>Durante el primer trimestre de 2021: Se presenta un acumulado de 15,75%, corresponde a 2824 pruebas de emisión a fuentes móviles efectuadas en el periodo en mención.
Durante el segundo trimestre de 2021: Se presenta un acumulado de 24,54%, corresponde a 4398 pruebas de emisión a fuentes móviles efectuadas en el periodo en mención.
Durante el tercer trimestre de 2021: Se evidenció un acumulado de 27,19%, corresponde a 6289 pruebas de emisión a fuentes móviles efectuadas en el periodo en mención.
Para el mes de septiembre: se ejecutaron 3346 revisiones (1046 aprobadas, 883 rechazadas, 524 comparendos, 151 inmovilizados) las cuales corresponden a 1522 tipo OTTO, 1792 tipo DIESEL y 32 tipo MOTOS.</t>
  </si>
  <si>
    <t>Durante el primer trimestre de 2021: Se presenta un acumulado de 5,72%, Corresponde a 4 visitas de certificación a Centros de Diagnóstico Automotor (CDAs) 
Durante el segundo trimestre de 2021: Se presenta un acumulado de 25,70%, Corresponde a 18 visitas de certificación a Centros de Diagnóstico Automotor (CDAs) 
Durante el tercer trimestre de 2021: Se presenta un acumulado de 18,57%, Corresponde a 13 visitas de certificación a Centros de Diagnóstico Automotor (CDAs) 
Para el mes de septiembre: se realizaron 7 visitas de certificación a los Centros de Diagnóstico Automotor CDA RUTA 63 S.A.S, CDA RTM SAN CRISTOBAL NORTE S.A.S, CDA TINTAL, CDA REVI TECH BOGOTA S.A.S, CDA MOTOS CALLE 63 S.A.S, CDA REVIMOTOS PRIMERO DE MAYO S.A.S, CDA PRIMERO DE MAYO S.A.S.</t>
  </si>
  <si>
    <t>En el mes de septiembre se emitieron comentarios al documento final de la campaña de medición de número de partículas realizada por la Universidad de Antioquia en el marco del programa de cooperación CALAC+. Se realizó un documento borrador del método de seguimiento y control por OBD. En el proyecto de sensores remotos se integró a la Secretaría Distrital de Movilidad y se ajustó el plan de trabajo y de pruebas que se realizará por medio de la cooperación de ICCT y SDA. En el proyecto de patrulla caza-infractores se realizaron los estudios previos para la adquisición de equipos y adecuación en el vehículo, los estudios se pasaron a la subdirección contractual para su revisión y aprobación. En el proyecto de etiquetado ambiental vehicular se realizó la propuesta detallada del etiquetado ambiental vehicular junto a un breve estudio de mercado, además se desarrolló la base de Resolución conjunta entre SDA y SDM para adopción del etiquetado y finalmente se realizó el plan de implementación de etiquetado ambiental vehicular en conjunto con SDM.</t>
  </si>
  <si>
    <t>La Secretaría Distrital de Ambiente, en el marco del cumplimiento de la meta de la concentración promedio ponderado de ciudad de material partículado PM10. Los avances del 2021 se detallan a continuación:
Para dar cumplimiento al reporte de la meta de reducción, se calcula el promedio ponderado (móvil anual), con un 40% representado por las estaciones de la zona suroccidente (Carvajal-Sevillana, Kennedy y Puente Aranda) y el 60% restante, correspondiente al resto de estaciones (antiguas) de la ciudad. En consecuencia, se calcula el valor para cada estación con el promedio de los valores diarios, posteriormente se calcula el promedio mensual para cada estación del periodo de corte.  Este promedio busca establecer el cambio en las concentraciones teniendo en cuenta la periodicidad de los ciclos anuales de calidad del aire en la ciudad.
Vigencia 2021 a 30 de septiembre: 34.4 microgramos por metro cubico.</t>
  </si>
  <si>
    <t>La Secretaría Distrital de Ambiente, en el marco del cumplimiento de la meta de la concentración promedio ponderado de ciudad de material partículado PM 2.5. Los avances del 2021 se detallan a continuación:
Para dar cumplimiento al reporte de la meta de reducción, se calcula el promedio ponderado (móvil anual), con un 40% representado por las estaciones de la zona suroccidente (Carvajal-Sevillana, Kennedy y Puente Aranda) y el 60% restante, correspondiente al resto de estaciones (antiguas) de la ciudad. En consecuencia, se calcula el valor para cada estación con el promedio de los valores diarios, posteriormente se calcula el promedio mensual para cada estación del periodo de corte.  Este promedio busca establecer el cambio en las concentraciones teniendo en cuenta la periodicidad de los ciclos anuales de calidad del aire en la ciudad.
Vigencia 2021 a 30 de septiembre: 17.6 microgramos por metro cubico.</t>
  </si>
  <si>
    <t>Durante la ejecución 2021, se han realizado mantenimientos preventivos y correctivos, validación y análisis de datos, diaria de las concentraciones de contaminantes criterio y parámetros meteorológicos que monitorea la RMCAB incluyendo las nuevas estaciones en la red (Bolivia, Usme, Ciudad Bolívar, Bosa, Jazmín, Colina y Móvil Fontibón), así como sus respectivos informes. Se mantuvo el plan de prueba de sensores de bajo costo.
Para el tercer trimestre de la vigencia 2021, Se realizaron mantenimientos preventivos y correctivos, validación y análisis de datos, incluyendo nuevas estaciones en la RMCAB (Bolivia, Usme, Ciudad Bolívar, Bosa, Jazmín, Colina y Móvil Fontibón) se trabajó en integración SDA-CAR y se mantuvo el plan de prueba de sensores de bajo costo. Promedio Trimestral 96%
Para el mes de septiembre el porcentaje de cumplimiento para este indicador es del 98%. Se reportaron los mantenimientos preventivos y correctivos que se realizaron durante el mes, se realizó la validación diaria de los datos de concentraciones de contaminantes criterio y parámetros meteorológicos que monitorea la RMCAB. El reporte de operatividad para el mes de septiembre fue del 92,6% el cual es promedio de los datos validos de todos los parámetros de la red en las estaciones que se genera a través de Envista. Para el mes de septiembre se completo el análisis de datos y la redacción del informe mensual de agosto y del informe trimestral abr-jun del 2021, completando su elaboración y posterior publicación.
como parte del proceso de colaboración entre la Red de Monitoreo de Calidad del Aire de Bogotá – RMCAB y los diferentes actores en el establecimiento de esta red colaborativa de sensores de bajo costo se mantuvo la operación de los sensores instalados en la estación de Las Ferias por parte del Colectivo CanAir.io, La Universidad Central y La Universidad Nacional. Se mantiene en operación los sensores de bajo costo del Colectivo CanAir.io en las estaciones Kennedy y Tunal.</t>
  </si>
  <si>
    <t>Los retrasos que se presentaron están relacionados con los mantenimientos correctivos en los equipos de la RMCAB debido a la limitación en la operatividad asociada a la baja disponibilidad de vehículos, para atender de manera urgente (en máximo un (1) día) los correctivos que se presentan como parte de la operación de los equipos.</t>
  </si>
  <si>
    <t>La solución de fondo a la razón principal de los retrasos es aumentar la disponibilidad de vehículos, para poder realizar los mantenimientos correctivos en los tiempos oportunos.</t>
  </si>
  <si>
    <t>Para el primer trimestre de la vigencia 2021, se han realizado los mantenimientos mensuales a todos los equipos de todas las estaciones de monitoreo de la red. 
Acumulado Trimestral 22.83%
Para el segundo trimestre de la vigencia 2021, se han realizado los mantenimientos mensuales a todos los equipos de todas las estaciones de monitoreo de la red, Sin embargo, se generaron retrasos significativos en la atención a los correctivos debido a la capacidad operativa limitada por no contar con los vehículos necesarios para atender las 20 estaciones y los 4 casos positivos de COVID-19 que se presentaron en el equipo de campo. 
Acumulado Trimestral 18.73%
Para el tercer trimestre de la vigencia 2021, se han realizado los mantenimientos mensuales a todos los equipos de todas las estaciones de monitoreo de la red. Sin embargo, se evidenció una limitación en la operatividad asociada a la baja disponibilidad vehículos.
Acumulado Trimestral 22.07%
Acumulado de la actividad del 63,63%.</t>
  </si>
  <si>
    <t>Para el de la vigencia 2021, Se realizó la validación diaria de los datos de concentraciones de contaminantes criterio y parámetros meteorológicos que monitorea la RMCAB, se emitió el reporte de operatividad mensual respectivo, que corresponde a los datos reportados por las estaciones de la RMCAB. Se realizó el análisis de datos requeridos para la elaboración de los informes que corresponden al trimestre, de acuerdo con lo proyectado. 
Acumulado Trimestral primer trimestre 21.66%
Acumulado Trimestral segundo trimestre 24.99%
Acumulado Trimestral tercer trimestre 24.99%
Acumulado de la actividad del 71,64%.</t>
  </si>
  <si>
    <t>Para el primer trimestre de 2021, se elaboró el informe mensual de diciembre de 2020, el informe mensual de Enero de 2021, además, se procesó y analizó los datos de contaminantes criterio para la elaboración del informe mensual de Febrero de 2021, y Trimestral de oct-dic 2020. 
Acumulado Trimestral 18.74%
Para el segundo trimestre de 2021, se publicó en la página de la RMCAB, los informes de diciembre 2020, enero, febrero de 2021 y Trimestral oct-dic 2020. También se elaboró y publicó los informes de marzo, abril y mayo de 2021, Trimestral enero-marzo 2021 y anual 2020. 
Acumulado Trimestral 28.22%
Para el tercer trimestre de 2021, se elaboró y publicó en la página de la RMCAB los informes de junio, julio y agosto de 2021, el informe Trimestral abril-junio 2021. 
Acumulado Trimestral 23.52%
Acumulado de la actividad del 70,48%.</t>
  </si>
  <si>
    <t>Para la vigencia 2021, se mantiene el proceso de validación de los datos generados por las nuevas estaciones y equipos, para lo cual se adelantan procesos de intercomparación entre equipos, y se valida el comportamiento de algunos parámetros con el fin de integrarlos finalmente al sitio web de la RMCAB. 
Acumulado Trimestral 25%
Segundo trimestre; Acumulado Trimestral 25%
Tercer trimestre; Acumulado Trimestral 25%
Acumulado de la actividad del 75,00%.</t>
  </si>
  <si>
    <t>Para el primer trimestre de la vigencia 2021, como parte del proceso de colaboración entre la Red de Monitoreo de Calidad del Aire de Bogotá – RMCAB y los diferentes actores en el establecimiento de esta red colaborativa de sensores de bajo costo se mantuvo la operación de los sensores instalados en la estación de Las ferias por parte del Colectivo CanAir.io, La Universidad Central y La Universidad Nacional. Adicionalmente, se mantiene en operación los sensores de bajo costo del Colectivo CanAir.io en la estación Kennedy y en la estación del Tunal. 
Acumulado Trimestral 24.96%
Para el segundo trimestre de la vigencia 2021, se mantiene en operación los sensores de bajo costo instalados. Adicionalmente se realizó una visita de inspección a la estación de Las Ferias con el personal del proceso de consultoría que lidera el CIMAB para este tema y se realizó la instalación de los micro sensores en el marco del proceso de consultoría para evaluación de sensores de bajo costo liderado por el grupo de CIMAB y SATAB. 
Acumulado Trimestral 24.99%
Para el tercer trimestre de la vigencia 2021, se mantiene en operación los sensores de bajo costo instalados, adicionalmente, se realizó la instalación de los micro sensores en el marco del proceso de consultoría para evaluación de sensores de bajo costo liderado por el grupo de CIMAB y SATAB y se realizó el apoyo para el montaje de otros micro sensores en cuatro estaciones de la RMCAB en el marco de un proyecto liderado por la Universidad Nacional y que busca medir la calidad del aire en cinco ciudades del país con este tipo de instrumentos. 
Acumulado Trimestral 24.99%
Acumulado de la actividad del 74,94%.</t>
  </si>
  <si>
    <t>La Secretaría Distrital de Ambiente del 01 de febrero al 30 de septiembre de 2021 en ejercicio de su función sancionatoria ha acogido 612 conceptos técnicos relacionados con el recurso ambiental aire, auditiva y visual y que recomiendan una actuación administrativa sancionatoria, como se relaciona a continuación: 
Primer trimestre:
No de Conceptos Técnicos que recomiendan actuaciones administrativas sancionatorias: 24 Conceptos Técnicos.
No de Conceptos Técnicos atendidos jurídicamente: 24 Conceptos Técnicos acogidos
Segundo trimestre:
No de Conceptos Técnicos que recomiendan actuaciones administrativas sancionatorias: 168 Conceptos Técnicos.
No de Conceptos Técnicos atendidos jurídicamente: 152 Conceptos Técnicos acogidos
Tercer trimestre:
No de Conceptos Técnicos que recomiendan actuaciones administrativas sancionatorias: 435 Conceptos Técnicos.
No de Conceptos Técnicos atendidos jurídicamente: 436 Conceptos Técnicos acogidos.</t>
  </si>
  <si>
    <t>Durante el período del 1 de enero al 30 de septiembre de 2021, se realizaron las siguientes actividades archivísticas: 
Primer Trimestre:
1. Apertura de expedientes: 34
2. Ordenación: 12
3. Verificación Física de Expedientes - Protech:584
4. Verificación Física de Expedientes - DCA: 5062
5. Levantamiento Base de Datos Inserciones DCA: 582
6. Atención servicio de Consulta de documentos: 50
7. Atención servicio de préstamo de documentos: 209
Segundo Trimestre:
1. Apertura de expedientes: 387
2. Encarpetado: 102 
3. Asociación de Radicados - Forest:961
4. Ordenación: 208
5. Inserción: 57
6. Verificación Física de Expedientes - Protech:804
7. Verificación Física de Expedientes - DCA: 298
8. Entrega de expedientes PROTECH: 1693
9. Entrega de inserciones PROTECH: 456
10. Levantamiento Base de Datos Inserciones DCA: 139
11. Atención servicio de Consulta de documentos: 2
12. Atención servicio de préstamo de documentos: 592
13.Levantamiento Base de Datos Inserciones PROTECH: 1027
Tercer Trimestre:
1. Apertura: 538
2. Encarpetado Expedientes: 249
3. Inserción: 255
4. Asociación de Radicados - FOREST: 390
5. Ordenación: 189
6. FUID: 70
7. Hoja de Control:70
8. Verificación Física de Expedientes - PROTECH: 194
9. Desgloses: 92
10. Levantamiento Base de Datos Inserciones DCA: 3035
11. Entrega de expedientes PROTECH: 695
12. Entrega de inserciones PROTECH: 662
13. Recepción de expedientes a PROTECH: 906
14. Levantamiento Base de Datos Inserciones PROTECH: 645
15. Levantamiento Base de Datos expedientes PROTECH: 167
16. Alistamiento transferencias documentales: 77
17. Ubicación física de Expedientes: 33
18, Consulta: 6
19. Préstamo: 495.</t>
  </si>
  <si>
    <t>Durante el periodo del 01 de enero al 30 de septiembre de 2021 se realizaron las siguientes acciones asociadas al trámite de notificación:
Primer trimestre:
Se efectuó el trámite de Notificación de 240 Actos Administrativos sancionatorios
Segundo trimestre:
Se efectuó el trámite de Notificación de 501 Actos Administrativos sancionatorios
Tercer trimestre:
Se efectuó el trámite de Notificación de 636 Actos Administrativos sancionatorios.</t>
  </si>
  <si>
    <t>Durante el período del 1 de enero al 30 de septiembre de 2021, se realizaron las siguientes acciones asociadas a los procesos de control y seguimiento ambiental: 
Primer trimestre:
1. Se llevó a cabo la elaboración de tres (03) informes técnicos de criterios: 4451661 – 4405226- 3991041
2. Se llevo a cabo la actualización de UVT - ITC proceso 4183475 y proceso 4135130 
Atención y elaboración de informe técnico de proceso FOREST 4098136 - 3792107 - 3933534 
Segundo trimestre:
1. Elaboración de 15 Informes técnicos de Criterios asociados al recurso calidad de aire, auditiva y visual / 3738293, 3733075, 3798632, 3816574, 4466348, 4230960, 3979426, 4099930, 3852080, 3844365, 4130707, 3783700 -4049732 - 4592080 - 4667118
2. Respuesta Recurso de Reposición proceso 3834138
- Se genera un rezago en la actividad de 16,60% correspondiente a 44 informes técnicos que fueron programados durante el trimestre, pero se encuentran en estado proyectado en revisión técnica pendientes de aprobación y firma. Estos procesos se priorizarán y reportarán en el mes de julio.
Tercer trimestre:
1. Elaboración y aprobación de 30 Informes técnicos de Criterios asociados al recurso calidad de aire, auditiva y visual
2. Proyección de insumo técnico para atender Demanda Acción de Nulidad y Restablecimiento del Derecho relacionada con la Resolución 00183 del 31/01/2017.</t>
  </si>
  <si>
    <t>La Secretaría Distrital de Ambiente del 01 de enero al 30 de septiembre de 2021 en ejercicio de su función sancionatoria acogió el 98% de los conceptos técnicos relacionados con el recurso  ambiental aire, auditiva y visual y que recomiendan una actuación administrativa sancionatoria, como se relaciona a continuación: 
No de Conceptos Técnicos que recomiendan actuaciones administrativas sancionatorias: 627 Conceptos Técnicos.
No de Conceptos Técnicos atendidos jurídicamente: 612 Conceptos Técnicos acogidos.</t>
  </si>
  <si>
    <t>Para el primer trimestre de la vigencia 2021, desde la SDA se esta trabajando en la formulación de un proyecto que tiene como objetivo la implementación de un aplicativo para la visualización de datos del monitoreo de calidad de aire de las estaciones Bogotá región, el cual se subirá al fondo de regalías para su financiamiento. 
Acumulado Trimestral 25%
Para el segundo trimestre de la vigencia 2021, se realizó la revisión de la parte jurídica y de cooperación en la estructura del Convenio entre la SDA y la CAR de Cundinamarca, estableciendo la necesidad de definir el tipo de convenio a realizar, el periodo de ejecución, el rol de cada entidad para los formatos a utilizar y el cargue de los documentos. En ese sentido, se realizó reunión con los profesionales de la Corporación para establecer las actividades a realizar en el marco de la integración de las redes, específicamente lo relacionado con el tema de modelación de calidad del aire y se avanzó en la estructura del Convenio y las actividades para este componente. 
Acumulado Trimestral 25%
Para el tercer trimestre de la vigencia 2021, se consolidó el estudio de mercado para la actualización de la plataforma IBOCA en conjunto con la integración de las Redes de la CAR y la SDA, además, se está construyendo por parte de la SDA un documento técnico en el cual se estableció cuales son los beneficios de la integración y la articulación requerida. 
Acumulado Trimestral 25%
Acumulado de la actividad del 75,00%.</t>
  </si>
  <si>
    <t>En el marco de la gestión integral de la calidad del aire de Bogotá, en el Primer semestre de la vigencia 2021 se presentaron los siguientes 3 documentos técnicos, asi: 
1. Documento técnico de Plan Aire, con sus respectivos anexos y el Decreto del Plan Aire.
2. Informe de seguimiento semestral del grupo de SATAB 2021-I.
3. Documento de modelación. 
A continuación, se de el avance de los otros cinco (5) documentos, a presentar:
4. Informe semestral de Seguimiento al Plan Estratégico para la Gestión Integral de la Calidad del Aire – Plan Aire 2030, en el cual se reporta el avance mensual de los 37 proyectos que se encuentran en el plan de acción. 
5. Estructuración y revisión metodológica del Informe de Actualización de Inventarios de Emisiones 2021 - II.
6. Documento protocolo de actuación, del Plan de Contingencia para la atención de episodios de contaminación atmosférica en la ciudad frente a los componentes de conocimiento del riesgo, reducción del riesgo y manejo de alertas y emergencias.
7. Documento estrategia de Gobernanza, este se incluyó en el plan de gestión integral de Calidad del Aire de Bogotá con dos fases principales: Formulación de la estrategia en 2021-2022 e implementación de la estrategia durante el periodo 2022-2024.
8. Informe de seguimiento semestral del grupo de SATAB 2021-II, descripción de las cuatro líneas estratégicas para su operación: i) Índice Bogotano de Calidad del Aire y Riesgo en salud -IBOCA- ii) Avance en la actualización del Plan de Contingencia para la atención de eventos de contaminación atmosférica iii) Gobernanza de la calidad del aire, iv) Monitoreo y análisis de contaminantes y v) sensores de bajo costo.</t>
  </si>
  <si>
    <t>Avance del 100% para la vigencia 2021, que corresponde a:
* Primer trimestre del año 2021 se avanza en la consolidación del informe relacionado con la operación de la Red de Monitoreo de Ruido Ambiental de Bogotá (RMRAB), se realizaron actividades, de soporte y mantenimiento realizado a las estaciones de monitoreo de ruido, y el avance en el proceso de instalación de las estaciones de la RMRAB afectadas durante protestas del 2020 y la contratación del personal para a la operación de la RMRAB.
* Segundo trimestre del 2021 se realiza el 100% de las acciones relacionadas con la operación y mantenimiento de la Red de Monitoreo de Ruido Ambiental de Bogotá (RMRAB), presentación avance del informe semestral del 2021, informe de gestión y balance social e informe de laboratorio y metrología para la operación de la RMRAB, actualización de Valor Central Cartas Control, seguimiento a arriendos, respuestas a solicitudes ciudadanas, firma de estudios previos para la renovación de los contratos de arriendo, convenios para la operación de estaciones de monitoreo, reporte de las estaciones vandalizadas, reunión con el comité técnico para la aprobación del contrato de arrendamiento con el Edificio Ejecutivo Plaza, realización de estudio previo para la adquisición de un Software de modelación acústica, acompañamiento a la empresa ETB para la reconexión de internet, verificación y acompañamiento a los mantenimientos de las estaciones de ruido por parte de la empresa TEKCEN S.A.S.
* Tercer trimestre del año 2021; avance del informe semestral relacionado con la operación de la Red de Monitoreo de Ruido Ambiental de Bogotá (RMRAB),se reportan la realización de las actividades de soporte y mantenimiento realizado a las estaciones de monitoreo de ruido, se hace entrega del primer avance del informe de actualización de los Mapas Estratégicos del Distrito (MER), avance del informe de Laboratorio Ambiental y se solicitó concepto técnico sobre la infraestructura tecnológica para la instalación del software de modelación acústica. La acreditación ante el IDEAM y la NTC ISO/IEC 17025, se adelantó con la generación y revisión de documentos requeridos en la lista de chequeo generada para tal fin.</t>
  </si>
  <si>
    <t>Para la vigencia del Proyecto de Inversión del año 2021 se han realizado cuatro mil doscientas sesenta y seis (4.266) acciones de evaluación, control y seguimiento:
Cuarenta y siete (47) operativos de control y sensibilización
Ciento cuarenta y uno (141) visitas de evaluación a elementos mayores.
Ciento diecinueve (119) documentos técnicos firmados.
Siete (07) cargues de información a la plataforma SIIPEV.
Tres mil novecientas cincuenta y dos (3.952) evaluaciones a solicitudes de elementos de publicidad exterior visual.
Lo anterior, dando un avance para el cuatrienio de 5.558 acciones de evaluación, control y seguimiento: 102 operativos de control y seguimiento, 238 visitas de evaluación a elementos mayores, 122 documentos técnicos, 54 visitas a elementos menores, 10 cargues de información a la plataforma SIIPEV, 5.032 evaluaciones a solicitudes de elementos de publicidad exterior visual.</t>
  </si>
  <si>
    <t xml:space="preserve">En el cumplimiento de los dos (02) informes de gestión programados para la vigencia 2021; se ha alcanzado un avance acumulado en la ejecución de la meta de equivalente a un 78% respecto a lo programado, así; para el primer semestre de la vigencia se elaboro y presento el Primer Informe de seguimiento a fuentes de emisión esto corresponde al 50% en la ejecución de la meta para la vigencia y para el Segundo semestre, se registra un avance del 28% en la construcción del informe de seguimiento del segundo semestre de 2021.
Este avance está basado en las actividades de recolección de información de las acciones de evaluación, control y seguimiento de los grupos de fuentes fijas y fuentes móviles. También en la intervención mediante actuaciones técnicas, visitas de control y seguimiento, acompañamientos, monitoreos, operativos de medición en vía a vehículos que transitan en el Distrito Capital, visitas técnicas de auditoria a Centros de Diagnóstico Automotor CDA'S, con esta información se construyó el informe de acciones de evaluación, control y seguimiento a las fuentes de emisión.
</t>
  </si>
  <si>
    <t>La SDA, en el marco de las acciones de seguimiento y control de emisión de ruido a los establecimientos de comercio, industria y servicio ubicados en el perímetro urbano del D.C., presenta avance acumulado al PDD de (1248) acciones, de los cuales (491) son vigencia 2020 y (757) vigencia 2021.
Para el 2021, se han reaalizado:
•	I trimestre: (109) visitas y (47) documentos técnicos, total (156) acciones. 
•	II trimestre: (248) visitas y (59) documentos técnicos, total (307) acciones.
•	III trimestre: (265) visitas y (29) documentos técnicos, total (294) acciones
Vigencia 2020:
Se realizaron 491 actuaciones técnicas, correspondientes a las 374 visitas relacionadas con acciones de seguimiento y control a emisiones de ruido y 117 documentos técnicos.</t>
  </si>
  <si>
    <t>Distrito Capital:  Fuentes Fijas y móvles.
En la ejecución de la meta del PDD y en particular en la meta del Proyecto de Inversión para el caso de los informes de la meta plan de desarrollo y su territorialización especifica se dificulta en algunos casos puntuales ya que las afectaciones generadas son temporales y difíciles de ubicar, para el caso de fuentes fijas, debido a que las emisiones generadas tienen una repetitividad en el tiempo y el espacio ya que las actividades económicas procesos productivos de gran tamaño no pueden trasladarse permanentemente su ubicación por localidades UPZ y barrio es mucho mas factible, en cuanto a los operativos de móviles ya que la secretaria escoge los puntos de control su georefenciacion es mas sencilla.</t>
  </si>
  <si>
    <r>
      <rPr>
        <b/>
        <u/>
        <sz val="10"/>
        <rFont val="Arial"/>
        <family val="2"/>
      </rPr>
      <t>ESPECIAL</t>
    </r>
    <r>
      <rPr>
        <sz val="10"/>
        <rFont val="Arial"/>
        <family val="2"/>
      </rPr>
      <t xml:space="preserve">: 1. Visitas Tecnicas de Control. Localización "Especial", involucra las localdiades: Angtonio Nariño, Barrios Unidos, Bosa, Candelaria, Chapinero, Ciudad Bolivar, Engativá, Fontibón, Kennedy, Martires, Puente Aranda, Rafael Uribe Uribe, San Cristobal, Santa Fe, Suba, Teisaquillo, Tunjuelito, Usaquen y Usme. 
En desarrollo de las actividades misionales del área técnica de emisión ruido y en atención a las solicitudes que mediante PQRS ingresan a la Entidad, por parte de ciudadanos y diferentes entidades del orden local o nacional, se programan y realizan visitas técnicas en las 19 localidades urbanas de la ciudad.
Bogotá D.C. Nota: La ejecución y cumplimiento de la meta del Proyecto de Inversión, se desarrolla sobre el Distrito Capital toda vez que su acción de evaluación, control y seguimiento no se delimitan a una o varias zonas especificas, la medición, impacto y resultados generados se aplican a nivel ciudad. </t>
    </r>
  </si>
  <si>
    <r>
      <t xml:space="preserve">CORTE A SEPTIEMBRE </t>
    </r>
    <r>
      <rPr>
        <sz val="12"/>
        <rFont val="Arial"/>
        <family val="2"/>
      </rPr>
      <t>2021</t>
    </r>
  </si>
  <si>
    <t>7, LOGROS CORTE A SEPTIEMBRE AÑO 2021</t>
  </si>
  <si>
    <t>Radicado No. 2021IE106063 del 31 de mayo del 2021.</t>
  </si>
  <si>
    <t>Se incluyen   columnas con nuevos patrones de medición en los omponentes de Gestión e Inversión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</si>
</sst>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7">
    <numFmt numFmtId="8" formatCode="&quot;$&quot;\ #,##0.00;[Red]\-&quot;$&quot;\ #,##0.00"/>
    <numFmt numFmtId="42" formatCode="_-&quot;$&quot;\ * #,##0_-;\-&quot;$&quot;\ * #,##0_-;_-&quot;$&quot;\ * &quot;-&quot;_-;_-@_-"/>
    <numFmt numFmtId="41" formatCode="_-* #,##0_-;\-* #,##0_-;_-* &quot;-&quot;_-;_-@_-"/>
    <numFmt numFmtId="44" formatCode="_-&quot;$&quot;\ * #,##0.00_-;\-&quot;$&quot;\ * #,##0.00_-;_-&quot;$&quot;\ * &quot;-&quot;??_-;_-@_-"/>
    <numFmt numFmtId="43" formatCode="_-* #,##0.00_-;\-* #,##0.00_-;_-* &quot;-&quot;??_-;_-@_-"/>
    <numFmt numFmtId="164" formatCode="_-&quot;$&quot;* #,##0_-;\-&quot;$&quot;* #,##0_-;_-&quot;$&quot;* &quot;-&quot;_-;_-@_-"/>
    <numFmt numFmtId="165" formatCode="_-&quot;$&quot;* #,##0.00_-;\-&quot;$&quot;* #,##0.00_-;_-&quot;$&quot;* &quot;-&quot;??_-;_-@_-"/>
    <numFmt numFmtId="166" formatCode="_(&quot;$&quot;\ * #,##0.00_);_(&quot;$&quot;\ * \(#,##0.00\);_(&quot;$&quot;\ * &quot;-&quot;??_);_(@_)"/>
    <numFmt numFmtId="167" formatCode="_(* #,##0.00_);_(* \(#,##0.00\);_(* &quot;-&quot;??_);_(@_)"/>
    <numFmt numFmtId="168" formatCode="_-* #,##0.00\ &quot;€&quot;_-;\-* #,##0.00\ &quot;€&quot;_-;_-* &quot;-&quot;??\ &quot;€&quot;_-;_-@_-"/>
    <numFmt numFmtId="169" formatCode="_-* #,##0.00\ _€_-;\-* #,##0.00\ _€_-;_-* &quot;-&quot;??\ _€_-;_-@_-"/>
    <numFmt numFmtId="170" formatCode="_ &quot;$&quot;\ * #,##0.00_ ;_ &quot;$&quot;\ * \-#,##0.00_ ;_ &quot;$&quot;\ * &quot;-&quot;??_ ;_ @_ "/>
    <numFmt numFmtId="171" formatCode="_ * #,##0.00_ ;_ * \-#,##0.00_ ;_ * &quot;-&quot;??_ ;_ @_ "/>
    <numFmt numFmtId="172" formatCode="0.0%"/>
    <numFmt numFmtId="173" formatCode="_ * #,##0_ ;_ * \-#,##0_ ;_ * &quot;-&quot;??_ ;_ @_ "/>
    <numFmt numFmtId="174" formatCode="_(&quot;$&quot;* #,##0.00_);_(&quot;$&quot;* \(#,##0.00\);_(&quot;$&quot;* &quot;-&quot;??_);_(@_)"/>
    <numFmt numFmtId="175" formatCode="_-* #,##0\ _€_-;\-* #,##0\ _€_-;_-* &quot;-&quot;??\ _€_-;_-@_-"/>
    <numFmt numFmtId="176" formatCode="_(&quot;$&quot;\ * #,##0_);_(&quot;$&quot;\ * \(#,##0\);_(&quot;$&quot;\ * &quot;-&quot;_);_(@_)"/>
    <numFmt numFmtId="177" formatCode="#,##0.00\ \€"/>
    <numFmt numFmtId="178" formatCode="#,##0.000"/>
    <numFmt numFmtId="179" formatCode="&quot;$&quot;\ #,##0"/>
    <numFmt numFmtId="180" formatCode="&quot;$&quot;\ #,##0.00"/>
    <numFmt numFmtId="181" formatCode="#,##0.0"/>
    <numFmt numFmtId="182" formatCode="0.0"/>
    <numFmt numFmtId="183" formatCode="#,##0.0_ ;\-#,##0.0\ "/>
    <numFmt numFmtId="184" formatCode="_-* #,##0_-;\-* #,##0_-;_-* &quot;-&quot;??_-;_-@_-"/>
    <numFmt numFmtId="185" formatCode="_-&quot;$&quot;\ * #,##0.0_-;\-&quot;$&quot;\ * #,##0.0_-;_-&quot;$&quot;\ * &quot;-&quot;_-;_-@_-"/>
  </numFmts>
  <fonts count="80" x14ac:knownFonts="1">
    <font>
      <sz val="11"/>
      <color theme="1"/>
      <name val="Calibri"/>
      <family val="2"/>
      <scheme val="minor"/>
    </font>
    <font>
      <sz val="11"/>
      <color indexed="8"/>
      <name val="Calibri"/>
      <family val="2"/>
    </font>
    <font>
      <b/>
      <sz val="10"/>
      <name val="Arial"/>
      <family val="2"/>
    </font>
    <font>
      <sz val="11"/>
      <name val="Arial"/>
      <family val="2"/>
    </font>
    <font>
      <sz val="10"/>
      <name val="Arial"/>
      <family val="2"/>
    </font>
    <font>
      <sz val="12"/>
      <name val="Arial"/>
      <family val="2"/>
    </font>
    <font>
      <sz val="11"/>
      <color indexed="8"/>
      <name val="Calibri"/>
      <family val="2"/>
    </font>
    <font>
      <sz val="12"/>
      <color indexed="8"/>
      <name val="Arial"/>
      <family val="2"/>
    </font>
    <font>
      <sz val="8"/>
      <name val="Calibri"/>
      <family val="2"/>
    </font>
    <font>
      <sz val="10"/>
      <name val="Arial"/>
      <family val="2"/>
    </font>
    <font>
      <b/>
      <sz val="14"/>
      <name val="Arial"/>
      <family val="2"/>
    </font>
    <font>
      <b/>
      <sz val="12"/>
      <name val="Arial"/>
      <family val="2"/>
    </font>
    <font>
      <sz val="8"/>
      <name val="Arial"/>
      <family val="2"/>
    </font>
    <font>
      <sz val="10"/>
      <name val="Arial"/>
      <family val="2"/>
    </font>
    <font>
      <b/>
      <sz val="9"/>
      <color indexed="81"/>
      <name val="Tahoma"/>
      <family val="2"/>
    </font>
    <font>
      <b/>
      <sz val="8"/>
      <name val="Arial"/>
      <family val="2"/>
    </font>
    <font>
      <sz val="9"/>
      <name val="Arial"/>
      <family val="2"/>
    </font>
    <font>
      <sz val="9"/>
      <color indexed="8"/>
      <name val="Arial"/>
      <family val="2"/>
    </font>
    <font>
      <b/>
      <sz val="9"/>
      <name val="Arial"/>
      <family val="2"/>
    </font>
    <font>
      <sz val="11"/>
      <color theme="1"/>
      <name val="Calibri"/>
      <family val="2"/>
      <scheme val="minor"/>
    </font>
    <font>
      <sz val="10"/>
      <color theme="1"/>
      <name val="Calibri"/>
      <family val="2"/>
      <scheme val="minor"/>
    </font>
    <font>
      <b/>
      <sz val="11"/>
      <color theme="1"/>
      <name val="Calibri"/>
      <family val="2"/>
      <scheme val="minor"/>
    </font>
    <font>
      <sz val="14"/>
      <name val="Tahoma"/>
      <family val="2"/>
    </font>
    <font>
      <b/>
      <sz val="14"/>
      <name val="Tahoma"/>
      <family val="2"/>
    </font>
    <font>
      <sz val="10"/>
      <color indexed="8"/>
      <name val="Arial"/>
      <family val="2"/>
    </font>
    <font>
      <sz val="11"/>
      <name val="Calibri"/>
      <family val="2"/>
      <scheme val="minor"/>
    </font>
    <font>
      <sz val="20"/>
      <color theme="1"/>
      <name val="Calibri"/>
      <family val="2"/>
      <scheme val="minor"/>
    </font>
    <font>
      <b/>
      <sz val="20"/>
      <name val="Arial"/>
      <family val="2"/>
    </font>
    <font>
      <sz val="24"/>
      <color theme="1"/>
      <name val="Calibri"/>
      <family val="2"/>
      <scheme val="minor"/>
    </font>
    <font>
      <b/>
      <sz val="14"/>
      <color indexed="8"/>
      <name val="Arial"/>
      <family val="2"/>
    </font>
    <font>
      <b/>
      <sz val="20"/>
      <color rgb="FFFF0000"/>
      <name val="Arial"/>
      <family val="2"/>
    </font>
    <font>
      <sz val="9"/>
      <color indexed="81"/>
      <name val="Tahoma"/>
      <family val="2"/>
    </font>
    <font>
      <sz val="10"/>
      <color theme="1"/>
      <name val="Arial"/>
      <family val="2"/>
    </font>
    <font>
      <sz val="10"/>
      <color rgb="FF000000"/>
      <name val="Arial"/>
      <family val="2"/>
    </font>
    <font>
      <sz val="11"/>
      <color theme="0"/>
      <name val="Calibri"/>
      <family val="2"/>
      <scheme val="minor"/>
    </font>
    <font>
      <sz val="10"/>
      <color theme="1"/>
      <name val="Verdana"/>
      <family val="2"/>
    </font>
    <font>
      <b/>
      <sz val="10"/>
      <color theme="1"/>
      <name val="Verdana"/>
      <family val="2"/>
    </font>
    <font>
      <sz val="12"/>
      <color theme="0"/>
      <name val="Calibri"/>
      <family val="2"/>
      <scheme val="minor"/>
    </font>
    <font>
      <sz val="12"/>
      <color theme="1"/>
      <name val="Calibri"/>
      <family val="2"/>
      <scheme val="minor"/>
    </font>
    <font>
      <sz val="12"/>
      <color indexed="8"/>
      <name val="Calibri"/>
      <family val="2"/>
    </font>
    <font>
      <sz val="11"/>
      <color rgb="FF9C6500"/>
      <name val="Calibri"/>
      <family val="2"/>
      <scheme val="minor"/>
    </font>
    <font>
      <sz val="11"/>
      <color rgb="FF000000"/>
      <name val="Calibri"/>
      <family val="2"/>
    </font>
    <font>
      <sz val="11"/>
      <name val="Calibri"/>
      <family val="2"/>
    </font>
    <font>
      <b/>
      <sz val="11"/>
      <name val="Calibri"/>
      <family val="2"/>
    </font>
    <font>
      <sz val="10.5"/>
      <color theme="1"/>
      <name val="Times New Roman"/>
      <family val="1"/>
    </font>
    <font>
      <sz val="11"/>
      <color indexed="8"/>
      <name val="Calibri"/>
      <family val="2"/>
      <scheme val="minor"/>
    </font>
    <font>
      <b/>
      <u/>
      <sz val="10"/>
      <name val="Arial"/>
      <family val="2"/>
    </font>
    <font>
      <b/>
      <sz val="24"/>
      <color theme="1"/>
      <name val="Arial"/>
      <family val="2"/>
    </font>
    <font>
      <b/>
      <sz val="14"/>
      <color theme="1"/>
      <name val="Arial"/>
      <family val="2"/>
    </font>
    <font>
      <b/>
      <sz val="20"/>
      <color theme="1"/>
      <name val="Arial"/>
      <family val="2"/>
    </font>
    <font>
      <b/>
      <sz val="11"/>
      <color theme="1"/>
      <name val="Arial"/>
      <family val="2"/>
    </font>
    <font>
      <b/>
      <sz val="16"/>
      <color theme="1"/>
      <name val="Arial"/>
      <family val="2"/>
    </font>
    <font>
      <b/>
      <sz val="10"/>
      <color theme="1"/>
      <name val="Arial"/>
      <family val="2"/>
    </font>
    <font>
      <sz val="12"/>
      <name val="Calibri"/>
      <family val="2"/>
      <scheme val="minor"/>
    </font>
    <font>
      <b/>
      <sz val="20"/>
      <color theme="1"/>
      <name val="Calibri"/>
      <family val="2"/>
      <scheme val="minor"/>
    </font>
    <font>
      <b/>
      <sz val="12"/>
      <color indexed="8"/>
      <name val="Arial"/>
      <family val="2"/>
    </font>
    <font>
      <b/>
      <sz val="8"/>
      <color rgb="FF000000"/>
      <name val="Times New Roman"/>
      <family val="1"/>
    </font>
    <font>
      <sz val="14"/>
      <name val="Arial"/>
      <family val="2"/>
    </font>
    <font>
      <sz val="14"/>
      <color indexed="8"/>
      <name val="Arial"/>
      <family val="2"/>
    </font>
    <font>
      <b/>
      <sz val="14"/>
      <color theme="1"/>
      <name val="Calibri"/>
      <family val="2"/>
      <scheme val="minor"/>
    </font>
    <font>
      <b/>
      <sz val="16"/>
      <name val="Arial"/>
      <family val="2"/>
    </font>
    <font>
      <sz val="14"/>
      <color theme="1"/>
      <name val="Arial"/>
      <family val="2"/>
    </font>
    <font>
      <b/>
      <sz val="18"/>
      <color theme="1"/>
      <name val="Calibri"/>
      <family val="2"/>
      <scheme val="minor"/>
    </font>
    <font>
      <sz val="18"/>
      <color theme="1"/>
      <name val="Calibri"/>
      <family val="2"/>
      <scheme val="minor"/>
    </font>
    <font>
      <b/>
      <sz val="30"/>
      <name val="Arial"/>
      <family val="2"/>
    </font>
    <font>
      <b/>
      <sz val="30"/>
      <name val="Calibri"/>
      <family val="2"/>
      <scheme val="minor"/>
    </font>
    <font>
      <b/>
      <sz val="10"/>
      <color theme="1"/>
      <name val="Calibri"/>
      <family val="2"/>
      <scheme val="minor"/>
    </font>
    <font>
      <sz val="20"/>
      <name val="Arial"/>
      <family val="2"/>
    </font>
    <font>
      <sz val="12"/>
      <color theme="1"/>
      <name val="Arial Narrow"/>
      <family val="2"/>
    </font>
    <font>
      <sz val="8"/>
      <name val="Calibri"/>
      <family val="2"/>
      <scheme val="minor"/>
    </font>
    <font>
      <u/>
      <sz val="11"/>
      <color theme="10"/>
      <name val="Calibri"/>
      <family val="2"/>
      <scheme val="minor"/>
    </font>
    <font>
      <u/>
      <sz val="10"/>
      <name val="Arial"/>
      <family val="2"/>
    </font>
    <font>
      <b/>
      <sz val="12"/>
      <color theme="1"/>
      <name val="Arial"/>
      <family val="2"/>
    </font>
    <font>
      <sz val="10"/>
      <name val="Calibri"/>
      <family val="2"/>
      <scheme val="minor"/>
    </font>
    <font>
      <b/>
      <sz val="9"/>
      <color rgb="FF000000"/>
      <name val="Tahoma"/>
      <family val="2"/>
    </font>
    <font>
      <sz val="9"/>
      <color rgb="FF000000"/>
      <name val="Tahoma"/>
      <family val="2"/>
    </font>
    <font>
      <sz val="12"/>
      <color theme="1"/>
      <name val="Arial"/>
      <family val="2"/>
    </font>
    <font>
      <sz val="12"/>
      <color rgb="FF000000"/>
      <name val="Arial"/>
      <family val="2"/>
    </font>
    <font>
      <i/>
      <sz val="12"/>
      <name val="Arial"/>
      <family val="2"/>
    </font>
    <font>
      <sz val="12"/>
      <color rgb="FF000000"/>
      <name val="Calibri"/>
      <family val="2"/>
      <scheme val="minor"/>
    </font>
  </fonts>
  <fills count="2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4"/>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indexed="43"/>
      </patternFill>
    </fill>
    <fill>
      <patternFill patternType="solid">
        <fgColor indexed="44"/>
      </patternFill>
    </fill>
    <fill>
      <patternFill patternType="solid">
        <fgColor indexed="57"/>
      </patternFill>
    </fill>
    <fill>
      <patternFill patternType="solid">
        <fgColor indexed="43"/>
        <bgColor indexed="64"/>
      </patternFill>
    </fill>
    <fill>
      <patternFill patternType="solid">
        <fgColor indexed="27"/>
        <bgColor indexed="64"/>
      </patternFill>
    </fill>
    <fill>
      <patternFill patternType="solid">
        <fgColor rgb="FF808080"/>
        <bgColor indexed="64"/>
      </patternFill>
    </fill>
    <fill>
      <patternFill patternType="solid">
        <fgColor rgb="FFFFFFFF"/>
        <bgColor indexed="64"/>
      </patternFill>
    </fill>
    <fill>
      <patternFill patternType="solid">
        <fgColor rgb="FF92D050"/>
        <bgColor indexed="64"/>
      </patternFill>
    </fill>
    <fill>
      <patternFill patternType="solid">
        <fgColor rgb="FF00B050"/>
        <bgColor indexed="64"/>
      </patternFill>
    </fill>
    <fill>
      <patternFill patternType="solid">
        <fgColor rgb="FF92D050"/>
        <bgColor rgb="FF3AEE3A"/>
      </patternFill>
    </fill>
    <fill>
      <patternFill patternType="solid">
        <fgColor theme="6" tint="0.59999389629810485"/>
        <bgColor indexed="64"/>
      </patternFill>
    </fill>
    <fill>
      <patternFill patternType="solid">
        <fgColor theme="6" tint="-0.249977111117893"/>
        <bgColor indexed="64"/>
      </patternFill>
    </fill>
    <fill>
      <patternFill patternType="solid">
        <fgColor theme="6" tint="0.79998168889431442"/>
        <bgColor indexed="64"/>
      </patternFill>
    </fill>
    <fill>
      <patternFill patternType="solid">
        <fgColor theme="0" tint="-0.34998626667073579"/>
        <bgColor indexed="64"/>
      </patternFill>
    </fill>
    <fill>
      <patternFill patternType="solid">
        <fgColor theme="0" tint="-0.249977111117893"/>
        <bgColor indexed="64"/>
      </patternFill>
    </fill>
    <fill>
      <patternFill patternType="solid">
        <fgColor rgb="FFFFFFFF"/>
        <bgColor rgb="FF000000"/>
      </patternFill>
    </fill>
  </fills>
  <borders count="5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medium">
        <color auto="1"/>
      </bottom>
      <diagonal/>
    </border>
    <border>
      <left style="thin">
        <color auto="1"/>
      </left>
      <right style="thin">
        <color auto="1"/>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bottom/>
      <diagonal/>
    </border>
    <border>
      <left style="medium">
        <color auto="1"/>
      </left>
      <right/>
      <top style="medium">
        <color auto="1"/>
      </top>
      <bottom/>
      <diagonal/>
    </border>
    <border>
      <left/>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right style="medium">
        <color auto="1"/>
      </right>
      <top style="medium">
        <color auto="1"/>
      </top>
      <bottom/>
      <diagonal/>
    </border>
    <border>
      <left/>
      <right style="medium">
        <color auto="1"/>
      </right>
      <top/>
      <bottom style="medium">
        <color auto="1"/>
      </bottom>
      <diagonal/>
    </border>
    <border>
      <left style="medium">
        <color auto="1"/>
      </left>
      <right/>
      <top style="medium">
        <color auto="1"/>
      </top>
      <bottom style="thin">
        <color auto="1"/>
      </bottom>
      <diagonal/>
    </border>
    <border>
      <left style="medium">
        <color auto="1"/>
      </left>
      <right/>
      <top style="thin">
        <color auto="1"/>
      </top>
      <bottom style="medium">
        <color auto="1"/>
      </bottom>
      <diagonal/>
    </border>
    <border>
      <left/>
      <right style="thin">
        <color auto="1"/>
      </right>
      <top style="thin">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style="thin">
        <color auto="1"/>
      </top>
      <bottom/>
      <diagonal/>
    </border>
    <border>
      <left/>
      <right style="thin">
        <color auto="1"/>
      </right>
      <top style="medium">
        <color auto="1"/>
      </top>
      <bottom style="medium">
        <color auto="1"/>
      </bottom>
      <diagonal/>
    </border>
    <border>
      <left style="thin">
        <color auto="1"/>
      </left>
      <right/>
      <top/>
      <bottom/>
      <diagonal/>
    </border>
    <border>
      <left style="medium">
        <color indexed="64"/>
      </left>
      <right style="thin">
        <color indexed="64"/>
      </right>
      <top style="thin">
        <color indexed="64"/>
      </top>
      <bottom style="medium">
        <color indexed="64"/>
      </bottom>
      <diagonal/>
    </border>
    <border>
      <left style="thin">
        <color auto="1"/>
      </left>
      <right/>
      <top style="thin">
        <color auto="1"/>
      </top>
      <bottom style="medium">
        <color auto="1"/>
      </bottom>
      <diagonal/>
    </border>
    <border>
      <left/>
      <right style="medium">
        <color auto="1"/>
      </right>
      <top style="thin">
        <color auto="1"/>
      </top>
      <bottom style="thin">
        <color auto="1"/>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style="medium">
        <color indexed="64"/>
      </left>
      <right style="thin">
        <color auto="1"/>
      </right>
      <top style="medium">
        <color indexed="64"/>
      </top>
      <bottom style="medium">
        <color indexed="64"/>
      </bottom>
      <diagonal/>
    </border>
  </borders>
  <cellStyleXfs count="2869">
    <xf numFmtId="0" fontId="0" fillId="0" borderId="0"/>
    <xf numFmtId="171" fontId="9" fillId="0" borderId="0" applyFont="0" applyFill="0" applyBorder="0" applyAlignment="0" applyProtection="0"/>
    <xf numFmtId="171" fontId="4" fillId="0" borderId="0" applyFont="0" applyFill="0" applyBorder="0" applyAlignment="0" applyProtection="0"/>
    <xf numFmtId="169" fontId="6" fillId="0" borderId="0" applyFont="0" applyFill="0" applyBorder="0" applyAlignment="0" applyProtection="0"/>
    <xf numFmtId="167" fontId="19" fillId="0" borderId="0" applyFont="0" applyFill="0" applyBorder="0" applyAlignment="0" applyProtection="0"/>
    <xf numFmtId="169" fontId="1" fillId="0" borderId="0" applyFont="0" applyFill="0" applyBorder="0" applyAlignment="0" applyProtection="0"/>
    <xf numFmtId="167" fontId="1" fillId="0" borderId="0" applyFont="0" applyFill="0" applyBorder="0" applyAlignment="0" applyProtection="0"/>
    <xf numFmtId="168" fontId="4" fillId="0" borderId="0" applyFont="0" applyFill="0" applyBorder="0" applyAlignment="0" applyProtection="0"/>
    <xf numFmtId="169" fontId="1" fillId="0" borderId="0" applyFont="0" applyFill="0" applyBorder="0" applyAlignment="0" applyProtection="0"/>
    <xf numFmtId="168" fontId="6" fillId="0" borderId="0" applyFont="0" applyFill="0" applyBorder="0" applyAlignment="0" applyProtection="0"/>
    <xf numFmtId="168" fontId="1" fillId="0" borderId="0" applyFont="0" applyFill="0" applyBorder="0" applyAlignment="0" applyProtection="0"/>
    <xf numFmtId="170" fontId="4" fillId="0" borderId="0" applyFont="0" applyFill="0" applyBorder="0" applyAlignment="0" applyProtection="0"/>
    <xf numFmtId="173" fontId="4" fillId="0" borderId="0" applyFont="0" applyFill="0" applyBorder="0" applyAlignment="0" applyProtection="0"/>
    <xf numFmtId="166" fontId="19" fillId="0" borderId="0" applyFont="0" applyFill="0" applyBorder="0" applyAlignment="0" applyProtection="0"/>
    <xf numFmtId="174" fontId="13" fillId="0" borderId="0" applyFont="0" applyFill="0" applyBorder="0" applyAlignment="0" applyProtection="0"/>
    <xf numFmtId="168" fontId="1" fillId="0" borderId="0" applyFont="0" applyFill="0" applyBorder="0" applyAlignment="0" applyProtection="0"/>
    <xf numFmtId="0" fontId="4" fillId="0" borderId="0"/>
    <xf numFmtId="0" fontId="4" fillId="0" borderId="0"/>
    <xf numFmtId="0" fontId="13" fillId="0" borderId="0"/>
    <xf numFmtId="0" fontId="4" fillId="0" borderId="0"/>
    <xf numFmtId="0" fontId="4" fillId="0" borderId="0"/>
    <xf numFmtId="9" fontId="6" fillId="0" borderId="0" applyFont="0" applyFill="0" applyBorder="0" applyAlignment="0" applyProtection="0"/>
    <xf numFmtId="9" fontId="19"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9" fontId="19" fillId="0" borderId="0" applyFont="0" applyFill="0" applyBorder="0" applyAlignment="0" applyProtection="0"/>
    <xf numFmtId="0" fontId="4" fillId="0" borderId="0"/>
    <xf numFmtId="0" fontId="34" fillId="6" borderId="0" applyNumberFormat="0" applyBorder="0" applyAlignment="0" applyProtection="0"/>
    <xf numFmtId="0" fontId="34" fillId="7" borderId="0" applyNumberFormat="0" applyBorder="0" applyAlignment="0" applyProtection="0"/>
    <xf numFmtId="0" fontId="34" fillId="8" borderId="0" applyNumberFormat="0" applyBorder="0" applyAlignment="0" applyProtection="0"/>
    <xf numFmtId="0" fontId="34" fillId="9" borderId="0" applyNumberFormat="0" applyBorder="0" applyAlignment="0" applyProtection="0"/>
    <xf numFmtId="0" fontId="34" fillId="10" borderId="0" applyNumberFormat="0" applyBorder="0" applyAlignment="0" applyProtection="0"/>
    <xf numFmtId="0" fontId="34" fillId="11" borderId="0" applyNumberFormat="0" applyBorder="0" applyAlignment="0" applyProtection="0"/>
    <xf numFmtId="49" fontId="35" fillId="0" borderId="0" applyFill="0" applyBorder="0" applyProtection="0">
      <alignment horizontal="left" vertical="center"/>
    </xf>
    <xf numFmtId="0" fontId="36" fillId="0" borderId="0" applyNumberFormat="0" applyFill="0" applyBorder="0" applyProtection="0">
      <alignment horizontal="left" vertical="center"/>
    </xf>
    <xf numFmtId="0" fontId="36" fillId="0" borderId="0" applyNumberFormat="0" applyFill="0" applyBorder="0" applyProtection="0">
      <alignment horizontal="right" vertical="center"/>
    </xf>
    <xf numFmtId="0" fontId="35" fillId="0" borderId="1" applyNumberFormat="0" applyFill="0" applyProtection="0">
      <alignment horizontal="left" vertical="center"/>
    </xf>
    <xf numFmtId="0" fontId="35" fillId="0" borderId="1" applyNumberFormat="0" applyFill="0" applyProtection="0">
      <alignment horizontal="left" vertical="center"/>
    </xf>
    <xf numFmtId="0" fontId="35" fillId="0" borderId="1" applyNumberFormat="0" applyFill="0" applyProtection="0">
      <alignment horizontal="left" vertical="center"/>
    </xf>
    <xf numFmtId="0" fontId="35" fillId="0" borderId="1" applyNumberFormat="0" applyFill="0" applyProtection="0">
      <alignment horizontal="left" vertical="center"/>
    </xf>
    <xf numFmtId="0" fontId="35" fillId="0" borderId="1" applyNumberFormat="0" applyFill="0" applyProtection="0">
      <alignment horizontal="left" vertical="center"/>
    </xf>
    <xf numFmtId="0" fontId="35" fillId="0" borderId="1" applyNumberFormat="0" applyFill="0" applyProtection="0">
      <alignment horizontal="left" vertical="center"/>
    </xf>
    <xf numFmtId="0" fontId="35" fillId="0" borderId="1" applyNumberFormat="0" applyFill="0" applyProtection="0">
      <alignment horizontal="left" vertical="center"/>
    </xf>
    <xf numFmtId="0" fontId="35" fillId="0" borderId="1" applyNumberFormat="0" applyFill="0" applyProtection="0">
      <alignment horizontal="left" vertical="center"/>
    </xf>
    <xf numFmtId="0" fontId="24" fillId="0" borderId="1" applyNumberFormat="0" applyFont="0" applyFill="0" applyAlignment="0" applyProtection="0"/>
    <xf numFmtId="0" fontId="24" fillId="0" borderId="1" applyNumberFormat="0" applyFont="0" applyFill="0" applyAlignment="0" applyProtection="0"/>
    <xf numFmtId="0" fontId="24" fillId="0" borderId="1" applyNumberFormat="0" applyFont="0" applyFill="0" applyAlignment="0" applyProtection="0"/>
    <xf numFmtId="0" fontId="24" fillId="0" borderId="1" applyNumberFormat="0" applyFont="0" applyFill="0" applyAlignment="0" applyProtection="0"/>
    <xf numFmtId="0" fontId="24" fillId="0" borderId="1" applyNumberFormat="0" applyFont="0" applyFill="0" applyAlignment="0" applyProtection="0"/>
    <xf numFmtId="0" fontId="24" fillId="0" borderId="1" applyNumberFormat="0" applyFont="0" applyFill="0" applyAlignment="0" applyProtection="0"/>
    <xf numFmtId="0" fontId="24" fillId="0" borderId="1" applyNumberFormat="0" applyFont="0" applyFill="0" applyAlignment="0" applyProtection="0"/>
    <xf numFmtId="0" fontId="24" fillId="0" borderId="1" applyNumberFormat="0" applyFont="0" applyFill="0" applyAlignment="0" applyProtection="0"/>
    <xf numFmtId="0" fontId="24" fillId="0" borderId="1" applyNumberFormat="0" applyFont="0" applyFill="0" applyAlignment="0" applyProtection="0"/>
    <xf numFmtId="0" fontId="24" fillId="0" borderId="1" applyNumberFormat="0" applyFont="0" applyFill="0" applyAlignment="0" applyProtection="0"/>
    <xf numFmtId="0" fontId="24" fillId="0" borderId="1" applyNumberFormat="0" applyFont="0" applyFill="0" applyAlignment="0" applyProtection="0"/>
    <xf numFmtId="0" fontId="24" fillId="0" borderId="1" applyNumberFormat="0" applyFont="0" applyFill="0" applyAlignment="0" applyProtection="0"/>
    <xf numFmtId="0" fontId="24" fillId="0" borderId="1" applyNumberFormat="0" applyFont="0" applyFill="0" applyAlignment="0" applyProtection="0"/>
    <xf numFmtId="0" fontId="24" fillId="0" borderId="1" applyNumberFormat="0" applyFont="0" applyFill="0" applyAlignment="0" applyProtection="0"/>
    <xf numFmtId="0" fontId="24" fillId="0" borderId="1" applyNumberFormat="0" applyFont="0" applyFill="0" applyAlignment="0" applyProtection="0"/>
    <xf numFmtId="0" fontId="24" fillId="0" borderId="1" applyNumberFormat="0" applyFont="0" applyFill="0" applyAlignment="0" applyProtection="0"/>
    <xf numFmtId="0" fontId="24" fillId="0" borderId="1" applyNumberFormat="0" applyFont="0" applyFill="0" applyAlignment="0" applyProtection="0"/>
    <xf numFmtId="0" fontId="24" fillId="0" borderId="1" applyNumberFormat="0" applyFont="0" applyFill="0" applyAlignment="0" applyProtection="0"/>
    <xf numFmtId="0" fontId="24" fillId="0" borderId="1" applyNumberFormat="0" applyFont="0" applyFill="0" applyAlignment="0" applyProtection="0"/>
    <xf numFmtId="0" fontId="24" fillId="0" borderId="1" applyNumberFormat="0" applyFont="0" applyFill="0" applyAlignment="0" applyProtection="0"/>
    <xf numFmtId="0" fontId="24" fillId="0" borderId="1" applyNumberFormat="0" applyFont="0" applyFill="0" applyAlignment="0" applyProtection="0"/>
    <xf numFmtId="0" fontId="24" fillId="0" borderId="1" applyNumberFormat="0" applyFont="0" applyFill="0" applyAlignment="0" applyProtection="0"/>
    <xf numFmtId="0" fontId="24" fillId="0" borderId="1" applyNumberFormat="0" applyFont="0" applyFill="0" applyAlignment="0" applyProtection="0"/>
    <xf numFmtId="0" fontId="24" fillId="0" borderId="1" applyNumberFormat="0" applyFont="0" applyFill="0" applyAlignment="0" applyProtection="0"/>
    <xf numFmtId="43" fontId="24" fillId="0" borderId="0" applyFont="0" applyFill="0" applyBorder="0" applyAlignment="0" applyProtection="0"/>
    <xf numFmtId="41" fontId="24" fillId="0" borderId="0" applyFont="0" applyFill="0" applyBorder="0" applyAlignment="0" applyProtection="0"/>
    <xf numFmtId="41" fontId="24" fillId="0" borderId="0" applyFont="0" applyFill="0" applyBorder="0" applyAlignment="0" applyProtection="0"/>
    <xf numFmtId="41" fontId="24" fillId="0" borderId="0" applyFont="0" applyFill="0" applyBorder="0" applyAlignment="0" applyProtection="0"/>
    <xf numFmtId="41" fontId="24" fillId="0" borderId="0" applyFont="0" applyFill="0" applyBorder="0" applyAlignment="0" applyProtection="0"/>
    <xf numFmtId="41" fontId="24" fillId="0" borderId="0" applyFont="0" applyFill="0" applyBorder="0" applyAlignment="0" applyProtection="0"/>
    <xf numFmtId="41"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166" fontId="24" fillId="0" borderId="0" applyFont="0" applyFill="0" applyBorder="0" applyAlignment="0" applyProtection="0"/>
    <xf numFmtId="176" fontId="24" fillId="0" borderId="0" applyFont="0" applyFill="0" applyBorder="0" applyAlignment="0" applyProtection="0"/>
    <xf numFmtId="176" fontId="24" fillId="0" borderId="0" applyFont="0" applyFill="0" applyBorder="0" applyAlignment="0" applyProtection="0"/>
    <xf numFmtId="176" fontId="24" fillId="0" borderId="0" applyFont="0" applyFill="0" applyBorder="0" applyAlignment="0" applyProtection="0"/>
    <xf numFmtId="176" fontId="24" fillId="0" borderId="0" applyFont="0" applyFill="0" applyBorder="0" applyAlignment="0" applyProtection="0"/>
    <xf numFmtId="176" fontId="24" fillId="0" borderId="0" applyFont="0" applyFill="0" applyBorder="0" applyAlignment="0" applyProtection="0"/>
    <xf numFmtId="176" fontId="24" fillId="0" borderId="0" applyFont="0" applyFill="0" applyBorder="0" applyAlignment="0" applyProtection="0"/>
    <xf numFmtId="176" fontId="24" fillId="0" borderId="0" applyFont="0" applyFill="0" applyBorder="0" applyAlignment="0" applyProtection="0"/>
    <xf numFmtId="176" fontId="24" fillId="0" borderId="0" applyFont="0" applyFill="0" applyBorder="0" applyAlignment="0" applyProtection="0"/>
    <xf numFmtId="176" fontId="24" fillId="0" borderId="0" applyFont="0" applyFill="0" applyBorder="0" applyAlignment="0" applyProtection="0"/>
    <xf numFmtId="176" fontId="24" fillId="0" borderId="0" applyFont="0" applyFill="0" applyBorder="0" applyAlignment="0" applyProtection="0"/>
    <xf numFmtId="176" fontId="24" fillId="0" borderId="0" applyFont="0" applyFill="0" applyBorder="0" applyAlignment="0" applyProtection="0"/>
    <xf numFmtId="176" fontId="24" fillId="0" borderId="0" applyFont="0" applyFill="0" applyBorder="0" applyAlignment="0" applyProtection="0"/>
    <xf numFmtId="176" fontId="24" fillId="0" borderId="0" applyFont="0" applyFill="0" applyBorder="0" applyAlignment="0" applyProtection="0"/>
    <xf numFmtId="176" fontId="24" fillId="0" borderId="0" applyFont="0" applyFill="0" applyBorder="0" applyAlignment="0" applyProtection="0"/>
    <xf numFmtId="176" fontId="24" fillId="0" borderId="0" applyFont="0" applyFill="0" applyBorder="0" applyAlignment="0" applyProtection="0"/>
    <xf numFmtId="176" fontId="24" fillId="0" borderId="0" applyFont="0" applyFill="0" applyBorder="0" applyAlignment="0" applyProtection="0"/>
    <xf numFmtId="176" fontId="24" fillId="0" borderId="0" applyFont="0" applyFill="0" applyBorder="0" applyAlignment="0" applyProtection="0"/>
    <xf numFmtId="176" fontId="24" fillId="0" borderId="0" applyFont="0" applyFill="0" applyBorder="0" applyAlignment="0" applyProtection="0"/>
    <xf numFmtId="176" fontId="24" fillId="0" borderId="0" applyFont="0" applyFill="0" applyBorder="0" applyAlignment="0" applyProtection="0"/>
    <xf numFmtId="176" fontId="24" fillId="0" borderId="0" applyFont="0" applyFill="0" applyBorder="0" applyAlignment="0" applyProtection="0"/>
    <xf numFmtId="176" fontId="24" fillId="0" borderId="0" applyFont="0" applyFill="0" applyBorder="0" applyAlignment="0" applyProtection="0"/>
    <xf numFmtId="176" fontId="24" fillId="0" borderId="0" applyFont="0" applyFill="0" applyBorder="0" applyAlignment="0" applyProtection="0"/>
    <xf numFmtId="176" fontId="24" fillId="0" borderId="0" applyFont="0" applyFill="0" applyBorder="0" applyAlignment="0" applyProtection="0"/>
    <xf numFmtId="176" fontId="24" fillId="0" borderId="0" applyFont="0" applyFill="0" applyBorder="0" applyAlignment="0" applyProtection="0"/>
    <xf numFmtId="176" fontId="24" fillId="0" borderId="0" applyFont="0" applyFill="0" applyBorder="0" applyAlignment="0" applyProtection="0"/>
    <xf numFmtId="176" fontId="24" fillId="0" borderId="0" applyFont="0" applyFill="0" applyBorder="0" applyAlignment="0" applyProtection="0"/>
    <xf numFmtId="176" fontId="24" fillId="0" borderId="0" applyFont="0" applyFill="0" applyBorder="0" applyAlignment="0" applyProtection="0"/>
    <xf numFmtId="176" fontId="24" fillId="0" borderId="0" applyFont="0" applyFill="0" applyBorder="0" applyAlignment="0" applyProtection="0"/>
    <xf numFmtId="176" fontId="24" fillId="0" borderId="0" applyFont="0" applyFill="0" applyBorder="0" applyAlignment="0" applyProtection="0"/>
    <xf numFmtId="176" fontId="24" fillId="0" borderId="0" applyFont="0" applyFill="0" applyBorder="0" applyAlignment="0" applyProtection="0"/>
    <xf numFmtId="176" fontId="24" fillId="0" borderId="0" applyFont="0" applyFill="0" applyBorder="0" applyAlignment="0" applyProtection="0"/>
    <xf numFmtId="176" fontId="24" fillId="0" borderId="0" applyFont="0" applyFill="0" applyBorder="0" applyAlignment="0" applyProtection="0"/>
    <xf numFmtId="166" fontId="24" fillId="0" borderId="0" applyFont="0" applyFill="0" applyBorder="0" applyAlignment="0" applyProtection="0"/>
    <xf numFmtId="166" fontId="24" fillId="0" borderId="0" applyFont="0" applyFill="0" applyBorder="0" applyAlignment="0" applyProtection="0"/>
    <xf numFmtId="166" fontId="24" fillId="0" borderId="0" applyFont="0" applyFill="0" applyBorder="0" applyAlignment="0" applyProtection="0"/>
    <xf numFmtId="166" fontId="24" fillId="0" borderId="0" applyFont="0" applyFill="0" applyBorder="0" applyAlignment="0" applyProtection="0"/>
    <xf numFmtId="166" fontId="24" fillId="0" borderId="0" applyFont="0" applyFill="0" applyBorder="0" applyAlignment="0" applyProtection="0"/>
    <xf numFmtId="166" fontId="24" fillId="0" borderId="0" applyFont="0" applyFill="0" applyBorder="0" applyAlignment="0" applyProtection="0"/>
    <xf numFmtId="166" fontId="24" fillId="0" borderId="0" applyFont="0" applyFill="0" applyBorder="0" applyAlignment="0" applyProtection="0"/>
    <xf numFmtId="166" fontId="24" fillId="0" borderId="0" applyFont="0" applyFill="0" applyBorder="0" applyAlignment="0" applyProtection="0"/>
    <xf numFmtId="166" fontId="24" fillId="0" borderId="0" applyFont="0" applyFill="0" applyBorder="0" applyAlignment="0" applyProtection="0"/>
    <xf numFmtId="166" fontId="24" fillId="0" borderId="0" applyFont="0" applyFill="0" applyBorder="0" applyAlignment="0" applyProtection="0"/>
    <xf numFmtId="166" fontId="24" fillId="0" borderId="0" applyFont="0" applyFill="0" applyBorder="0" applyAlignment="0" applyProtection="0"/>
    <xf numFmtId="166" fontId="24" fillId="0" borderId="0" applyFont="0" applyFill="0" applyBorder="0" applyAlignment="0" applyProtection="0"/>
    <xf numFmtId="166" fontId="24" fillId="0" borderId="0" applyFont="0" applyFill="0" applyBorder="0" applyAlignment="0" applyProtection="0"/>
    <xf numFmtId="166" fontId="24" fillId="0" borderId="0" applyFont="0" applyFill="0" applyBorder="0" applyAlignment="0" applyProtection="0"/>
    <xf numFmtId="166" fontId="24" fillId="0" borderId="0" applyFont="0" applyFill="0" applyBorder="0" applyAlignment="0" applyProtection="0"/>
    <xf numFmtId="166" fontId="24" fillId="0" borderId="0" applyFont="0" applyFill="0" applyBorder="0" applyAlignment="0" applyProtection="0"/>
    <xf numFmtId="166" fontId="24" fillId="0" borderId="0" applyFont="0" applyFill="0" applyBorder="0" applyAlignment="0" applyProtection="0"/>
    <xf numFmtId="166" fontId="24" fillId="0" borderId="0" applyFont="0" applyFill="0" applyBorder="0" applyAlignment="0" applyProtection="0"/>
    <xf numFmtId="166" fontId="24" fillId="0" borderId="0" applyFont="0" applyFill="0" applyBorder="0" applyAlignment="0" applyProtection="0"/>
    <xf numFmtId="166" fontId="24" fillId="0" borderId="0" applyFont="0" applyFill="0" applyBorder="0" applyAlignment="0" applyProtection="0"/>
    <xf numFmtId="166" fontId="24" fillId="0" borderId="0" applyFont="0" applyFill="0" applyBorder="0" applyAlignment="0" applyProtection="0"/>
    <xf numFmtId="166" fontId="24" fillId="0" borderId="0" applyFont="0" applyFill="0" applyBorder="0" applyAlignment="0" applyProtection="0"/>
    <xf numFmtId="166" fontId="24" fillId="0" borderId="0" applyFont="0" applyFill="0" applyBorder="0" applyAlignment="0" applyProtection="0"/>
    <xf numFmtId="166" fontId="24" fillId="0" borderId="0" applyFont="0" applyFill="0" applyBorder="0" applyAlignment="0" applyProtection="0"/>
    <xf numFmtId="166" fontId="24" fillId="0" borderId="0" applyFont="0" applyFill="0" applyBorder="0" applyAlignment="0" applyProtection="0"/>
    <xf numFmtId="166" fontId="24" fillId="0" borderId="0" applyFont="0" applyFill="0" applyBorder="0" applyAlignment="0" applyProtection="0"/>
    <xf numFmtId="166" fontId="24" fillId="0" borderId="0" applyFont="0" applyFill="0" applyBorder="0" applyAlignment="0" applyProtection="0"/>
    <xf numFmtId="166" fontId="24" fillId="0" borderId="0" applyFont="0" applyFill="0" applyBorder="0" applyAlignment="0" applyProtection="0"/>
    <xf numFmtId="166" fontId="24" fillId="0" borderId="0" applyFont="0" applyFill="0" applyBorder="0" applyAlignment="0" applyProtection="0"/>
    <xf numFmtId="166" fontId="24" fillId="0" borderId="0" applyFont="0" applyFill="0" applyBorder="0" applyAlignment="0" applyProtection="0"/>
    <xf numFmtId="166" fontId="24" fillId="0" borderId="0" applyFont="0" applyFill="0" applyBorder="0" applyAlignment="0" applyProtection="0"/>
    <xf numFmtId="166" fontId="24" fillId="0" borderId="0" applyFont="0" applyFill="0" applyBorder="0" applyAlignment="0" applyProtection="0"/>
    <xf numFmtId="166" fontId="24" fillId="0" borderId="0" applyFont="0" applyFill="0" applyBorder="0" applyAlignment="0" applyProtection="0"/>
    <xf numFmtId="166" fontId="24" fillId="0" borderId="0" applyFont="0" applyFill="0" applyBorder="0" applyAlignment="0" applyProtection="0"/>
    <xf numFmtId="166" fontId="24" fillId="0" borderId="0" applyFont="0" applyFill="0" applyBorder="0" applyAlignment="0" applyProtection="0"/>
    <xf numFmtId="166" fontId="24" fillId="0" borderId="0" applyFont="0" applyFill="0" applyBorder="0" applyAlignment="0" applyProtection="0"/>
    <xf numFmtId="166" fontId="24" fillId="0" borderId="0" applyFont="0" applyFill="0" applyBorder="0" applyAlignment="0" applyProtection="0"/>
    <xf numFmtId="166" fontId="24" fillId="0" borderId="0" applyFont="0" applyFill="0" applyBorder="0" applyAlignment="0" applyProtection="0"/>
    <xf numFmtId="166" fontId="24" fillId="0" borderId="0" applyFont="0" applyFill="0" applyBorder="0" applyAlignment="0" applyProtection="0"/>
    <xf numFmtId="166" fontId="24" fillId="0" borderId="0" applyFont="0" applyFill="0" applyBorder="0" applyAlignment="0" applyProtection="0"/>
    <xf numFmtId="166" fontId="24" fillId="0" borderId="0" applyFont="0" applyFill="0" applyBorder="0" applyAlignment="0" applyProtection="0"/>
    <xf numFmtId="166" fontId="24" fillId="0" borderId="0" applyFont="0" applyFill="0" applyBorder="0" applyAlignment="0" applyProtection="0"/>
    <xf numFmtId="166" fontId="24" fillId="0" borderId="0" applyFont="0" applyFill="0" applyBorder="0" applyAlignment="0" applyProtection="0"/>
    <xf numFmtId="166" fontId="24" fillId="0" borderId="0" applyFont="0" applyFill="0" applyBorder="0" applyAlignment="0" applyProtection="0"/>
    <xf numFmtId="166" fontId="24" fillId="0" borderId="0" applyFont="0" applyFill="0" applyBorder="0" applyAlignment="0" applyProtection="0"/>
    <xf numFmtId="166" fontId="24" fillId="0" borderId="0" applyFont="0" applyFill="0" applyBorder="0" applyAlignment="0" applyProtection="0"/>
    <xf numFmtId="166" fontId="24" fillId="0" borderId="0" applyFont="0" applyFill="0" applyBorder="0" applyAlignment="0" applyProtection="0"/>
    <xf numFmtId="166" fontId="24" fillId="0" borderId="0" applyFont="0" applyFill="0" applyBorder="0" applyAlignment="0" applyProtection="0"/>
    <xf numFmtId="166" fontId="24" fillId="0" borderId="0" applyFont="0" applyFill="0" applyBorder="0" applyAlignment="0" applyProtection="0"/>
    <xf numFmtId="166" fontId="24" fillId="0" borderId="0" applyFont="0" applyFill="0" applyBorder="0" applyAlignment="0" applyProtection="0"/>
    <xf numFmtId="166" fontId="24" fillId="0" borderId="0" applyFont="0" applyFill="0" applyBorder="0" applyAlignment="0" applyProtection="0"/>
    <xf numFmtId="166" fontId="24" fillId="0" borderId="0" applyFont="0" applyFill="0" applyBorder="0" applyAlignment="0" applyProtection="0"/>
    <xf numFmtId="166" fontId="24" fillId="0" borderId="0" applyFont="0" applyFill="0" applyBorder="0" applyAlignment="0" applyProtection="0"/>
    <xf numFmtId="166" fontId="24" fillId="0" borderId="0" applyFont="0" applyFill="0" applyBorder="0" applyAlignment="0" applyProtection="0"/>
    <xf numFmtId="166" fontId="24" fillId="0" borderId="0" applyFont="0" applyFill="0" applyBorder="0" applyAlignment="0" applyProtection="0"/>
    <xf numFmtId="166" fontId="24" fillId="0" borderId="0" applyFont="0" applyFill="0" applyBorder="0" applyAlignment="0" applyProtection="0"/>
    <xf numFmtId="166" fontId="24" fillId="0" borderId="0" applyFont="0" applyFill="0" applyBorder="0" applyAlignment="0" applyProtection="0"/>
    <xf numFmtId="166" fontId="24" fillId="0" borderId="0" applyFont="0" applyFill="0" applyBorder="0" applyAlignment="0" applyProtection="0"/>
    <xf numFmtId="14" fontId="35" fillId="0" borderId="0" applyFill="0" applyBorder="0" applyProtection="0">
      <alignment horizontal="right" vertical="center"/>
    </xf>
    <xf numFmtId="22" fontId="35" fillId="0" borderId="0" applyFill="0" applyBorder="0" applyProtection="0">
      <alignment horizontal="right" vertical="center"/>
    </xf>
    <xf numFmtId="4" fontId="35" fillId="0" borderId="0" applyFill="0" applyBorder="0" applyProtection="0">
      <alignment horizontal="right" vertical="center"/>
    </xf>
    <xf numFmtId="4" fontId="35" fillId="0" borderId="1" applyFill="0" applyProtection="0">
      <alignment horizontal="right" vertical="center"/>
    </xf>
    <xf numFmtId="4" fontId="35" fillId="0" borderId="1" applyFill="0" applyProtection="0">
      <alignment horizontal="right" vertical="center"/>
    </xf>
    <xf numFmtId="4" fontId="35" fillId="0" borderId="1" applyFill="0" applyProtection="0">
      <alignment horizontal="right" vertical="center"/>
    </xf>
    <xf numFmtId="4" fontId="35" fillId="0" borderId="1" applyFill="0" applyProtection="0">
      <alignment horizontal="right" vertical="center"/>
    </xf>
    <xf numFmtId="4" fontId="35" fillId="0" borderId="1" applyFill="0" applyProtection="0">
      <alignment horizontal="right" vertical="center"/>
    </xf>
    <xf numFmtId="4" fontId="35" fillId="0" borderId="1" applyFill="0" applyProtection="0">
      <alignment horizontal="right" vertical="center"/>
    </xf>
    <xf numFmtId="4" fontId="35" fillId="0" borderId="1" applyFill="0" applyProtection="0">
      <alignment horizontal="right" vertical="center"/>
    </xf>
    <xf numFmtId="4" fontId="35" fillId="0" borderId="1" applyFill="0" applyProtection="0">
      <alignment horizontal="right" vertical="center"/>
    </xf>
    <xf numFmtId="0" fontId="34" fillId="5" borderId="0" applyNumberFormat="0" applyBorder="0" applyAlignment="0" applyProtection="0"/>
    <xf numFmtId="0" fontId="37" fillId="5" borderId="0" applyNumberFormat="0" applyBorder="0" applyAlignment="0" applyProtection="0"/>
    <xf numFmtId="177" fontId="35" fillId="0" borderId="0" applyFill="0" applyBorder="0" applyProtection="0">
      <alignment horizontal="right" vertical="center"/>
    </xf>
    <xf numFmtId="177" fontId="35" fillId="0" borderId="1" applyFill="0" applyProtection="0">
      <alignment horizontal="right" vertical="center"/>
    </xf>
    <xf numFmtId="177" fontId="35" fillId="0" borderId="1" applyFill="0" applyProtection="0">
      <alignment horizontal="right" vertical="center"/>
    </xf>
    <xf numFmtId="177" fontId="35" fillId="0" borderId="1" applyFill="0" applyProtection="0">
      <alignment horizontal="right" vertical="center"/>
    </xf>
    <xf numFmtId="177" fontId="35" fillId="0" borderId="1" applyFill="0" applyProtection="0">
      <alignment horizontal="right" vertical="center"/>
    </xf>
    <xf numFmtId="177" fontId="35" fillId="0" borderId="1" applyFill="0" applyProtection="0">
      <alignment horizontal="right" vertical="center"/>
    </xf>
    <xf numFmtId="177" fontId="35" fillId="0" borderId="1" applyFill="0" applyProtection="0">
      <alignment horizontal="right" vertical="center"/>
    </xf>
    <xf numFmtId="177" fontId="35" fillId="0" borderId="1" applyFill="0" applyProtection="0">
      <alignment horizontal="right" vertical="center"/>
    </xf>
    <xf numFmtId="177" fontId="35" fillId="0" borderId="1" applyFill="0" applyProtection="0">
      <alignment horizontal="right" vertical="center"/>
    </xf>
    <xf numFmtId="0" fontId="36" fillId="2" borderId="0" applyNumberFormat="0" applyBorder="0" applyProtection="0">
      <alignment horizontal="center" vertical="center"/>
    </xf>
    <xf numFmtId="0" fontId="36" fillId="12" borderId="0" applyNumberFormat="0" applyBorder="0" applyProtection="0">
      <alignment horizontal="center" vertical="center" wrapText="1"/>
    </xf>
    <xf numFmtId="0" fontId="35" fillId="12" borderId="0" applyNumberFormat="0" applyBorder="0" applyProtection="0">
      <alignment horizontal="right" vertical="center" wrapText="1"/>
    </xf>
    <xf numFmtId="0" fontId="36" fillId="13" borderId="0" applyNumberFormat="0" applyBorder="0" applyProtection="0">
      <alignment horizontal="center" vertical="center"/>
    </xf>
    <xf numFmtId="0" fontId="36" fillId="14" borderId="0" applyNumberFormat="0" applyBorder="0" applyProtection="0">
      <alignment horizontal="center" vertical="center" wrapText="1"/>
    </xf>
    <xf numFmtId="0" fontId="36" fillId="14" borderId="0" applyNumberFormat="0" applyBorder="0" applyProtection="0">
      <alignment horizontal="right" vertical="center" wrapText="1"/>
    </xf>
    <xf numFmtId="0" fontId="36" fillId="14" borderId="1" applyNumberFormat="0" applyProtection="0">
      <alignment horizontal="left" vertical="center" wrapText="1"/>
    </xf>
    <xf numFmtId="0" fontId="36" fillId="14" borderId="1" applyNumberFormat="0" applyProtection="0">
      <alignment horizontal="left" vertical="center" wrapText="1"/>
    </xf>
    <xf numFmtId="0" fontId="36" fillId="14" borderId="1" applyNumberFormat="0" applyProtection="0">
      <alignment horizontal="left" vertical="center" wrapText="1"/>
    </xf>
    <xf numFmtId="0" fontId="36" fillId="14" borderId="1" applyNumberFormat="0" applyProtection="0">
      <alignment horizontal="left" vertical="center" wrapText="1"/>
    </xf>
    <xf numFmtId="0" fontId="36" fillId="14" borderId="1" applyNumberFormat="0" applyProtection="0">
      <alignment horizontal="left" vertical="center" wrapText="1"/>
    </xf>
    <xf numFmtId="0" fontId="36" fillId="14" borderId="1" applyNumberFormat="0" applyProtection="0">
      <alignment horizontal="left" vertical="center" wrapText="1"/>
    </xf>
    <xf numFmtId="0" fontId="36" fillId="14" borderId="1" applyNumberFormat="0" applyProtection="0">
      <alignment horizontal="left" vertical="center" wrapText="1"/>
    </xf>
    <xf numFmtId="0" fontId="36" fillId="14" borderId="1" applyNumberFormat="0" applyProtection="0">
      <alignment horizontal="left" vertical="center" wrapText="1"/>
    </xf>
    <xf numFmtId="43"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3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2" fontId="19"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5" fontId="38" fillId="0" borderId="0" applyFont="0" applyFill="0" applyBorder="0" applyAlignment="0" applyProtection="0"/>
    <xf numFmtId="168" fontId="1"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8" fontId="1"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8"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8"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8"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44" fontId="4" fillId="0" borderId="0" applyFont="0" applyFill="0" applyBorder="0" applyAlignment="0" applyProtection="0"/>
    <xf numFmtId="166"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5" fontId="19" fillId="0" borderId="0" applyFont="0" applyFill="0" applyBorder="0" applyAlignment="0" applyProtection="0"/>
    <xf numFmtId="166" fontId="4" fillId="0" borderId="0" applyFont="0" applyFill="0" applyBorder="0" applyAlignment="0" applyProtection="0"/>
    <xf numFmtId="165" fontId="19"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5" fontId="38"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44"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5" fontId="39" fillId="0" borderId="0" applyFont="0" applyFill="0" applyBorder="0" applyAlignment="0" applyProtection="0"/>
    <xf numFmtId="165" fontId="39" fillId="0" borderId="0" applyFont="0" applyFill="0" applyBorder="0" applyAlignment="0" applyProtection="0"/>
    <xf numFmtId="165" fontId="39" fillId="0" borderId="0" applyFont="0" applyFill="0" applyBorder="0" applyAlignment="0" applyProtection="0"/>
    <xf numFmtId="165" fontId="39" fillId="0" borderId="0" applyFont="0" applyFill="0" applyBorder="0" applyAlignment="0" applyProtection="0"/>
    <xf numFmtId="165" fontId="39" fillId="0" borderId="0" applyFont="0" applyFill="0" applyBorder="0" applyAlignment="0" applyProtection="0"/>
    <xf numFmtId="165" fontId="39" fillId="0" borderId="0" applyFont="0" applyFill="0" applyBorder="0" applyAlignment="0" applyProtection="0"/>
    <xf numFmtId="165" fontId="39" fillId="0" borderId="0" applyFont="0" applyFill="0" applyBorder="0" applyAlignment="0" applyProtection="0"/>
    <xf numFmtId="165" fontId="39" fillId="0" borderId="0" applyFont="0" applyFill="0" applyBorder="0" applyAlignment="0" applyProtection="0"/>
    <xf numFmtId="165" fontId="39" fillId="0" borderId="0" applyFont="0" applyFill="0" applyBorder="0" applyAlignment="0" applyProtection="0"/>
    <xf numFmtId="165" fontId="39"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6" fontId="33" fillId="0" borderId="0" applyFont="0" applyFill="0" applyBorder="0" applyAlignment="0" applyProtection="0"/>
    <xf numFmtId="166" fontId="33"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0" fontId="40" fillId="9" borderId="0" applyNumberFormat="0" applyBorder="0" applyAlignment="0" applyProtection="0"/>
    <xf numFmtId="0" fontId="19" fillId="0" borderId="0"/>
    <xf numFmtId="0" fontId="4" fillId="0" borderId="0"/>
    <xf numFmtId="0" fontId="38" fillId="0" borderId="0"/>
    <xf numFmtId="0" fontId="32" fillId="0" borderId="0"/>
    <xf numFmtId="0" fontId="32" fillId="0" borderId="0"/>
    <xf numFmtId="0" fontId="38" fillId="0" borderId="0"/>
    <xf numFmtId="0" fontId="4" fillId="0" borderId="0"/>
    <xf numFmtId="0" fontId="19" fillId="0" borderId="0"/>
    <xf numFmtId="0" fontId="4" fillId="0" borderId="0"/>
    <xf numFmtId="0" fontId="38" fillId="0" borderId="0"/>
    <xf numFmtId="0" fontId="38" fillId="0" borderId="0"/>
    <xf numFmtId="0" fontId="33" fillId="0" borderId="0"/>
    <xf numFmtId="0" fontId="41" fillId="0" borderId="0"/>
    <xf numFmtId="0" fontId="4" fillId="0" borderId="0"/>
    <xf numFmtId="3" fontId="35" fillId="0" borderId="0" applyFill="0" applyBorder="0" applyProtection="0">
      <alignment horizontal="right" vertical="center"/>
    </xf>
    <xf numFmtId="3" fontId="35" fillId="0" borderId="1" applyFill="0" applyProtection="0">
      <alignment horizontal="right" vertical="center"/>
    </xf>
    <xf numFmtId="3" fontId="35" fillId="0" borderId="1" applyFill="0" applyProtection="0">
      <alignment horizontal="right" vertical="center"/>
    </xf>
    <xf numFmtId="3" fontId="35" fillId="0" borderId="1" applyFill="0" applyProtection="0">
      <alignment horizontal="right" vertical="center"/>
    </xf>
    <xf numFmtId="3" fontId="35" fillId="0" borderId="1" applyFill="0" applyProtection="0">
      <alignment horizontal="right" vertical="center"/>
    </xf>
    <xf numFmtId="3" fontId="35" fillId="0" borderId="1" applyFill="0" applyProtection="0">
      <alignment horizontal="right" vertical="center"/>
    </xf>
    <xf numFmtId="3" fontId="35" fillId="0" borderId="1" applyFill="0" applyProtection="0">
      <alignment horizontal="right" vertical="center"/>
    </xf>
    <xf numFmtId="3" fontId="35" fillId="0" borderId="1" applyFill="0" applyProtection="0">
      <alignment horizontal="right" vertical="center"/>
    </xf>
    <xf numFmtId="3" fontId="35" fillId="0" borderId="1" applyFill="0" applyProtection="0">
      <alignment horizontal="right" vertical="center"/>
    </xf>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1" fillId="0" borderId="0" applyFont="0" applyFill="0" applyBorder="0" applyAlignment="0" applyProtection="0"/>
    <xf numFmtId="9" fontId="19"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2" fontId="19" fillId="0" borderId="0" applyFont="0" applyFill="0" applyBorder="0" applyAlignment="0" applyProtection="0"/>
    <xf numFmtId="0" fontId="33" fillId="0" borderId="0"/>
    <xf numFmtId="0" fontId="70" fillId="0" borderId="0" applyNumberFormat="0" applyFill="0" applyBorder="0" applyAlignment="0" applyProtection="0"/>
    <xf numFmtId="164" fontId="19" fillId="0" borderId="0" applyFont="0" applyFill="0" applyBorder="0" applyAlignment="0" applyProtection="0"/>
  </cellStyleXfs>
  <cellXfs count="639">
    <xf numFmtId="0" fontId="0" fillId="0" borderId="0" xfId="0"/>
    <xf numFmtId="0" fontId="0" fillId="0" borderId="0" xfId="0" applyFill="1"/>
    <xf numFmtId="0" fontId="7" fillId="0" borderId="0" xfId="0" applyFont="1"/>
    <xf numFmtId="0" fontId="0" fillId="3" borderId="0" xfId="0" applyFill="1"/>
    <xf numFmtId="0" fontId="0" fillId="0" borderId="0" xfId="0" applyFill="1" applyAlignment="1">
      <alignment horizontal="center" vertical="center"/>
    </xf>
    <xf numFmtId="0" fontId="4" fillId="0" borderId="0" xfId="0" applyFont="1" applyFill="1"/>
    <xf numFmtId="0" fontId="5" fillId="0" borderId="0" xfId="0" applyFont="1" applyFill="1" applyAlignment="1">
      <alignment horizontal="center"/>
    </xf>
    <xf numFmtId="0" fontId="4" fillId="0" borderId="0" xfId="16" applyAlignment="1">
      <alignment vertical="center"/>
    </xf>
    <xf numFmtId="10" fontId="4" fillId="0" borderId="0" xfId="16" applyNumberFormat="1" applyAlignment="1">
      <alignment vertical="center"/>
    </xf>
    <xf numFmtId="0" fontId="4" fillId="0" borderId="0" xfId="16" applyBorder="1" applyAlignment="1">
      <alignment vertical="center"/>
    </xf>
    <xf numFmtId="0" fontId="4" fillId="2" borderId="0" xfId="16" applyFill="1" applyBorder="1" applyAlignment="1">
      <alignment vertical="center"/>
    </xf>
    <xf numFmtId="0" fontId="4" fillId="2" borderId="0" xfId="16" applyFill="1" applyAlignment="1">
      <alignment vertical="center"/>
    </xf>
    <xf numFmtId="10" fontId="4" fillId="2" borderId="0" xfId="16" applyNumberFormat="1" applyFill="1" applyAlignment="1">
      <alignment vertical="center"/>
    </xf>
    <xf numFmtId="0" fontId="0" fillId="0" borderId="0" xfId="0" applyFill="1" applyAlignment="1">
      <alignment horizontal="center"/>
    </xf>
    <xf numFmtId="0" fontId="4" fillId="2" borderId="0" xfId="16" applyFill="1" applyAlignment="1">
      <alignment horizontal="left" vertical="center"/>
    </xf>
    <xf numFmtId="0" fontId="4" fillId="0" borderId="0" xfId="16" applyAlignment="1">
      <alignment horizontal="left" vertical="center"/>
    </xf>
    <xf numFmtId="0" fontId="12" fillId="0" borderId="0" xfId="0" applyFont="1" applyFill="1"/>
    <xf numFmtId="0" fontId="0" fillId="0" borderId="0" xfId="0" applyFill="1" applyAlignment="1">
      <alignment horizontal="center"/>
    </xf>
    <xf numFmtId="0" fontId="26" fillId="0" borderId="0" xfId="0" applyFont="1" applyFill="1"/>
    <xf numFmtId="0" fontId="28" fillId="0" borderId="0" xfId="0" applyFont="1" applyFill="1"/>
    <xf numFmtId="0" fontId="21" fillId="0" borderId="0" xfId="0" applyFont="1" applyFill="1"/>
    <xf numFmtId="0" fontId="0" fillId="0" borderId="1" xfId="0" applyFill="1" applyBorder="1" applyAlignment="1">
      <alignment horizontal="center" vertical="center"/>
    </xf>
    <xf numFmtId="0" fontId="21" fillId="3" borderId="0" xfId="0" applyFont="1" applyFill="1"/>
    <xf numFmtId="0" fontId="4" fillId="3" borderId="0" xfId="0" applyFont="1" applyFill="1"/>
    <xf numFmtId="0" fontId="12" fillId="3" borderId="0" xfId="0" applyFont="1" applyFill="1"/>
    <xf numFmtId="0" fontId="5" fillId="3" borderId="0" xfId="0" applyFont="1" applyFill="1" applyAlignment="1">
      <alignment horizontal="center"/>
    </xf>
    <xf numFmtId="175" fontId="0" fillId="3" borderId="0" xfId="0" applyNumberFormat="1" applyFill="1" applyAlignment="1">
      <alignment horizontal="center"/>
    </xf>
    <xf numFmtId="0" fontId="42" fillId="15" borderId="0" xfId="0" applyFont="1" applyFill="1"/>
    <xf numFmtId="4" fontId="42" fillId="15" borderId="0" xfId="0" applyNumberFormat="1" applyFont="1" applyFill="1"/>
    <xf numFmtId="0" fontId="43" fillId="15" borderId="0" xfId="0" applyFont="1" applyFill="1"/>
    <xf numFmtId="0" fontId="22" fillId="15" borderId="0" xfId="0" applyFont="1" applyFill="1" applyProtection="1">
      <protection locked="0"/>
    </xf>
    <xf numFmtId="0" fontId="23" fillId="15" borderId="0" xfId="0" applyFont="1" applyFill="1" applyAlignment="1" applyProtection="1">
      <alignment horizontal="center"/>
      <protection locked="0"/>
    </xf>
    <xf numFmtId="0" fontId="42" fillId="0" borderId="0" xfId="0" applyFont="1"/>
    <xf numFmtId="10" fontId="3" fillId="2" borderId="0" xfId="16" applyNumberFormat="1" applyFont="1" applyFill="1" applyAlignment="1">
      <alignment vertical="center"/>
    </xf>
    <xf numFmtId="179" fontId="21" fillId="0" borderId="0" xfId="0" applyNumberFormat="1" applyFont="1" applyFill="1" applyAlignment="1">
      <alignment horizontal="center" vertical="center"/>
    </xf>
    <xf numFmtId="179" fontId="0" fillId="0" borderId="0" xfId="0" applyNumberFormat="1"/>
    <xf numFmtId="0" fontId="7" fillId="0" borderId="0" xfId="0" applyFont="1" applyFill="1" applyAlignment="1">
      <alignment vertical="center"/>
    </xf>
    <xf numFmtId="0" fontId="21" fillId="4" borderId="1" xfId="0" applyFont="1" applyFill="1" applyBorder="1" applyAlignment="1">
      <alignment horizontal="center" vertical="center"/>
    </xf>
    <xf numFmtId="0" fontId="0" fillId="0" borderId="0" xfId="0" applyAlignment="1">
      <alignment horizontal="center"/>
    </xf>
    <xf numFmtId="4" fontId="4" fillId="0" borderId="1" xfId="0" applyNumberFormat="1" applyFont="1" applyFill="1" applyBorder="1" applyAlignment="1">
      <alignment horizontal="center" vertical="center" wrapText="1"/>
    </xf>
    <xf numFmtId="0" fontId="10" fillId="0" borderId="0" xfId="0" applyFont="1" applyFill="1" applyBorder="1" applyAlignment="1">
      <alignment horizontal="left" vertical="center" wrapText="1"/>
    </xf>
    <xf numFmtId="0" fontId="10" fillId="0" borderId="18" xfId="0" applyFont="1" applyFill="1" applyBorder="1" applyAlignment="1">
      <alignment horizontal="left" vertical="center" wrapText="1"/>
    </xf>
    <xf numFmtId="0" fontId="15" fillId="16" borderId="4" xfId="16" applyFont="1" applyFill="1" applyBorder="1" applyAlignment="1">
      <alignment horizontal="center" vertical="center" textRotation="90" wrapText="1"/>
    </xf>
    <xf numFmtId="10" fontId="4" fillId="16" borderId="4" xfId="16" applyNumberFormat="1" applyFont="1" applyFill="1" applyBorder="1" applyAlignment="1">
      <alignment horizontal="center" vertical="center" wrapText="1"/>
    </xf>
    <xf numFmtId="0" fontId="42" fillId="15" borderId="0" xfId="0" applyFont="1" applyFill="1" applyAlignment="1">
      <alignment horizontal="center"/>
    </xf>
    <xf numFmtId="0" fontId="22" fillId="15" borderId="0" xfId="0" applyFont="1" applyFill="1" applyAlignment="1" applyProtection="1">
      <alignment horizontal="center"/>
      <protection locked="0"/>
    </xf>
    <xf numFmtId="0" fontId="52" fillId="18" borderId="1" xfId="2866" applyFont="1" applyFill="1" applyBorder="1" applyAlignment="1">
      <alignment horizontal="center" vertical="center" wrapText="1"/>
    </xf>
    <xf numFmtId="0" fontId="0" fillId="0" borderId="1" xfId="0" applyBorder="1"/>
    <xf numFmtId="0" fontId="0" fillId="0" borderId="18" xfId="0" applyBorder="1"/>
    <xf numFmtId="0" fontId="0" fillId="0" borderId="19" xfId="0" applyBorder="1"/>
    <xf numFmtId="0" fontId="50" fillId="16" borderId="1" xfId="0" applyFont="1" applyFill="1" applyBorder="1" applyAlignment="1">
      <alignment horizontal="center" vertical="center" wrapText="1"/>
    </xf>
    <xf numFmtId="42" fontId="5" fillId="0" borderId="0" xfId="2865" applyFont="1" applyFill="1" applyAlignment="1">
      <alignment horizontal="center"/>
    </xf>
    <xf numFmtId="0" fontId="0" fillId="0" borderId="0" xfId="0" applyAlignment="1">
      <alignment horizontal="center" vertical="center"/>
    </xf>
    <xf numFmtId="0" fontId="42" fillId="15" borderId="0" xfId="0" applyFont="1" applyFill="1" applyAlignment="1">
      <alignment horizontal="center" vertical="center"/>
    </xf>
    <xf numFmtId="179" fontId="5" fillId="0" borderId="0" xfId="0" applyNumberFormat="1" applyFont="1" applyFill="1" applyAlignment="1">
      <alignment horizontal="center"/>
    </xf>
    <xf numFmtId="0" fontId="27" fillId="3" borderId="12" xfId="0" applyFont="1" applyFill="1" applyBorder="1" applyAlignment="1">
      <alignment horizontal="center" vertical="top" wrapText="1"/>
    </xf>
    <xf numFmtId="0" fontId="4" fillId="2" borderId="0" xfId="16" applyFill="1" applyAlignment="1">
      <alignment vertical="top"/>
    </xf>
    <xf numFmtId="0" fontId="0" fillId="0" borderId="0" xfId="0" applyAlignment="1">
      <alignment horizontal="center"/>
    </xf>
    <xf numFmtId="0" fontId="0" fillId="0" borderId="0" xfId="0" applyAlignment="1">
      <alignment horizontal="center"/>
    </xf>
    <xf numFmtId="0" fontId="4" fillId="0" borderId="1" xfId="0" applyFont="1" applyFill="1" applyBorder="1" applyAlignment="1">
      <alignment horizontal="center" vertical="center"/>
    </xf>
    <xf numFmtId="180" fontId="0" fillId="0" borderId="0" xfId="0" applyNumberFormat="1" applyFill="1" applyAlignment="1">
      <alignment horizontal="center" vertical="center"/>
    </xf>
    <xf numFmtId="180" fontId="21" fillId="0" borderId="0" xfId="0" applyNumberFormat="1" applyFont="1" applyFill="1" applyAlignment="1">
      <alignment horizontal="center" vertical="center"/>
    </xf>
    <xf numFmtId="180" fontId="0" fillId="0" borderId="0" xfId="0" applyNumberFormat="1" applyFont="1" applyFill="1" applyAlignment="1">
      <alignment horizontal="center" vertical="center"/>
    </xf>
    <xf numFmtId="180" fontId="0" fillId="0" borderId="0" xfId="0" applyNumberFormat="1"/>
    <xf numFmtId="180" fontId="21" fillId="0" borderId="0" xfId="0" applyNumberFormat="1" applyFont="1"/>
    <xf numFmtId="4" fontId="42" fillId="15" borderId="0" xfId="0" applyNumberFormat="1" applyFont="1" applyFill="1" applyAlignment="1">
      <alignment horizontal="center"/>
    </xf>
    <xf numFmtId="0" fontId="42" fillId="0" borderId="0" xfId="0" applyFont="1" applyAlignment="1">
      <alignment horizontal="center"/>
    </xf>
    <xf numFmtId="2" fontId="0" fillId="0" borderId="0" xfId="0" applyNumberFormat="1" applyFill="1" applyAlignment="1">
      <alignment horizontal="center"/>
    </xf>
    <xf numFmtId="2" fontId="0" fillId="0" borderId="0" xfId="0" applyNumberFormat="1" applyAlignment="1">
      <alignment horizontal="center"/>
    </xf>
    <xf numFmtId="43" fontId="54" fillId="0" borderId="0" xfId="0" applyNumberFormat="1" applyFont="1" applyFill="1" applyAlignment="1"/>
    <xf numFmtId="179" fontId="0" fillId="0" borderId="0" xfId="0" applyNumberFormat="1" applyFont="1" applyFill="1" applyAlignment="1">
      <alignment horizontal="center" vertical="center"/>
    </xf>
    <xf numFmtId="41" fontId="0" fillId="0" borderId="0" xfId="0" applyNumberFormat="1" applyFill="1" applyAlignment="1">
      <alignment horizontal="center"/>
    </xf>
    <xf numFmtId="3" fontId="56" fillId="0" borderId="0" xfId="0" applyNumberFormat="1" applyFont="1"/>
    <xf numFmtId="180" fontId="5" fillId="0" borderId="0" xfId="0" applyNumberFormat="1" applyFont="1" applyFill="1" applyAlignment="1">
      <alignment horizontal="center"/>
    </xf>
    <xf numFmtId="0" fontId="0" fillId="0" borderId="0" xfId="0" applyAlignment="1">
      <alignment wrapText="1"/>
    </xf>
    <xf numFmtId="0" fontId="0" fillId="0" borderId="0" xfId="0" applyAlignment="1">
      <alignment horizontal="center"/>
    </xf>
    <xf numFmtId="3" fontId="4" fillId="0" borderId="1" xfId="0" applyNumberFormat="1" applyFont="1" applyFill="1" applyBorder="1" applyAlignment="1">
      <alignment horizontal="center" vertical="center" wrapText="1"/>
    </xf>
    <xf numFmtId="43" fontId="5" fillId="0" borderId="0" xfId="0" applyNumberFormat="1" applyFont="1" applyFill="1" applyAlignment="1">
      <alignment horizontal="center"/>
    </xf>
    <xf numFmtId="180" fontId="17" fillId="0" borderId="0" xfId="9" applyNumberFormat="1" applyFont="1" applyFill="1" applyBorder="1" applyAlignment="1">
      <alignment horizontal="center" vertical="center"/>
    </xf>
    <xf numFmtId="0" fontId="5" fillId="0" borderId="0" xfId="0" applyFont="1" applyFill="1" applyBorder="1" applyAlignment="1">
      <alignment horizontal="center"/>
    </xf>
    <xf numFmtId="169" fontId="5" fillId="0" borderId="0" xfId="3" applyFont="1" applyFill="1" applyBorder="1" applyAlignment="1">
      <alignment horizontal="center"/>
    </xf>
    <xf numFmtId="180" fontId="17" fillId="0" borderId="0" xfId="0" applyNumberFormat="1" applyFont="1" applyFill="1" applyBorder="1" applyAlignment="1">
      <alignment horizontal="center" vertical="center"/>
    </xf>
    <xf numFmtId="8" fontId="5" fillId="0" borderId="0" xfId="0" applyNumberFormat="1" applyFont="1" applyFill="1" applyBorder="1" applyAlignment="1">
      <alignment horizontal="center"/>
    </xf>
    <xf numFmtId="43" fontId="0" fillId="0" borderId="0" xfId="0" applyNumberFormat="1" applyFill="1" applyAlignment="1">
      <alignment horizontal="center"/>
    </xf>
    <xf numFmtId="0" fontId="0" fillId="0" borderId="0" xfId="0" applyAlignment="1">
      <alignment horizontal="center"/>
    </xf>
    <xf numFmtId="0" fontId="0" fillId="0" borderId="0" xfId="0" applyAlignment="1">
      <alignment horizontal="center"/>
    </xf>
    <xf numFmtId="0" fontId="7" fillId="0" borderId="0" xfId="0" applyFont="1" applyFill="1" applyBorder="1" applyAlignment="1">
      <alignment horizontal="center" vertical="center" wrapText="1"/>
    </xf>
    <xf numFmtId="0" fontId="7" fillId="0" borderId="0" xfId="0" applyFont="1" applyFill="1" applyBorder="1" applyAlignment="1">
      <alignment horizontal="center" vertical="center"/>
    </xf>
    <xf numFmtId="0" fontId="61" fillId="0" borderId="0" xfId="0" applyFont="1" applyFill="1" applyBorder="1" applyAlignment="1">
      <alignment horizontal="center" vertical="top" wrapText="1"/>
    </xf>
    <xf numFmtId="0" fontId="7" fillId="0" borderId="0" xfId="0" applyFont="1" applyFill="1" applyBorder="1" applyAlignment="1">
      <alignment vertical="center"/>
    </xf>
    <xf numFmtId="0" fontId="7" fillId="0" borderId="0" xfId="0" applyFont="1" applyFill="1" applyBorder="1" applyAlignment="1">
      <alignment horizontal="left" vertical="top" wrapText="1"/>
    </xf>
    <xf numFmtId="0" fontId="44" fillId="0" borderId="0" xfId="0" applyFont="1" applyFill="1" applyBorder="1" applyAlignment="1">
      <alignment horizontal="center" vertical="center"/>
    </xf>
    <xf numFmtId="175" fontId="7" fillId="0" borderId="0" xfId="3" applyNumberFormat="1" applyFont="1" applyFill="1" applyBorder="1" applyAlignment="1">
      <alignment horizontal="center" vertical="center"/>
    </xf>
    <xf numFmtId="2" fontId="7" fillId="0" borderId="0" xfId="0" applyNumberFormat="1" applyFont="1" applyFill="1" applyBorder="1" applyAlignment="1">
      <alignment horizontal="center" vertical="center"/>
    </xf>
    <xf numFmtId="0" fontId="58" fillId="0" borderId="0" xfId="0" applyFont="1" applyFill="1" applyBorder="1" applyAlignment="1">
      <alignment horizontal="center" vertical="center"/>
    </xf>
    <xf numFmtId="0" fontId="53" fillId="0" borderId="0" xfId="0" applyFont="1" applyFill="1" applyBorder="1" applyAlignment="1">
      <alignment vertical="top" wrapText="1"/>
    </xf>
    <xf numFmtId="0" fontId="25" fillId="0" borderId="0" xfId="0" applyFont="1" applyFill="1" applyBorder="1" applyAlignment="1">
      <alignment horizontal="center" vertical="center" wrapText="1"/>
    </xf>
    <xf numFmtId="0" fontId="45" fillId="0" borderId="0" xfId="0" applyFont="1" applyFill="1" applyBorder="1" applyAlignment="1">
      <alignment horizontal="left" vertical="top" wrapText="1"/>
    </xf>
    <xf numFmtId="0" fontId="45" fillId="0" borderId="0" xfId="0" applyFont="1" applyFill="1" applyBorder="1" applyAlignment="1">
      <alignment horizontal="center" vertical="center" wrapText="1"/>
    </xf>
    <xf numFmtId="181" fontId="57" fillId="0" borderId="0" xfId="0" applyNumberFormat="1" applyFont="1" applyFill="1" applyBorder="1" applyAlignment="1">
      <alignment horizontal="center" vertical="center" wrapText="1"/>
    </xf>
    <xf numFmtId="2" fontId="55" fillId="0" borderId="0" xfId="0" applyNumberFormat="1" applyFont="1" applyFill="1" applyBorder="1" applyAlignment="1">
      <alignment horizontal="center" vertical="center"/>
    </xf>
    <xf numFmtId="9" fontId="59" fillId="0" borderId="0" xfId="21" applyFont="1" applyFill="1" applyBorder="1" applyAlignment="1">
      <alignment horizontal="center" vertical="center"/>
    </xf>
    <xf numFmtId="10" fontId="59" fillId="0" borderId="0" xfId="21" applyNumberFormat="1" applyFont="1" applyFill="1" applyBorder="1" applyAlignment="1">
      <alignment horizontal="center" vertical="center" wrapText="1"/>
    </xf>
    <xf numFmtId="10" fontId="62" fillId="0" borderId="0" xfId="21" applyNumberFormat="1" applyFont="1" applyFill="1" applyBorder="1" applyAlignment="1">
      <alignment horizontal="center" vertical="center" wrapText="1"/>
    </xf>
    <xf numFmtId="0" fontId="0" fillId="0" borderId="0" xfId="0" applyAlignment="1">
      <alignment horizontal="center"/>
    </xf>
    <xf numFmtId="0" fontId="2" fillId="16" borderId="4" xfId="0" applyFont="1" applyFill="1" applyBorder="1" applyAlignment="1">
      <alignment horizontal="center" vertical="center" wrapText="1"/>
    </xf>
    <xf numFmtId="0" fontId="2" fillId="16" borderId="39" xfId="0" applyFont="1" applyFill="1" applyBorder="1" applyAlignment="1">
      <alignment horizontal="center" vertical="center" wrapText="1"/>
    </xf>
    <xf numFmtId="0" fontId="4" fillId="0" borderId="1" xfId="0" applyFont="1" applyBorder="1" applyAlignment="1">
      <alignment horizontal="center" vertical="center"/>
    </xf>
    <xf numFmtId="3" fontId="4" fillId="0" borderId="1" xfId="24" applyNumberFormat="1" applyFont="1" applyFill="1" applyBorder="1" applyAlignment="1">
      <alignment horizontal="center" vertical="center"/>
    </xf>
    <xf numFmtId="9" fontId="4" fillId="0" borderId="1" xfId="24" applyFont="1" applyFill="1" applyBorder="1" applyAlignment="1">
      <alignment horizontal="center" vertical="center"/>
    </xf>
    <xf numFmtId="4" fontId="4" fillId="0" borderId="1" xfId="24" applyNumberFormat="1" applyFont="1" applyFill="1" applyBorder="1" applyAlignment="1">
      <alignment horizontal="center" vertical="center"/>
    </xf>
    <xf numFmtId="2" fontId="4" fillId="0" borderId="1" xfId="24" applyNumberFormat="1" applyFont="1" applyFill="1" applyBorder="1" applyAlignment="1">
      <alignment horizontal="center" vertical="center"/>
    </xf>
    <xf numFmtId="1" fontId="4" fillId="0" borderId="1" xfId="5" applyNumberFormat="1" applyFont="1" applyFill="1" applyBorder="1" applyAlignment="1">
      <alignment horizontal="center" vertical="center"/>
    </xf>
    <xf numFmtId="0" fontId="24" fillId="0" borderId="1" xfId="0" applyFont="1" applyFill="1" applyBorder="1" applyAlignment="1">
      <alignment horizontal="center" vertical="center"/>
    </xf>
    <xf numFmtId="169" fontId="24" fillId="0" borderId="1" xfId="3" applyNumberFormat="1" applyFont="1" applyFill="1" applyBorder="1" applyAlignment="1">
      <alignment horizontal="center" vertical="center"/>
    </xf>
    <xf numFmtId="9" fontId="24" fillId="0" borderId="1" xfId="0" applyNumberFormat="1" applyFont="1" applyFill="1" applyBorder="1" applyAlignment="1">
      <alignment horizontal="center" vertical="center"/>
    </xf>
    <xf numFmtId="37" fontId="24" fillId="0" borderId="1" xfId="9" applyNumberFormat="1" applyFont="1" applyFill="1" applyBorder="1" applyAlignment="1">
      <alignment horizontal="center" vertical="center"/>
    </xf>
    <xf numFmtId="0" fontId="24" fillId="0" borderId="0" xfId="0" applyFont="1" applyFill="1" applyAlignment="1">
      <alignment horizontal="center" vertical="center"/>
    </xf>
    <xf numFmtId="9" fontId="4" fillId="0" borderId="1" xfId="21" applyFont="1" applyFill="1" applyBorder="1" applyAlignment="1">
      <alignment horizontal="center" vertical="center" wrapText="1"/>
    </xf>
    <xf numFmtId="2" fontId="4" fillId="0" borderId="1" xfId="5" applyNumberFormat="1" applyFont="1" applyFill="1" applyBorder="1" applyAlignment="1">
      <alignment horizontal="center" vertical="center"/>
    </xf>
    <xf numFmtId="9" fontId="4" fillId="0" borderId="1" xfId="21" applyFont="1" applyFill="1" applyBorder="1" applyAlignment="1">
      <alignment horizontal="center" vertical="center"/>
    </xf>
    <xf numFmtId="182" fontId="4" fillId="0" borderId="1" xfId="21" applyNumberFormat="1" applyFont="1" applyFill="1" applyBorder="1" applyAlignment="1">
      <alignment horizontal="center" vertical="center" wrapText="1"/>
    </xf>
    <xf numFmtId="1" fontId="24" fillId="0" borderId="1" xfId="3" applyNumberFormat="1" applyFont="1" applyFill="1" applyBorder="1" applyAlignment="1">
      <alignment horizontal="center" vertical="center"/>
    </xf>
    <xf numFmtId="0" fontId="10" fillId="0" borderId="0" xfId="0" applyFont="1" applyFill="1" applyBorder="1" applyAlignment="1">
      <alignment vertical="center" wrapText="1"/>
    </xf>
    <xf numFmtId="0" fontId="63" fillId="0" borderId="0" xfId="0" applyFont="1" applyFill="1"/>
    <xf numFmtId="0" fontId="68" fillId="0" borderId="0" xfId="0" applyFont="1" applyFill="1" applyAlignment="1">
      <alignment horizontal="center" vertical="center"/>
    </xf>
    <xf numFmtId="180" fontId="16" fillId="17" borderId="1" xfId="0" applyNumberFormat="1" applyFont="1" applyFill="1" applyBorder="1" applyAlignment="1" applyProtection="1">
      <alignment horizontal="left" vertical="center" wrapText="1"/>
      <protection locked="0"/>
    </xf>
    <xf numFmtId="180" fontId="4" fillId="20" borderId="1" xfId="0" applyNumberFormat="1" applyFont="1" applyFill="1" applyBorder="1" applyAlignment="1" applyProtection="1">
      <alignment horizontal="left" vertical="center" wrapText="1"/>
      <protection locked="0"/>
    </xf>
    <xf numFmtId="0" fontId="16" fillId="16" borderId="1" xfId="0" applyFont="1" applyFill="1" applyBorder="1" applyAlignment="1" applyProtection="1">
      <alignment horizontal="left" vertical="center" wrapText="1"/>
      <protection locked="0"/>
    </xf>
    <xf numFmtId="9" fontId="4" fillId="0" borderId="1" xfId="24" applyFont="1" applyFill="1" applyBorder="1" applyAlignment="1">
      <alignment horizontal="center" vertical="center" wrapText="1"/>
    </xf>
    <xf numFmtId="42" fontId="4" fillId="0" borderId="1" xfId="2865" applyFont="1" applyFill="1" applyBorder="1" applyAlignment="1">
      <alignment horizontal="center" vertical="center" wrapText="1"/>
    </xf>
    <xf numFmtId="0" fontId="20" fillId="0" borderId="0" xfId="0" applyFont="1" applyFill="1" applyAlignment="1">
      <alignment horizontal="center" vertical="center"/>
    </xf>
    <xf numFmtId="180" fontId="4" fillId="17" borderId="1" xfId="0" applyNumberFormat="1" applyFont="1" applyFill="1" applyBorder="1" applyAlignment="1" applyProtection="1">
      <alignment horizontal="left" vertical="center" wrapText="1"/>
      <protection locked="0"/>
    </xf>
    <xf numFmtId="179" fontId="20" fillId="0" borderId="0" xfId="0" applyNumberFormat="1" applyFont="1" applyFill="1" applyAlignment="1">
      <alignment horizontal="center" vertical="center"/>
    </xf>
    <xf numFmtId="0" fontId="4" fillId="16" borderId="1" xfId="0" applyFont="1" applyFill="1" applyBorder="1" applyAlignment="1" applyProtection="1">
      <alignment horizontal="left" vertical="center" wrapText="1"/>
      <protection locked="0"/>
    </xf>
    <xf numFmtId="179" fontId="66" fillId="0" borderId="0" xfId="0" applyNumberFormat="1" applyFont="1" applyFill="1" applyAlignment="1">
      <alignment horizontal="center" vertical="center"/>
    </xf>
    <xf numFmtId="42" fontId="4" fillId="0" borderId="1" xfId="2865" applyFont="1" applyFill="1" applyBorder="1" applyAlignment="1">
      <alignment horizontal="center" vertical="center"/>
    </xf>
    <xf numFmtId="1" fontId="24" fillId="0" borderId="1" xfId="0" applyNumberFormat="1" applyFont="1" applyFill="1" applyBorder="1" applyAlignment="1">
      <alignment horizontal="center" vertical="center"/>
    </xf>
    <xf numFmtId="1" fontId="4" fillId="0" borderId="1" xfId="0" applyNumberFormat="1" applyFont="1" applyFill="1" applyBorder="1" applyAlignment="1">
      <alignment horizontal="center" vertical="center" wrapText="1"/>
    </xf>
    <xf numFmtId="0" fontId="2" fillId="16" borderId="4" xfId="16" applyFont="1" applyFill="1" applyBorder="1" applyAlignment="1">
      <alignment horizontal="center" vertical="center" wrapText="1"/>
    </xf>
    <xf numFmtId="42" fontId="32" fillId="0" borderId="1" xfId="2865" applyFont="1" applyFill="1" applyBorder="1" applyAlignment="1">
      <alignment horizontal="center" vertical="center" wrapText="1"/>
    </xf>
    <xf numFmtId="10" fontId="32" fillId="0" borderId="1" xfId="21" applyNumberFormat="1" applyFont="1" applyFill="1" applyBorder="1" applyAlignment="1">
      <alignment horizontal="center" vertical="center" wrapText="1"/>
    </xf>
    <xf numFmtId="0" fontId="67" fillId="0" borderId="0" xfId="16" applyFont="1" applyBorder="1" applyAlignment="1">
      <alignment vertical="center"/>
    </xf>
    <xf numFmtId="172" fontId="12" fillId="16" borderId="1" xfId="0" applyNumberFormat="1" applyFont="1" applyFill="1" applyBorder="1" applyAlignment="1">
      <alignment vertical="center"/>
    </xf>
    <xf numFmtId="9" fontId="4" fillId="16" borderId="1" xfId="0" applyNumberFormat="1" applyFont="1" applyFill="1" applyBorder="1" applyAlignment="1">
      <alignment horizontal="center" vertical="center"/>
    </xf>
    <xf numFmtId="172" fontId="12" fillId="17" borderId="1" xfId="0" applyNumberFormat="1" applyFont="1" applyFill="1" applyBorder="1" applyAlignment="1">
      <alignment vertical="center"/>
    </xf>
    <xf numFmtId="10" fontId="4" fillId="17" borderId="1" xfId="0" applyNumberFormat="1" applyFont="1" applyFill="1" applyBorder="1" applyAlignment="1">
      <alignment horizontal="center" vertical="center"/>
    </xf>
    <xf numFmtId="172" fontId="69" fillId="16" borderId="1" xfId="0" applyNumberFormat="1" applyFont="1" applyFill="1" applyBorder="1" applyAlignment="1">
      <alignment vertical="center"/>
    </xf>
    <xf numFmtId="172" fontId="69" fillId="17" borderId="1" xfId="0" applyNumberFormat="1" applyFont="1" applyFill="1" applyBorder="1" applyAlignment="1">
      <alignment vertical="center"/>
    </xf>
    <xf numFmtId="172" fontId="4" fillId="17" borderId="1" xfId="0" applyNumberFormat="1" applyFont="1" applyFill="1" applyBorder="1" applyAlignment="1">
      <alignment horizontal="center" vertical="center"/>
    </xf>
    <xf numFmtId="10" fontId="4" fillId="16" borderId="1" xfId="0" applyNumberFormat="1" applyFont="1" applyFill="1" applyBorder="1" applyAlignment="1">
      <alignment horizontal="center" vertical="center"/>
    </xf>
    <xf numFmtId="172" fontId="4" fillId="16" borderId="1" xfId="0" applyNumberFormat="1" applyFont="1" applyFill="1" applyBorder="1" applyAlignment="1">
      <alignment horizontal="center" vertical="center"/>
    </xf>
    <xf numFmtId="10" fontId="2" fillId="16" borderId="1" xfId="16" applyNumberFormat="1" applyFont="1" applyFill="1" applyBorder="1" applyAlignment="1">
      <alignment horizontal="center" vertical="center" wrapText="1"/>
    </xf>
    <xf numFmtId="0" fontId="2" fillId="16" borderId="1" xfId="16" applyFont="1" applyFill="1" applyBorder="1" applyAlignment="1">
      <alignment horizontal="center" vertical="center" wrapText="1"/>
    </xf>
    <xf numFmtId="0" fontId="26" fillId="0" borderId="0" xfId="0" applyFont="1"/>
    <xf numFmtId="9" fontId="4" fillId="16" borderId="1" xfId="24" applyFont="1" applyFill="1" applyBorder="1" applyAlignment="1" applyProtection="1">
      <alignment horizontal="left" vertical="center" wrapText="1"/>
      <protection locked="0"/>
    </xf>
    <xf numFmtId="9" fontId="4" fillId="0" borderId="1" xfId="24" applyFont="1" applyBorder="1" applyAlignment="1">
      <alignment horizontal="center" vertical="center"/>
    </xf>
    <xf numFmtId="9" fontId="2" fillId="0" borderId="1" xfId="24" applyFont="1" applyFill="1" applyBorder="1" applyAlignment="1">
      <alignment horizontal="center" vertical="center" wrapText="1"/>
    </xf>
    <xf numFmtId="9" fontId="2" fillId="0" borderId="1" xfId="24" applyFont="1" applyBorder="1" applyAlignment="1">
      <alignment horizontal="center" vertical="center" wrapText="1"/>
    </xf>
    <xf numFmtId="42" fontId="4" fillId="0" borderId="1" xfId="2865" applyFont="1" applyBorder="1" applyAlignment="1">
      <alignment horizontal="center" vertical="center"/>
    </xf>
    <xf numFmtId="9" fontId="2" fillId="0" borderId="1" xfId="24" applyFont="1" applyFill="1" applyBorder="1" applyAlignment="1">
      <alignment horizontal="center" vertical="center"/>
    </xf>
    <xf numFmtId="42" fontId="2" fillId="0" borderId="1" xfId="2865" applyFont="1" applyFill="1" applyBorder="1" applyAlignment="1">
      <alignment horizontal="center" vertical="center"/>
    </xf>
    <xf numFmtId="9" fontId="2" fillId="0" borderId="1" xfId="24" applyFont="1" applyBorder="1" applyAlignment="1">
      <alignment horizontal="center" vertical="center"/>
    </xf>
    <xf numFmtId="42" fontId="2" fillId="0" borderId="1" xfId="2865" applyFont="1" applyBorder="1" applyAlignment="1">
      <alignment horizontal="center" vertical="center"/>
    </xf>
    <xf numFmtId="4" fontId="4" fillId="16" borderId="1" xfId="0" applyNumberFormat="1" applyFont="1" applyFill="1" applyBorder="1" applyAlignment="1" applyProtection="1">
      <alignment horizontal="left" vertical="center" wrapText="1"/>
      <protection locked="0"/>
    </xf>
    <xf numFmtId="4" fontId="4" fillId="0" borderId="1" xfId="24" applyNumberFormat="1" applyFont="1" applyFill="1" applyBorder="1" applyAlignment="1">
      <alignment horizontal="center" vertical="center" wrapText="1"/>
    </xf>
    <xf numFmtId="42" fontId="4" fillId="0" borderId="1" xfId="2865" applyFont="1" applyBorder="1" applyAlignment="1">
      <alignment horizontal="center" vertical="center" wrapText="1"/>
    </xf>
    <xf numFmtId="4" fontId="2" fillId="0" borderId="1" xfId="0" applyNumberFormat="1" applyFont="1" applyBorder="1" applyAlignment="1">
      <alignment horizontal="center" vertical="center"/>
    </xf>
    <xf numFmtId="4" fontId="2" fillId="0" borderId="1" xfId="24" applyNumberFormat="1" applyFont="1" applyBorder="1" applyAlignment="1">
      <alignment horizontal="center" vertical="center"/>
    </xf>
    <xf numFmtId="4" fontId="2" fillId="0" borderId="1" xfId="24" applyNumberFormat="1" applyFont="1" applyFill="1" applyBorder="1" applyAlignment="1">
      <alignment horizontal="center" vertical="center"/>
    </xf>
    <xf numFmtId="4" fontId="4" fillId="0" borderId="1" xfId="0" applyNumberFormat="1" applyFont="1" applyBorder="1" applyAlignment="1">
      <alignment horizontal="center" vertical="center"/>
    </xf>
    <xf numFmtId="9" fontId="4" fillId="0" borderId="1" xfId="24" applyFont="1" applyBorder="1" applyAlignment="1">
      <alignment horizontal="center" vertical="center" wrapText="1"/>
    </xf>
    <xf numFmtId="9" fontId="2" fillId="16" borderId="1" xfId="24" applyFont="1" applyFill="1" applyBorder="1" applyAlignment="1" applyProtection="1">
      <alignment horizontal="left" vertical="center" wrapText="1"/>
      <protection locked="0"/>
    </xf>
    <xf numFmtId="42" fontId="2" fillId="0" borderId="1" xfId="2865" applyFont="1" applyBorder="1" applyAlignment="1">
      <alignment horizontal="center" vertical="center" wrapText="1"/>
    </xf>
    <xf numFmtId="0" fontId="18" fillId="16" borderId="8" xfId="0" applyFont="1" applyFill="1" applyBorder="1" applyAlignment="1">
      <alignment horizontal="left" vertical="center" wrapText="1"/>
    </xf>
    <xf numFmtId="42" fontId="2" fillId="16" borderId="1" xfId="0" applyNumberFormat="1" applyFont="1" applyFill="1" applyBorder="1" applyAlignment="1">
      <alignment horizontal="center" vertical="center" wrapText="1"/>
    </xf>
    <xf numFmtId="0" fontId="18" fillId="16" borderId="40" xfId="0" applyFont="1" applyFill="1" applyBorder="1" applyAlignment="1">
      <alignment horizontal="left" vertical="center" wrapText="1"/>
    </xf>
    <xf numFmtId="0" fontId="20" fillId="0" borderId="0" xfId="0" applyFont="1" applyAlignment="1">
      <alignment horizontal="center" vertical="center"/>
    </xf>
    <xf numFmtId="0" fontId="2" fillId="16" borderId="4" xfId="19" applyFont="1" applyFill="1" applyBorder="1" applyAlignment="1">
      <alignment horizontal="center" vertical="center" wrapText="1"/>
    </xf>
    <xf numFmtId="10" fontId="4" fillId="16" borderId="4" xfId="16" applyNumberFormat="1" applyFill="1" applyBorder="1" applyAlignment="1">
      <alignment horizontal="center" vertical="center" wrapText="1"/>
    </xf>
    <xf numFmtId="10" fontId="4" fillId="0" borderId="1" xfId="21" applyNumberFormat="1" applyFont="1" applyFill="1" applyBorder="1" applyAlignment="1">
      <alignment horizontal="center" vertical="center" wrapText="1"/>
    </xf>
    <xf numFmtId="179" fontId="0" fillId="0" borderId="0" xfId="0" applyNumberFormat="1" applyFill="1" applyAlignment="1">
      <alignment horizontal="center"/>
    </xf>
    <xf numFmtId="183" fontId="4" fillId="0" borderId="1" xfId="3" applyNumberFormat="1" applyFont="1" applyFill="1" applyBorder="1" applyAlignment="1">
      <alignment horizontal="center" vertical="center"/>
    </xf>
    <xf numFmtId="179" fontId="0" fillId="0" borderId="0" xfId="0" applyNumberFormat="1" applyFill="1"/>
    <xf numFmtId="42" fontId="5" fillId="3" borderId="0" xfId="0" applyNumberFormat="1" applyFont="1" applyFill="1" applyAlignment="1">
      <alignment horizontal="center"/>
    </xf>
    <xf numFmtId="0" fontId="4" fillId="0" borderId="1" xfId="0" applyFont="1" applyBorder="1" applyAlignment="1">
      <alignment horizontal="center" vertical="center" wrapText="1"/>
    </xf>
    <xf numFmtId="0" fontId="32" fillId="0" borderId="1" xfId="0" applyFont="1" applyBorder="1" applyAlignment="1">
      <alignment horizontal="center" vertical="center"/>
    </xf>
    <xf numFmtId="10" fontId="32" fillId="0" borderId="1" xfId="16" applyNumberFormat="1" applyFont="1" applyFill="1" applyBorder="1" applyAlignment="1">
      <alignment horizontal="center" vertical="center" wrapText="1"/>
    </xf>
    <xf numFmtId="0" fontId="52" fillId="17" borderId="1" xfId="0" applyFont="1" applyFill="1" applyBorder="1" applyAlignment="1">
      <alignment horizontal="center" vertical="center"/>
    </xf>
    <xf numFmtId="184" fontId="52" fillId="18" borderId="1" xfId="5" applyNumberFormat="1" applyFont="1" applyFill="1" applyBorder="1" applyAlignment="1">
      <alignment horizontal="center" vertical="center" wrapText="1"/>
    </xf>
    <xf numFmtId="0" fontId="32" fillId="0" borderId="1" xfId="0" applyFont="1" applyBorder="1" applyAlignment="1">
      <alignment horizontal="center" vertical="center" wrapText="1"/>
    </xf>
    <xf numFmtId="164" fontId="32" fillId="0" borderId="1" xfId="2868" applyFont="1" applyBorder="1" applyAlignment="1">
      <alignment horizontal="center" vertical="center"/>
    </xf>
    <xf numFmtId="0" fontId="32" fillId="0" borderId="0" xfId="0" applyFont="1" applyAlignment="1">
      <alignment horizontal="center" vertical="center"/>
    </xf>
    <xf numFmtId="0" fontId="32" fillId="0" borderId="5" xfId="0" applyFont="1" applyBorder="1" applyAlignment="1">
      <alignment horizontal="center" vertical="center" wrapText="1"/>
    </xf>
    <xf numFmtId="9" fontId="32" fillId="0" borderId="1" xfId="24" applyFont="1" applyBorder="1" applyAlignment="1">
      <alignment horizontal="center" vertical="center"/>
    </xf>
    <xf numFmtId="0" fontId="20" fillId="0" borderId="1" xfId="0" applyFont="1" applyBorder="1" applyAlignment="1">
      <alignment horizontal="center" vertical="center" wrapText="1"/>
    </xf>
    <xf numFmtId="164" fontId="20" fillId="0" borderId="1" xfId="2868" applyFont="1" applyFill="1" applyBorder="1" applyAlignment="1">
      <alignment horizontal="center" vertical="center"/>
    </xf>
    <xf numFmtId="164" fontId="73" fillId="0" borderId="1" xfId="2868" applyFont="1" applyFill="1" applyBorder="1" applyAlignment="1">
      <alignment horizontal="center" vertical="center"/>
    </xf>
    <xf numFmtId="9" fontId="32" fillId="0" borderId="1" xfId="0" applyNumberFormat="1" applyFont="1" applyBorder="1" applyAlignment="1">
      <alignment horizontal="center" vertical="center" wrapText="1"/>
    </xf>
    <xf numFmtId="0" fontId="32" fillId="0" borderId="0" xfId="0" applyFont="1" applyAlignment="1">
      <alignment horizontal="center" vertical="center" wrapText="1"/>
    </xf>
    <xf numFmtId="4" fontId="32" fillId="0" borderId="1" xfId="0" applyNumberFormat="1" applyFont="1" applyBorder="1" applyAlignment="1">
      <alignment horizontal="center" vertical="center" wrapText="1"/>
    </xf>
    <xf numFmtId="3" fontId="32" fillId="0" borderId="1" xfId="0" applyNumberFormat="1" applyFont="1" applyBorder="1" applyAlignment="1">
      <alignment horizontal="center" vertical="center" wrapText="1"/>
    </xf>
    <xf numFmtId="0" fontId="32" fillId="0" borderId="1" xfId="0" applyFont="1" applyBorder="1" applyAlignment="1">
      <alignment wrapText="1"/>
    </xf>
    <xf numFmtId="0" fontId="32" fillId="0" borderId="0" xfId="0" applyFont="1"/>
    <xf numFmtId="1" fontId="32" fillId="0" borderId="1" xfId="0" applyNumberFormat="1" applyFont="1" applyBorder="1" applyAlignment="1">
      <alignment horizontal="center" vertical="center" wrapText="1"/>
    </xf>
    <xf numFmtId="0" fontId="32" fillId="0" borderId="1" xfId="0" applyFont="1" applyBorder="1" applyAlignment="1">
      <alignment horizontal="left" wrapText="1"/>
    </xf>
    <xf numFmtId="0" fontId="32" fillId="0" borderId="38" xfId="0" applyFont="1" applyBorder="1" applyAlignment="1">
      <alignment horizontal="left" wrapText="1"/>
    </xf>
    <xf numFmtId="0" fontId="32" fillId="0" borderId="1" xfId="0" applyFont="1" applyBorder="1" applyAlignment="1">
      <alignment horizontal="left" vertical="top" wrapText="1"/>
    </xf>
    <xf numFmtId="0" fontId="0" fillId="0" borderId="1" xfId="0" applyBorder="1" applyAlignment="1">
      <alignment wrapText="1"/>
    </xf>
    <xf numFmtId="9" fontId="32" fillId="0" borderId="7" xfId="24" applyFont="1" applyBorder="1" applyAlignment="1">
      <alignment horizontal="center" vertical="center"/>
    </xf>
    <xf numFmtId="4" fontId="32" fillId="0" borderId="1" xfId="0" applyNumberFormat="1" applyFont="1" applyBorder="1" applyAlignment="1">
      <alignment horizontal="center" vertical="center"/>
    </xf>
    <xf numFmtId="3" fontId="32" fillId="0" borderId="1" xfId="0" applyNumberFormat="1" applyFont="1" applyBorder="1" applyAlignment="1">
      <alignment horizontal="center" vertical="center"/>
    </xf>
    <xf numFmtId="9" fontId="32" fillId="0" borderId="1" xfId="0" applyNumberFormat="1" applyFont="1" applyBorder="1" applyAlignment="1">
      <alignment horizontal="center" vertical="center"/>
    </xf>
    <xf numFmtId="9" fontId="32" fillId="0" borderId="1" xfId="21" applyFont="1" applyBorder="1" applyAlignment="1">
      <alignment horizontal="center" vertical="center"/>
    </xf>
    <xf numFmtId="42" fontId="20" fillId="0" borderId="1" xfId="2865" applyFont="1" applyFill="1" applyBorder="1" applyAlignment="1">
      <alignment horizontal="center" vertical="center"/>
    </xf>
    <xf numFmtId="42" fontId="73" fillId="0" borderId="1" xfId="2865" applyFont="1" applyFill="1" applyBorder="1" applyAlignment="1">
      <alignment horizontal="center" vertical="center"/>
    </xf>
    <xf numFmtId="0" fontId="4" fillId="0" borderId="1" xfId="0" applyFont="1" applyBorder="1" applyAlignment="1">
      <alignment horizontal="center" vertical="center" wrapText="1"/>
    </xf>
    <xf numFmtId="0" fontId="32" fillId="0" borderId="1" xfId="0" applyFont="1" applyBorder="1" applyAlignment="1">
      <alignment horizontal="center" vertical="center"/>
    </xf>
    <xf numFmtId="0" fontId="32" fillId="0" borderId="1" xfId="0" applyFont="1" applyBorder="1" applyAlignment="1">
      <alignment horizontal="center" vertical="center" wrapText="1"/>
    </xf>
    <xf numFmtId="9" fontId="32" fillId="0" borderId="1" xfId="0" applyNumberFormat="1" applyFont="1" applyBorder="1" applyAlignment="1">
      <alignment horizontal="center" vertical="center" wrapText="1"/>
    </xf>
    <xf numFmtId="0" fontId="4" fillId="16" borderId="4" xfId="16" applyFill="1" applyBorder="1" applyAlignment="1">
      <alignment horizontal="center" vertical="center" wrapText="1"/>
    </xf>
    <xf numFmtId="0" fontId="42" fillId="0" borderId="0" xfId="0" applyFont="1" applyAlignment="1">
      <alignment horizontal="center" vertical="center"/>
    </xf>
    <xf numFmtId="1" fontId="32" fillId="0" borderId="1" xfId="0" applyNumberFormat="1" applyFont="1" applyFill="1" applyBorder="1" applyAlignment="1">
      <alignment horizontal="center" vertical="center" wrapText="1"/>
    </xf>
    <xf numFmtId="9" fontId="32" fillId="0" borderId="1" xfId="0" applyNumberFormat="1" applyFont="1" applyFill="1" applyBorder="1" applyAlignment="1">
      <alignment horizontal="center" vertical="center" wrapText="1"/>
    </xf>
    <xf numFmtId="0" fontId="0" fillId="0" borderId="0" xfId="0" applyAlignment="1">
      <alignment horizontal="left" vertical="center" wrapText="1"/>
    </xf>
    <xf numFmtId="0" fontId="0" fillId="0" borderId="1" xfId="0" applyBorder="1" applyAlignment="1">
      <alignment horizontal="left" vertical="center" wrapText="1"/>
    </xf>
    <xf numFmtId="4" fontId="32" fillId="0" borderId="1" xfId="0" applyNumberFormat="1" applyFont="1" applyFill="1" applyBorder="1" applyAlignment="1">
      <alignment horizontal="center" vertical="center"/>
    </xf>
    <xf numFmtId="0" fontId="32" fillId="0" borderId="1" xfId="0" applyFont="1" applyFill="1" applyBorder="1" applyAlignment="1">
      <alignment horizontal="center" vertical="center"/>
    </xf>
    <xf numFmtId="0" fontId="11" fillId="16" borderId="1" xfId="0" applyFont="1" applyFill="1" applyBorder="1" applyAlignment="1">
      <alignment horizontal="center" vertical="center" wrapText="1"/>
    </xf>
    <xf numFmtId="0" fontId="11" fillId="20" borderId="1" xfId="0" applyFont="1" applyFill="1" applyBorder="1" applyAlignment="1">
      <alignment horizontal="center" vertical="center" wrapText="1"/>
    </xf>
    <xf numFmtId="0" fontId="5" fillId="16" borderId="1" xfId="0" applyFont="1" applyFill="1" applyBorder="1" applyAlignment="1">
      <alignment horizontal="center" vertical="center" wrapText="1"/>
    </xf>
    <xf numFmtId="0" fontId="5" fillId="17" borderId="1" xfId="0" applyFont="1" applyFill="1" applyBorder="1" applyAlignment="1">
      <alignment horizontal="center" vertical="center" wrapText="1"/>
    </xf>
    <xf numFmtId="0" fontId="5" fillId="20" borderId="1" xfId="0" applyFont="1" applyFill="1" applyBorder="1" applyAlignment="1">
      <alignment horizontal="center" vertical="center" wrapText="1"/>
    </xf>
    <xf numFmtId="9" fontId="24" fillId="0" borderId="1" xfId="21" applyFont="1" applyFill="1" applyBorder="1" applyAlignment="1">
      <alignment horizontal="center" vertical="center"/>
    </xf>
    <xf numFmtId="183" fontId="24" fillId="0" borderId="1" xfId="3" applyNumberFormat="1" applyFont="1" applyFill="1" applyBorder="1" applyAlignment="1">
      <alignment horizontal="center" vertical="center"/>
    </xf>
    <xf numFmtId="0" fontId="10" fillId="0" borderId="0" xfId="0" applyFont="1" applyFill="1" applyBorder="1" applyAlignment="1">
      <alignment horizontal="center" vertical="center" wrapText="1"/>
    </xf>
    <xf numFmtId="3" fontId="10" fillId="0" borderId="0" xfId="0" applyNumberFormat="1" applyFont="1" applyFill="1" applyBorder="1" applyAlignment="1">
      <alignment horizontal="left" vertical="center" wrapText="1"/>
    </xf>
    <xf numFmtId="0" fontId="5" fillId="21" borderId="1" xfId="0" applyFont="1" applyFill="1" applyBorder="1" applyAlignment="1">
      <alignment horizontal="center" vertical="center" wrapText="1"/>
    </xf>
    <xf numFmtId="0" fontId="11" fillId="19" borderId="1" xfId="0" applyFont="1" applyFill="1" applyBorder="1" applyAlignment="1">
      <alignment horizontal="center" vertical="center" wrapText="1"/>
    </xf>
    <xf numFmtId="0" fontId="11" fillId="21" borderId="1" xfId="0" applyFont="1" applyFill="1" applyBorder="1" applyAlignment="1">
      <alignment horizontal="center" vertical="center" wrapText="1"/>
    </xf>
    <xf numFmtId="183" fontId="24" fillId="0" borderId="1" xfId="0" applyNumberFormat="1" applyFont="1" applyFill="1" applyBorder="1" applyAlignment="1">
      <alignment horizontal="center" vertical="center"/>
    </xf>
    <xf numFmtId="0" fontId="5" fillId="19"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32" fillId="0" borderId="1" xfId="0" applyFont="1" applyBorder="1" applyAlignment="1">
      <alignment horizontal="center" vertical="center"/>
    </xf>
    <xf numFmtId="0" fontId="32" fillId="0" borderId="1" xfId="0" applyFont="1" applyBorder="1" applyAlignment="1">
      <alignment horizontal="center" vertical="center" wrapText="1"/>
    </xf>
    <xf numFmtId="9" fontId="32" fillId="0" borderId="1" xfId="0" applyNumberFormat="1" applyFont="1" applyBorder="1" applyAlignment="1">
      <alignment horizontal="center" vertical="center" wrapText="1"/>
    </xf>
    <xf numFmtId="9" fontId="32" fillId="0" borderId="1" xfId="0" applyNumberFormat="1" applyFont="1" applyBorder="1" applyAlignment="1">
      <alignment horizontal="center" vertical="center" wrapText="1"/>
    </xf>
    <xf numFmtId="0" fontId="32" fillId="0" borderId="1" xfId="0" applyFont="1" applyBorder="1" applyAlignment="1">
      <alignment horizontal="center" vertical="center" wrapText="1"/>
    </xf>
    <xf numFmtId="0" fontId="4" fillId="0" borderId="1" xfId="0" applyFont="1" applyBorder="1" applyAlignment="1">
      <alignment horizontal="center" vertical="center" wrapText="1"/>
    </xf>
    <xf numFmtId="0" fontId="32" fillId="0" borderId="1" xfId="0" applyFont="1" applyBorder="1" applyAlignment="1">
      <alignment horizontal="center" vertical="center"/>
    </xf>
    <xf numFmtId="42" fontId="0" fillId="0" borderId="0" xfId="2865" applyFont="1" applyAlignment="1">
      <alignment horizontal="center" vertical="center"/>
    </xf>
    <xf numFmtId="42" fontId="32" fillId="0" borderId="0" xfId="2865" applyFont="1" applyAlignment="1">
      <alignment horizontal="center" vertical="center"/>
    </xf>
    <xf numFmtId="42" fontId="0" fillId="0" borderId="0" xfId="2865" applyFont="1"/>
    <xf numFmtId="42" fontId="52" fillId="18" borderId="1" xfId="2865" applyFont="1" applyFill="1" applyBorder="1" applyAlignment="1">
      <alignment horizontal="center" vertical="center" wrapText="1"/>
    </xf>
    <xf numFmtId="42" fontId="32" fillId="0" borderId="1" xfId="2865" applyFont="1" applyBorder="1" applyAlignment="1">
      <alignment horizontal="center" vertical="center" wrapText="1"/>
    </xf>
    <xf numFmtId="42" fontId="32" fillId="0" borderId="1" xfId="2865" applyFont="1" applyBorder="1" applyAlignment="1">
      <alignment horizontal="center" vertical="center"/>
    </xf>
    <xf numFmtId="42" fontId="0" fillId="0" borderId="1" xfId="2865" applyFont="1" applyBorder="1"/>
    <xf numFmtId="42" fontId="32" fillId="0" borderId="0" xfId="2865" applyFont="1" applyBorder="1" applyAlignment="1">
      <alignment horizontal="center" vertical="center"/>
    </xf>
    <xf numFmtId="42" fontId="42" fillId="15" borderId="0" xfId="2865" applyFont="1" applyFill="1"/>
    <xf numFmtId="0" fontId="32" fillId="0" borderId="1" xfId="0" applyFont="1" applyBorder="1" applyAlignment="1">
      <alignment horizontal="center" vertical="center" wrapText="1"/>
    </xf>
    <xf numFmtId="0" fontId="0" fillId="0" borderId="0" xfId="0" applyAlignment="1">
      <alignment vertical="center" wrapText="1"/>
    </xf>
    <xf numFmtId="0" fontId="0" fillId="0" borderId="1" xfId="0" applyBorder="1" applyAlignment="1">
      <alignment vertical="center" wrapText="1"/>
    </xf>
    <xf numFmtId="185" fontId="4" fillId="0" borderId="1" xfId="2865" applyNumberFormat="1" applyFont="1" applyBorder="1" applyAlignment="1">
      <alignment horizontal="center" vertical="center"/>
    </xf>
    <xf numFmtId="0" fontId="0" fillId="0" borderId="0" xfId="0" applyAlignment="1">
      <alignment horizontal="center"/>
    </xf>
    <xf numFmtId="0" fontId="4" fillId="0" borderId="1" xfId="0" applyFont="1" applyFill="1" applyBorder="1" applyAlignment="1">
      <alignment horizontal="center" vertical="center" wrapText="1"/>
    </xf>
    <xf numFmtId="0" fontId="2" fillId="16" borderId="3" xfId="0" applyFont="1" applyFill="1" applyBorder="1" applyAlignment="1">
      <alignment horizontal="center" vertical="center" wrapText="1"/>
    </xf>
    <xf numFmtId="4" fontId="4" fillId="0" borderId="1" xfId="0" applyNumberFormat="1" applyFont="1" applyBorder="1" applyAlignment="1">
      <alignment horizontal="center" vertical="center" wrapText="1"/>
    </xf>
    <xf numFmtId="0" fontId="21" fillId="4" borderId="1" xfId="0" applyFont="1" applyFill="1" applyBorder="1" applyAlignment="1">
      <alignment horizontal="center" vertical="center"/>
    </xf>
    <xf numFmtId="0" fontId="0" fillId="0" borderId="1" xfId="0" applyBorder="1" applyAlignment="1">
      <alignment horizontal="center" vertical="center"/>
    </xf>
    <xf numFmtId="42" fontId="4" fillId="16" borderId="1" xfId="2865" applyFont="1" applyFill="1" applyBorder="1" applyAlignment="1" applyProtection="1">
      <alignment horizontal="left" vertical="center" wrapText="1"/>
      <protection locked="0"/>
    </xf>
    <xf numFmtId="42" fontId="2" fillId="16" borderId="1" xfId="2865" applyFont="1" applyFill="1" applyBorder="1" applyAlignment="1" applyProtection="1">
      <alignment horizontal="left" vertical="center" wrapText="1"/>
      <protection locked="0"/>
    </xf>
    <xf numFmtId="0" fontId="4" fillId="0" borderId="1" xfId="0" applyFont="1" applyFill="1" applyBorder="1" applyAlignment="1">
      <alignment horizontal="left" vertical="top" wrapText="1"/>
    </xf>
    <xf numFmtId="0" fontId="24" fillId="0" borderId="1" xfId="0" applyFont="1" applyFill="1" applyBorder="1" applyAlignment="1">
      <alignment horizontal="left" vertical="top" wrapText="1"/>
    </xf>
    <xf numFmtId="0" fontId="71" fillId="0" borderId="1" xfId="2867" applyFont="1" applyFill="1" applyBorder="1" applyAlignment="1">
      <alignment horizontal="center" vertical="center" wrapText="1"/>
    </xf>
    <xf numFmtId="0" fontId="4" fillId="0" borderId="1" xfId="0" applyFont="1" applyFill="1" applyBorder="1" applyAlignment="1">
      <alignment horizontal="center" vertical="top" wrapText="1"/>
    </xf>
    <xf numFmtId="179" fontId="16" fillId="16" borderId="8" xfId="0" applyNumberFormat="1" applyFont="1" applyFill="1" applyBorder="1" applyAlignment="1" applyProtection="1">
      <alignment horizontal="left" vertical="top" wrapText="1"/>
      <protection locked="0"/>
    </xf>
    <xf numFmtId="179" fontId="16" fillId="17" borderId="8" xfId="0" applyNumberFormat="1" applyFont="1" applyFill="1" applyBorder="1" applyAlignment="1" applyProtection="1">
      <alignment horizontal="left" vertical="top" wrapText="1"/>
      <protection locked="0"/>
    </xf>
    <xf numFmtId="180" fontId="16" fillId="17" borderId="8" xfId="0" applyNumberFormat="1" applyFont="1" applyFill="1" applyBorder="1" applyAlignment="1" applyProtection="1">
      <alignment horizontal="left" vertical="center" wrapText="1"/>
      <protection locked="0"/>
    </xf>
    <xf numFmtId="180" fontId="4" fillId="17" borderId="8" xfId="0" applyNumberFormat="1" applyFont="1" applyFill="1" applyBorder="1" applyAlignment="1" applyProtection="1">
      <alignment horizontal="left" vertical="center" wrapText="1"/>
      <protection locked="0"/>
    </xf>
    <xf numFmtId="9" fontId="5" fillId="0" borderId="1" xfId="21" applyFont="1" applyFill="1" applyBorder="1" applyAlignment="1">
      <alignment horizontal="center" vertical="center" wrapText="1"/>
    </xf>
    <xf numFmtId="9" fontId="5" fillId="0" borderId="1" xfId="24" applyFont="1" applyFill="1" applyBorder="1" applyAlignment="1">
      <alignment horizontal="center" vertical="center" wrapText="1"/>
    </xf>
    <xf numFmtId="3" fontId="5" fillId="0" borderId="1" xfId="0" applyNumberFormat="1" applyFont="1" applyFill="1" applyBorder="1" applyAlignment="1">
      <alignment horizontal="center" vertical="center" wrapText="1"/>
    </xf>
    <xf numFmtId="4" fontId="5" fillId="0" borderId="1" xfId="0" applyNumberFormat="1" applyFont="1" applyFill="1" applyBorder="1" applyAlignment="1">
      <alignment horizontal="center" vertical="center" wrapText="1"/>
    </xf>
    <xf numFmtId="178" fontId="5" fillId="0" borderId="1" xfId="0" applyNumberFormat="1" applyFont="1" applyFill="1" applyBorder="1" applyAlignment="1">
      <alignment horizontal="center" vertical="center" wrapText="1"/>
    </xf>
    <xf numFmtId="1" fontId="5" fillId="0" borderId="1" xfId="2865" applyNumberFormat="1" applyFont="1" applyFill="1" applyBorder="1" applyAlignment="1">
      <alignment horizontal="center" vertical="center" wrapText="1"/>
    </xf>
    <xf numFmtId="9" fontId="76" fillId="0" borderId="1" xfId="21" applyFont="1" applyFill="1" applyBorder="1" applyAlignment="1">
      <alignment horizontal="center" vertical="center"/>
    </xf>
    <xf numFmtId="10" fontId="76" fillId="0" borderId="1" xfId="21" applyNumberFormat="1" applyFont="1" applyFill="1" applyBorder="1" applyAlignment="1">
      <alignment horizontal="center" vertical="center" wrapText="1"/>
    </xf>
    <xf numFmtId="42" fontId="7" fillId="0" borderId="1" xfId="2865" applyFont="1" applyFill="1" applyBorder="1" applyAlignment="1">
      <alignment horizontal="center" vertical="center"/>
    </xf>
    <xf numFmtId="42" fontId="5" fillId="0" borderId="1" xfId="2865" applyFont="1" applyFill="1" applyBorder="1" applyAlignment="1">
      <alignment horizontal="center" vertical="center" wrapText="1"/>
    </xf>
    <xf numFmtId="42" fontId="76" fillId="0" borderId="1" xfId="2865" applyFont="1" applyFill="1" applyBorder="1" applyAlignment="1">
      <alignment horizontal="center" vertical="center" wrapText="1"/>
    </xf>
    <xf numFmtId="42" fontId="5" fillId="0" borderId="1" xfId="2865" applyFont="1" applyFill="1" applyBorder="1" applyAlignment="1">
      <alignment horizontal="center" vertical="center"/>
    </xf>
    <xf numFmtId="179" fontId="7" fillId="0" borderId="1" xfId="9" applyNumberFormat="1" applyFont="1" applyFill="1" applyBorder="1" applyAlignment="1">
      <alignment horizontal="center" vertical="center"/>
    </xf>
    <xf numFmtId="179" fontId="5" fillId="0" borderId="1" xfId="9" applyNumberFormat="1" applyFont="1" applyFill="1" applyBorder="1" applyAlignment="1">
      <alignment horizontal="center" vertical="center"/>
    </xf>
    <xf numFmtId="179" fontId="5" fillId="0" borderId="1" xfId="2865" applyNumberFormat="1" applyFont="1" applyFill="1" applyBorder="1" applyAlignment="1">
      <alignment horizontal="center" vertical="center" wrapText="1"/>
    </xf>
    <xf numFmtId="9" fontId="78" fillId="0" borderId="1" xfId="21" applyFont="1" applyFill="1" applyBorder="1" applyAlignment="1">
      <alignment horizontal="center" vertical="center" wrapText="1"/>
    </xf>
    <xf numFmtId="0" fontId="7" fillId="0" borderId="1" xfId="0" applyFont="1" applyFill="1" applyBorder="1" applyAlignment="1">
      <alignment horizontal="center" vertical="center"/>
    </xf>
    <xf numFmtId="169" fontId="5" fillId="0" borderId="1" xfId="3" applyFont="1" applyFill="1" applyBorder="1" applyAlignment="1">
      <alignment horizontal="center" vertical="center"/>
    </xf>
    <xf numFmtId="169" fontId="5" fillId="0" borderId="1" xfId="3" applyNumberFormat="1" applyFont="1" applyFill="1" applyBorder="1" applyAlignment="1">
      <alignment horizontal="center" vertical="center"/>
    </xf>
    <xf numFmtId="180" fontId="7" fillId="0" borderId="1" xfId="9" applyNumberFormat="1" applyFont="1" applyFill="1" applyBorder="1" applyAlignment="1">
      <alignment horizontal="center" vertical="center"/>
    </xf>
    <xf numFmtId="9" fontId="5" fillId="0" borderId="2" xfId="21" applyFont="1" applyFill="1" applyBorder="1" applyAlignment="1">
      <alignment horizontal="center" vertical="center" wrapText="1"/>
    </xf>
    <xf numFmtId="9" fontId="5" fillId="0" borderId="2" xfId="24" applyFont="1" applyFill="1" applyBorder="1" applyAlignment="1">
      <alignment horizontal="center" vertical="center" wrapText="1"/>
    </xf>
    <xf numFmtId="3" fontId="5" fillId="0" borderId="2" xfId="0" applyNumberFormat="1" applyFont="1" applyFill="1" applyBorder="1" applyAlignment="1">
      <alignment horizontal="center" vertical="center" wrapText="1"/>
    </xf>
    <xf numFmtId="4" fontId="5" fillId="0" borderId="2" xfId="0" applyNumberFormat="1" applyFont="1" applyFill="1" applyBorder="1" applyAlignment="1">
      <alignment horizontal="center" vertical="center" wrapText="1"/>
    </xf>
    <xf numFmtId="178" fontId="5" fillId="0" borderId="2" xfId="0" applyNumberFormat="1" applyFont="1" applyFill="1" applyBorder="1" applyAlignment="1">
      <alignment horizontal="center" vertical="center" wrapText="1"/>
    </xf>
    <xf numFmtId="1" fontId="5" fillId="0" borderId="2" xfId="2865" applyNumberFormat="1" applyFont="1" applyFill="1" applyBorder="1" applyAlignment="1">
      <alignment horizontal="center" vertical="center" wrapText="1"/>
    </xf>
    <xf numFmtId="4" fontId="5" fillId="0" borderId="2" xfId="10" applyNumberFormat="1" applyFont="1" applyFill="1" applyBorder="1" applyAlignment="1">
      <alignment horizontal="center" vertical="center" wrapText="1"/>
    </xf>
    <xf numFmtId="169" fontId="5" fillId="0" borderId="2" xfId="3" applyNumberFormat="1" applyFont="1" applyFill="1" applyBorder="1" applyAlignment="1">
      <alignment horizontal="center" vertical="center"/>
    </xf>
    <xf numFmtId="9" fontId="76" fillId="0" borderId="2" xfId="21" applyFont="1" applyFill="1" applyBorder="1" applyAlignment="1">
      <alignment horizontal="center" vertical="center"/>
    </xf>
    <xf numFmtId="10" fontId="76" fillId="0" borderId="2" xfId="21" applyNumberFormat="1" applyFont="1" applyFill="1" applyBorder="1" applyAlignment="1">
      <alignment horizontal="center" vertical="center" wrapText="1"/>
    </xf>
    <xf numFmtId="42" fontId="7" fillId="23" borderId="49" xfId="2865" applyFont="1" applyFill="1" applyBorder="1" applyAlignment="1">
      <alignment horizontal="center" vertical="center"/>
    </xf>
    <xf numFmtId="42" fontId="7" fillId="23" borderId="34" xfId="2865" applyFont="1" applyFill="1" applyBorder="1" applyAlignment="1">
      <alignment horizontal="center" vertical="center"/>
    </xf>
    <xf numFmtId="42" fontId="5" fillId="23" borderId="34" xfId="2865" applyFont="1" applyFill="1" applyBorder="1" applyAlignment="1">
      <alignment horizontal="center" vertical="center" wrapText="1"/>
    </xf>
    <xf numFmtId="42" fontId="5" fillId="23" borderId="34" xfId="2865" applyFont="1" applyFill="1" applyBorder="1" applyAlignment="1">
      <alignment horizontal="center" vertical="center"/>
    </xf>
    <xf numFmtId="180" fontId="7" fillId="23" borderId="34" xfId="9" applyNumberFormat="1" applyFont="1" applyFill="1" applyBorder="1" applyAlignment="1">
      <alignment horizontal="center" vertical="center"/>
    </xf>
    <xf numFmtId="3" fontId="5" fillId="23" borderId="34" xfId="0" applyNumberFormat="1" applyFont="1" applyFill="1" applyBorder="1" applyAlignment="1">
      <alignment horizontal="center" vertical="center" wrapText="1"/>
    </xf>
    <xf numFmtId="179" fontId="7" fillId="23" borderId="34" xfId="9" applyNumberFormat="1" applyFont="1" applyFill="1" applyBorder="1" applyAlignment="1">
      <alignment horizontal="center" vertical="center"/>
    </xf>
    <xf numFmtId="179" fontId="5" fillId="23" borderId="34" xfId="9" applyNumberFormat="1" applyFont="1" applyFill="1" applyBorder="1" applyAlignment="1">
      <alignment horizontal="center" vertical="center"/>
    </xf>
    <xf numFmtId="9" fontId="76" fillId="23" borderId="34" xfId="21" applyFont="1" applyFill="1" applyBorder="1" applyAlignment="1">
      <alignment horizontal="center" vertical="center"/>
    </xf>
    <xf numFmtId="10" fontId="76" fillId="23" borderId="34" xfId="21" applyNumberFormat="1" applyFont="1" applyFill="1" applyBorder="1" applyAlignment="1">
      <alignment horizontal="center" vertical="center" wrapText="1"/>
    </xf>
    <xf numFmtId="10" fontId="76" fillId="23" borderId="35" xfId="21" applyNumberFormat="1" applyFont="1" applyFill="1" applyBorder="1" applyAlignment="1">
      <alignment horizontal="center" vertical="center" wrapText="1"/>
    </xf>
    <xf numFmtId="182" fontId="5" fillId="0" borderId="5" xfId="21" applyNumberFormat="1" applyFont="1" applyFill="1" applyBorder="1" applyAlignment="1">
      <alignment horizontal="center" vertical="center" wrapText="1"/>
    </xf>
    <xf numFmtId="182" fontId="5" fillId="0" borderId="5" xfId="0" applyNumberFormat="1" applyFont="1" applyFill="1" applyBorder="1" applyAlignment="1">
      <alignment horizontal="center" vertical="center" wrapText="1"/>
    </xf>
    <xf numFmtId="182" fontId="11" fillId="0" borderId="5" xfId="0" applyNumberFormat="1" applyFont="1" applyFill="1" applyBorder="1" applyAlignment="1">
      <alignment horizontal="center" vertical="center" wrapText="1"/>
    </xf>
    <xf numFmtId="2" fontId="5" fillId="0" borderId="5" xfId="0" applyNumberFormat="1" applyFont="1" applyFill="1" applyBorder="1" applyAlignment="1">
      <alignment horizontal="center" vertical="center" wrapText="1"/>
    </xf>
    <xf numFmtId="2" fontId="5" fillId="0" borderId="5" xfId="2865" applyNumberFormat="1" applyFont="1" applyFill="1" applyBorder="1" applyAlignment="1">
      <alignment horizontal="center" vertical="center" wrapText="1"/>
    </xf>
    <xf numFmtId="182" fontId="5" fillId="0" borderId="5" xfId="2865" applyNumberFormat="1" applyFont="1" applyFill="1" applyBorder="1" applyAlignment="1">
      <alignment horizontal="center" vertical="center" wrapText="1"/>
    </xf>
    <xf numFmtId="4" fontId="5" fillId="0" borderId="5" xfId="0" applyNumberFormat="1" applyFont="1" applyFill="1" applyBorder="1" applyAlignment="1">
      <alignment horizontal="center" vertical="center" wrapText="1"/>
    </xf>
    <xf numFmtId="3" fontId="5" fillId="0" borderId="5" xfId="0" applyNumberFormat="1" applyFont="1" applyFill="1" applyBorder="1" applyAlignment="1">
      <alignment horizontal="center" vertical="center" wrapText="1"/>
    </xf>
    <xf numFmtId="3" fontId="11" fillId="0" borderId="5" xfId="0" applyNumberFormat="1" applyFont="1" applyFill="1" applyBorder="1" applyAlignment="1">
      <alignment horizontal="center" vertical="center" wrapText="1"/>
    </xf>
    <xf numFmtId="1" fontId="5" fillId="0" borderId="5" xfId="2865" applyNumberFormat="1" applyFont="1" applyFill="1" applyBorder="1" applyAlignment="1">
      <alignment horizontal="center" vertical="center" wrapText="1"/>
    </xf>
    <xf numFmtId="9" fontId="76" fillId="0" borderId="5" xfId="21" applyFont="1" applyFill="1" applyBorder="1" applyAlignment="1">
      <alignment horizontal="center" vertical="center"/>
    </xf>
    <xf numFmtId="10" fontId="76" fillId="0" borderId="5" xfId="21" applyNumberFormat="1" applyFont="1" applyFill="1" applyBorder="1" applyAlignment="1">
      <alignment horizontal="center" vertical="center" wrapText="1"/>
    </xf>
    <xf numFmtId="42" fontId="11" fillId="0" borderId="1" xfId="2865" applyFont="1" applyFill="1" applyBorder="1" applyAlignment="1">
      <alignment horizontal="center" vertical="center" wrapText="1"/>
    </xf>
    <xf numFmtId="42" fontId="55" fillId="0" borderId="1" xfId="2865" applyFont="1" applyFill="1" applyBorder="1" applyAlignment="1">
      <alignment horizontal="center" vertical="center"/>
    </xf>
    <xf numFmtId="4" fontId="5" fillId="0" borderId="1" xfId="21" applyNumberFormat="1" applyFont="1" applyFill="1" applyBorder="1" applyAlignment="1">
      <alignment horizontal="center" vertical="center" wrapText="1"/>
    </xf>
    <xf numFmtId="4" fontId="11" fillId="0" borderId="1" xfId="0" applyNumberFormat="1" applyFont="1" applyFill="1" applyBorder="1" applyAlignment="1">
      <alignment horizontal="center" vertical="center" wrapText="1"/>
    </xf>
    <xf numFmtId="4" fontId="5" fillId="0" borderId="1" xfId="2865" applyNumberFormat="1" applyFont="1" applyFill="1" applyBorder="1" applyAlignment="1">
      <alignment horizontal="center" vertical="center" wrapText="1"/>
    </xf>
    <xf numFmtId="4" fontId="5" fillId="0" borderId="2" xfId="21" applyNumberFormat="1" applyFont="1" applyFill="1" applyBorder="1" applyAlignment="1">
      <alignment horizontal="center" vertical="center" wrapText="1"/>
    </xf>
    <xf numFmtId="4" fontId="11" fillId="0" borderId="2" xfId="0" applyNumberFormat="1" applyFont="1" applyFill="1" applyBorder="1" applyAlignment="1">
      <alignment horizontal="center" vertical="center" wrapText="1"/>
    </xf>
    <xf numFmtId="4" fontId="5" fillId="0" borderId="2" xfId="2865" applyNumberFormat="1" applyFont="1" applyFill="1" applyBorder="1" applyAlignment="1">
      <alignment horizontal="center" vertical="center" wrapText="1"/>
    </xf>
    <xf numFmtId="4" fontId="11" fillId="0" borderId="2" xfId="10" applyNumberFormat="1" applyFont="1" applyFill="1" applyBorder="1" applyAlignment="1">
      <alignment horizontal="center" vertical="center" wrapText="1"/>
    </xf>
    <xf numFmtId="42" fontId="11" fillId="23" borderId="34" xfId="2865" applyFont="1" applyFill="1" applyBorder="1" applyAlignment="1">
      <alignment horizontal="center" vertical="center" wrapText="1"/>
    </xf>
    <xf numFmtId="42" fontId="76" fillId="23" borderId="34" xfId="2865" applyFont="1" applyFill="1" applyBorder="1" applyAlignment="1">
      <alignment horizontal="center" vertical="center" wrapText="1"/>
    </xf>
    <xf numFmtId="42" fontId="55" fillId="23" borderId="34" xfId="2865" applyFont="1" applyFill="1" applyBorder="1" applyAlignment="1">
      <alignment horizontal="center" vertical="center"/>
    </xf>
    <xf numFmtId="180" fontId="55" fillId="23" borderId="34" xfId="9" applyNumberFormat="1" applyFont="1" applyFill="1" applyBorder="1" applyAlignment="1">
      <alignment horizontal="center" vertical="center"/>
    </xf>
    <xf numFmtId="2" fontId="5" fillId="0" borderId="5" xfId="21" applyNumberFormat="1" applyFont="1" applyFill="1" applyBorder="1" applyAlignment="1">
      <alignment horizontal="center" vertical="center" wrapText="1"/>
    </xf>
    <xf numFmtId="179" fontId="38" fillId="0" borderId="1" xfId="0" applyNumberFormat="1" applyFont="1" applyFill="1" applyBorder="1" applyAlignment="1">
      <alignment horizontal="center" vertical="center"/>
    </xf>
    <xf numFmtId="182" fontId="5" fillId="0" borderId="1" xfId="0" applyNumberFormat="1" applyFont="1" applyFill="1" applyBorder="1" applyAlignment="1">
      <alignment horizontal="center" vertical="center" wrapText="1"/>
    </xf>
    <xf numFmtId="3" fontId="5" fillId="0" borderId="5" xfId="21" applyNumberFormat="1" applyFont="1" applyFill="1" applyBorder="1" applyAlignment="1">
      <alignment horizontal="center" vertical="center" wrapText="1"/>
    </xf>
    <xf numFmtId="3" fontId="5" fillId="0" borderId="5" xfId="2865" applyNumberFormat="1" applyFont="1" applyFill="1" applyBorder="1" applyAlignment="1">
      <alignment horizontal="center" vertical="center" wrapText="1"/>
    </xf>
    <xf numFmtId="172" fontId="76" fillId="0" borderId="5" xfId="21" applyNumberFormat="1" applyFont="1" applyFill="1" applyBorder="1" applyAlignment="1">
      <alignment horizontal="center" vertical="center" wrapText="1"/>
    </xf>
    <xf numFmtId="9" fontId="5" fillId="0" borderId="5" xfId="21" applyFont="1" applyFill="1" applyBorder="1" applyAlignment="1">
      <alignment horizontal="center" vertical="center" wrapText="1"/>
    </xf>
    <xf numFmtId="9" fontId="78" fillId="0" borderId="5" xfId="21" applyFont="1" applyFill="1" applyBorder="1" applyAlignment="1">
      <alignment horizontal="center" vertical="center" wrapText="1"/>
    </xf>
    <xf numFmtId="9" fontId="11" fillId="0" borderId="5" xfId="21" applyFont="1" applyFill="1" applyBorder="1" applyAlignment="1">
      <alignment horizontal="center" vertical="center" wrapText="1"/>
    </xf>
    <xf numFmtId="3" fontId="11" fillId="0" borderId="1" xfId="0" applyNumberFormat="1" applyFont="1" applyFill="1" applyBorder="1" applyAlignment="1">
      <alignment horizontal="center" vertical="center" wrapText="1"/>
    </xf>
    <xf numFmtId="1" fontId="7" fillId="0" borderId="1" xfId="0" applyNumberFormat="1" applyFont="1" applyFill="1" applyBorder="1" applyAlignment="1">
      <alignment horizontal="center" vertical="center"/>
    </xf>
    <xf numFmtId="181" fontId="5" fillId="0" borderId="1" xfId="10" applyNumberFormat="1" applyFont="1" applyFill="1" applyBorder="1" applyAlignment="1">
      <alignment horizontal="center" vertical="center" wrapText="1"/>
    </xf>
    <xf numFmtId="1" fontId="5" fillId="0" borderId="1" xfId="0" applyNumberFormat="1" applyFont="1" applyFill="1" applyBorder="1" applyAlignment="1">
      <alignment horizontal="center" vertical="center"/>
    </xf>
    <xf numFmtId="180" fontId="7" fillId="0" borderId="1" xfId="0" applyNumberFormat="1" applyFont="1" applyFill="1" applyBorder="1" applyAlignment="1">
      <alignment horizontal="center" vertical="center"/>
    </xf>
    <xf numFmtId="179" fontId="5" fillId="0" borderId="1" xfId="0" applyNumberFormat="1" applyFont="1" applyFill="1" applyBorder="1" applyAlignment="1">
      <alignment horizontal="center" vertical="center"/>
    </xf>
    <xf numFmtId="3" fontId="11" fillId="0" borderId="2" xfId="10" applyNumberFormat="1" applyFont="1" applyFill="1" applyBorder="1" applyAlignment="1">
      <alignment horizontal="center" vertical="center" wrapText="1"/>
    </xf>
    <xf numFmtId="181" fontId="5" fillId="0" borderId="2" xfId="0" applyNumberFormat="1" applyFont="1" applyFill="1" applyBorder="1" applyAlignment="1">
      <alignment horizontal="center" vertical="center" wrapText="1"/>
    </xf>
    <xf numFmtId="181" fontId="5" fillId="0" borderId="2" xfId="10" applyNumberFormat="1" applyFont="1" applyFill="1" applyBorder="1" applyAlignment="1">
      <alignment horizontal="center" vertical="center" wrapText="1"/>
    </xf>
    <xf numFmtId="3" fontId="5" fillId="0" borderId="2" xfId="10" applyNumberFormat="1" applyFont="1" applyFill="1" applyBorder="1" applyAlignment="1">
      <alignment horizontal="center" vertical="center" wrapText="1"/>
    </xf>
    <xf numFmtId="9" fontId="5" fillId="23" borderId="34" xfId="21" applyFont="1" applyFill="1" applyBorder="1" applyAlignment="1">
      <alignment horizontal="center" vertical="center" wrapText="1"/>
    </xf>
    <xf numFmtId="42" fontId="11" fillId="0" borderId="1" xfId="2865" applyFont="1" applyFill="1" applyBorder="1" applyAlignment="1">
      <alignment horizontal="center" vertical="center"/>
    </xf>
    <xf numFmtId="172" fontId="5" fillId="0" borderId="5" xfId="21" applyNumberFormat="1" applyFont="1" applyFill="1" applyBorder="1" applyAlignment="1">
      <alignment horizontal="center" vertical="center" wrapText="1"/>
    </xf>
    <xf numFmtId="9" fontId="7" fillId="0" borderId="5" xfId="21" applyFont="1" applyFill="1" applyBorder="1" applyAlignment="1">
      <alignment horizontal="center" vertical="center"/>
    </xf>
    <xf numFmtId="9" fontId="55" fillId="0" borderId="5" xfId="21" applyFont="1" applyFill="1" applyBorder="1" applyAlignment="1">
      <alignment horizontal="center" vertical="center"/>
    </xf>
    <xf numFmtId="9" fontId="7" fillId="0" borderId="1" xfId="21" applyFont="1" applyFill="1" applyBorder="1" applyAlignment="1">
      <alignment horizontal="center" vertical="center"/>
    </xf>
    <xf numFmtId="9" fontId="5" fillId="0" borderId="1" xfId="21" applyFont="1" applyFill="1" applyBorder="1" applyAlignment="1">
      <alignment horizontal="center" vertical="center"/>
    </xf>
    <xf numFmtId="9" fontId="55" fillId="0" borderId="2" xfId="21" applyFont="1" applyFill="1" applyBorder="1" applyAlignment="1">
      <alignment horizontal="center" vertical="center"/>
    </xf>
    <xf numFmtId="9" fontId="5" fillId="0" borderId="2" xfId="21" applyFont="1" applyFill="1" applyBorder="1" applyAlignment="1">
      <alignment horizontal="center" vertical="center"/>
    </xf>
    <xf numFmtId="179" fontId="5" fillId="22" borderId="47" xfId="10" applyNumberFormat="1" applyFont="1" applyFill="1" applyBorder="1" applyAlignment="1">
      <alignment horizontal="center" vertical="center" wrapText="1"/>
    </xf>
    <xf numFmtId="179" fontId="5" fillId="22" borderId="5" xfId="10" applyNumberFormat="1" applyFont="1" applyFill="1" applyBorder="1" applyAlignment="1">
      <alignment horizontal="center" vertical="center" wrapText="1"/>
    </xf>
    <xf numFmtId="179" fontId="5" fillId="22" borderId="48" xfId="10" applyNumberFormat="1" applyFont="1" applyFill="1" applyBorder="1" applyAlignment="1">
      <alignment horizontal="center" vertical="center" wrapText="1"/>
    </xf>
    <xf numFmtId="179" fontId="5" fillId="22" borderId="46" xfId="10" applyNumberFormat="1" applyFont="1" applyFill="1" applyBorder="1" applyAlignment="1">
      <alignment horizontal="center" vertical="center" wrapText="1"/>
    </xf>
    <xf numFmtId="179" fontId="7" fillId="22" borderId="14" xfId="9" applyNumberFormat="1" applyFont="1" applyFill="1" applyBorder="1" applyAlignment="1">
      <alignment horizontal="center" vertical="center"/>
    </xf>
    <xf numFmtId="179" fontId="7" fillId="22" borderId="1" xfId="9" applyNumberFormat="1" applyFont="1" applyFill="1" applyBorder="1" applyAlignment="1">
      <alignment horizontal="center" vertical="center"/>
    </xf>
    <xf numFmtId="179" fontId="7" fillId="22" borderId="11" xfId="9" applyNumberFormat="1" applyFont="1" applyFill="1" applyBorder="1" applyAlignment="1">
      <alignment horizontal="center" vertical="center"/>
    </xf>
    <xf numFmtId="179" fontId="7" fillId="22" borderId="7" xfId="9" applyNumberFormat="1" applyFont="1" applyFill="1" applyBorder="1" applyAlignment="1">
      <alignment horizontal="center" vertical="center"/>
    </xf>
    <xf numFmtId="179" fontId="7" fillId="22" borderId="1" xfId="0" applyNumberFormat="1" applyFont="1" applyFill="1" applyBorder="1" applyAlignment="1">
      <alignment horizontal="center" vertical="center"/>
    </xf>
    <xf numFmtId="179" fontId="5" fillId="22" borderId="1" xfId="9" applyNumberFormat="1" applyFont="1" applyFill="1" applyBorder="1" applyAlignment="1">
      <alignment horizontal="center" vertical="center"/>
    </xf>
    <xf numFmtId="179" fontId="11" fillId="22" borderId="39" xfId="0" applyNumberFormat="1" applyFont="1" applyFill="1" applyBorder="1" applyAlignment="1">
      <alignment horizontal="center" vertical="center" wrapText="1"/>
    </xf>
    <xf numFmtId="179" fontId="11" fillId="22" borderId="4" xfId="0" applyNumberFormat="1" applyFont="1" applyFill="1" applyBorder="1" applyAlignment="1">
      <alignment horizontal="center" vertical="center" wrapText="1"/>
    </xf>
    <xf numFmtId="179" fontId="11" fillId="22" borderId="12" xfId="0" applyNumberFormat="1" applyFont="1" applyFill="1" applyBorder="1" applyAlignment="1">
      <alignment horizontal="center" vertical="center" wrapText="1"/>
    </xf>
    <xf numFmtId="179" fontId="11" fillId="22" borderId="7" xfId="0" applyNumberFormat="1" applyFont="1" applyFill="1" applyBorder="1" applyAlignment="1">
      <alignment horizontal="center" vertical="center" wrapText="1"/>
    </xf>
    <xf numFmtId="179" fontId="11" fillId="22" borderId="1" xfId="0" applyNumberFormat="1" applyFont="1" applyFill="1" applyBorder="1" applyAlignment="1">
      <alignment horizontal="center" vertical="center" wrapText="1"/>
    </xf>
    <xf numFmtId="179" fontId="5" fillId="22" borderId="1" xfId="0" applyNumberFormat="1" applyFont="1" applyFill="1" applyBorder="1" applyAlignment="1">
      <alignment horizontal="center" vertical="center" wrapText="1"/>
    </xf>
    <xf numFmtId="10" fontId="4" fillId="0" borderId="1" xfId="16" applyNumberFormat="1" applyFill="1" applyBorder="1" applyAlignment="1">
      <alignment horizontal="center" vertical="center" wrapText="1"/>
    </xf>
    <xf numFmtId="42" fontId="2" fillId="16" borderId="1" xfId="0" applyNumberFormat="1" applyFont="1" applyFill="1" applyBorder="1" applyAlignment="1">
      <alignment vertical="center" wrapText="1"/>
    </xf>
    <xf numFmtId="0" fontId="21" fillId="4" borderId="1" xfId="0" applyFont="1" applyFill="1" applyBorder="1" applyAlignment="1">
      <alignment horizontal="center" vertical="center"/>
    </xf>
    <xf numFmtId="0" fontId="0" fillId="0" borderId="1" xfId="0" applyBorder="1" applyAlignment="1">
      <alignment horizontal="center" vertical="center"/>
    </xf>
    <xf numFmtId="0" fontId="21" fillId="0" borderId="0" xfId="0" applyFont="1"/>
    <xf numFmtId="0" fontId="10" fillId="16" borderId="39" xfId="0" applyFont="1" applyFill="1" applyBorder="1" applyAlignment="1">
      <alignment horizontal="left" vertical="center" wrapText="1"/>
    </xf>
    <xf numFmtId="0" fontId="10" fillId="16" borderId="4" xfId="0" applyFont="1" applyFill="1" applyBorder="1" applyAlignment="1">
      <alignment horizontal="left" vertical="center" wrapText="1"/>
    </xf>
    <xf numFmtId="0" fontId="28" fillId="0" borderId="13" xfId="0" applyFont="1" applyFill="1" applyBorder="1" applyAlignment="1">
      <alignment horizontal="center"/>
    </xf>
    <xf numFmtId="0" fontId="28" fillId="0" borderId="3" xfId="0" applyFont="1" applyFill="1" applyBorder="1" applyAlignment="1">
      <alignment horizontal="center"/>
    </xf>
    <xf numFmtId="0" fontId="28" fillId="0" borderId="14" xfId="0" applyFont="1" applyFill="1" applyBorder="1" applyAlignment="1">
      <alignment horizontal="center"/>
    </xf>
    <xf numFmtId="0" fontId="28" fillId="0" borderId="1" xfId="0" applyFont="1" applyFill="1" applyBorder="1" applyAlignment="1">
      <alignment horizontal="center"/>
    </xf>
    <xf numFmtId="0" fontId="64" fillId="16" borderId="3" xfId="0" applyFont="1" applyFill="1" applyBorder="1" applyAlignment="1">
      <alignment horizontal="center" vertical="center" wrapText="1"/>
    </xf>
    <xf numFmtId="0" fontId="64" fillId="16" borderId="10" xfId="0" applyFont="1" applyFill="1" applyBorder="1" applyAlignment="1">
      <alignment horizontal="center" vertical="center" wrapText="1"/>
    </xf>
    <xf numFmtId="0" fontId="65" fillId="16" borderId="1" xfId="0" applyFont="1" applyFill="1" applyBorder="1" applyAlignment="1">
      <alignment horizontal="center"/>
    </xf>
    <xf numFmtId="0" fontId="65" fillId="16" borderId="11" xfId="0" applyFont="1" applyFill="1" applyBorder="1" applyAlignment="1">
      <alignment horizontal="center"/>
    </xf>
    <xf numFmtId="0" fontId="27" fillId="3" borderId="1" xfId="0" applyFont="1" applyFill="1" applyBorder="1" applyAlignment="1">
      <alignment vertical="center" wrapText="1"/>
    </xf>
    <xf numFmtId="0" fontId="27" fillId="3" borderId="1" xfId="0" applyFont="1" applyFill="1" applyBorder="1" applyAlignment="1">
      <alignment horizontal="left" vertical="center" wrapText="1"/>
    </xf>
    <xf numFmtId="0" fontId="27" fillId="3" borderId="11" xfId="0" applyFont="1" applyFill="1" applyBorder="1" applyAlignment="1">
      <alignment horizontal="left" vertical="center" wrapText="1"/>
    </xf>
    <xf numFmtId="0" fontId="21" fillId="4" borderId="1" xfId="0" applyFont="1" applyFill="1" applyBorder="1" applyAlignment="1">
      <alignment horizontal="center" vertical="center"/>
    </xf>
    <xf numFmtId="0" fontId="60" fillId="16" borderId="1" xfId="0" applyFont="1" applyFill="1" applyBorder="1" applyAlignment="1">
      <alignment horizontal="center" vertical="center" wrapText="1"/>
    </xf>
    <xf numFmtId="0" fontId="10" fillId="0" borderId="1" xfId="0" applyFont="1" applyFill="1" applyBorder="1" applyAlignment="1">
      <alignment horizontal="left" vertical="center" wrapText="1"/>
    </xf>
    <xf numFmtId="0" fontId="10" fillId="0" borderId="11" xfId="0" applyFont="1" applyFill="1" applyBorder="1" applyAlignment="1">
      <alignment horizontal="left" vertical="center" wrapText="1"/>
    </xf>
    <xf numFmtId="0" fontId="10" fillId="0" borderId="4" xfId="0" applyFont="1" applyFill="1" applyBorder="1" applyAlignment="1">
      <alignment horizontal="left" vertical="center" wrapText="1"/>
    </xf>
    <xf numFmtId="0" fontId="10" fillId="0" borderId="12" xfId="0" applyFont="1" applyFill="1" applyBorder="1" applyAlignment="1">
      <alignment horizontal="left" vertical="center" wrapText="1"/>
    </xf>
    <xf numFmtId="0" fontId="11" fillId="16" borderId="1" xfId="0" applyFont="1" applyFill="1" applyBorder="1" applyAlignment="1">
      <alignment horizontal="center" vertical="center" wrapText="1"/>
    </xf>
    <xf numFmtId="0" fontId="10" fillId="16" borderId="14" xfId="0" applyFont="1" applyFill="1" applyBorder="1" applyAlignment="1">
      <alignment horizontal="left" vertical="center" wrapText="1"/>
    </xf>
    <xf numFmtId="0" fontId="10" fillId="16" borderId="1" xfId="0" applyFont="1" applyFill="1" applyBorder="1" applyAlignment="1">
      <alignment horizontal="left" vertical="center" wrapText="1"/>
    </xf>
    <xf numFmtId="0" fontId="0" fillId="0" borderId="1" xfId="0" applyFill="1" applyBorder="1" applyAlignment="1">
      <alignment horizontal="left" vertical="center" wrapText="1"/>
    </xf>
    <xf numFmtId="0" fontId="0" fillId="0" borderId="1" xfId="0" applyFill="1" applyBorder="1" applyAlignment="1">
      <alignment horizontal="left" vertical="center"/>
    </xf>
    <xf numFmtId="0" fontId="0" fillId="0" borderId="0" xfId="0" applyAlignment="1">
      <alignment horizontal="center" wrapText="1"/>
    </xf>
    <xf numFmtId="0" fontId="0" fillId="0" borderId="0" xfId="0" applyAlignment="1">
      <alignment horizontal="center"/>
    </xf>
    <xf numFmtId="0" fontId="21" fillId="4" borderId="1" xfId="0" applyFont="1" applyFill="1" applyBorder="1" applyAlignment="1">
      <alignment horizontal="center" vertical="center" wrapText="1"/>
    </xf>
    <xf numFmtId="0" fontId="60" fillId="20" borderId="1" xfId="0" applyFont="1" applyFill="1" applyBorder="1" applyAlignment="1">
      <alignment horizontal="center" vertical="center"/>
    </xf>
    <xf numFmtId="179" fontId="38" fillId="16" borderId="5" xfId="0" applyNumberFormat="1" applyFont="1" applyFill="1" applyBorder="1" applyAlignment="1">
      <alignment horizontal="center" wrapText="1"/>
    </xf>
    <xf numFmtId="179" fontId="38" fillId="16" borderId="1" xfId="0" applyNumberFormat="1" applyFont="1" applyFill="1" applyBorder="1" applyAlignment="1">
      <alignment horizontal="center" wrapText="1"/>
    </xf>
    <xf numFmtId="0" fontId="5" fillId="17"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77" fillId="0" borderId="1" xfId="0" applyFont="1" applyFill="1" applyBorder="1" applyAlignment="1">
      <alignment horizontal="center" vertical="center" wrapText="1"/>
    </xf>
    <xf numFmtId="0" fontId="76" fillId="0" borderId="1" xfId="0" applyFont="1" applyFill="1" applyBorder="1" applyAlignment="1">
      <alignment horizontal="left" vertical="center" wrapText="1"/>
    </xf>
    <xf numFmtId="0" fontId="76" fillId="0" borderId="7" xfId="0" applyFont="1" applyFill="1" applyBorder="1" applyAlignment="1">
      <alignment horizontal="left" vertical="center" wrapText="1"/>
    </xf>
    <xf numFmtId="0" fontId="0" fillId="0" borderId="0" xfId="0" applyFill="1" applyBorder="1" applyAlignment="1">
      <alignment horizontal="center" vertical="center"/>
    </xf>
    <xf numFmtId="0" fontId="76" fillId="0" borderId="1" xfId="0" applyFont="1" applyFill="1" applyBorder="1" applyAlignment="1">
      <alignment horizontal="justify" vertical="top" wrapText="1"/>
    </xf>
    <xf numFmtId="0" fontId="76" fillId="0" borderId="7" xfId="0" applyFont="1" applyFill="1" applyBorder="1" applyAlignment="1">
      <alignment horizontal="justify" vertical="top" wrapText="1"/>
    </xf>
    <xf numFmtId="0" fontId="76"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7" xfId="0" applyFont="1" applyFill="1" applyBorder="1" applyAlignment="1">
      <alignment horizontal="left" vertical="center" wrapText="1"/>
    </xf>
    <xf numFmtId="0" fontId="0" fillId="0" borderId="13" xfId="0" applyFill="1" applyBorder="1" applyAlignment="1">
      <alignment horizontal="center"/>
    </xf>
    <xf numFmtId="0" fontId="0" fillId="0" borderId="3" xfId="0" applyFill="1" applyBorder="1" applyAlignment="1">
      <alignment horizontal="center"/>
    </xf>
    <xf numFmtId="0" fontId="0" fillId="0" borderId="14" xfId="0" applyFill="1" applyBorder="1" applyAlignment="1">
      <alignment horizontal="center"/>
    </xf>
    <xf numFmtId="0" fontId="0" fillId="0" borderId="1" xfId="0" applyFill="1" applyBorder="1" applyAlignment="1">
      <alignment horizontal="center"/>
    </xf>
    <xf numFmtId="0" fontId="10" fillId="16" borderId="14" xfId="0" applyFont="1" applyFill="1" applyBorder="1" applyAlignment="1">
      <alignment horizontal="center" vertical="center" wrapText="1"/>
    </xf>
    <xf numFmtId="0" fontId="10" fillId="16" borderId="1" xfId="0" applyFont="1" applyFill="1" applyBorder="1" applyAlignment="1">
      <alignment horizontal="center" vertical="center" wrapText="1"/>
    </xf>
    <xf numFmtId="0" fontId="10" fillId="16" borderId="39" xfId="0" applyFont="1" applyFill="1" applyBorder="1" applyAlignment="1">
      <alignment horizontal="center" vertical="center" wrapText="1"/>
    </xf>
    <xf numFmtId="0" fontId="10" fillId="16" borderId="4" xfId="0" applyFont="1" applyFill="1" applyBorder="1" applyAlignment="1">
      <alignment horizontal="center" vertical="center" wrapText="1"/>
    </xf>
    <xf numFmtId="0" fontId="5" fillId="16" borderId="1" xfId="0" applyFont="1" applyFill="1" applyBorder="1" applyAlignment="1">
      <alignment horizontal="center" vertical="center" wrapText="1"/>
    </xf>
    <xf numFmtId="0" fontId="27" fillId="16" borderId="3" xfId="0" applyFont="1" applyFill="1" applyBorder="1" applyAlignment="1">
      <alignment horizontal="center" vertical="center" wrapText="1"/>
    </xf>
    <xf numFmtId="0" fontId="27" fillId="16" borderId="10" xfId="0" applyFont="1" applyFill="1" applyBorder="1" applyAlignment="1">
      <alignment horizontal="center" vertical="center" wrapText="1"/>
    </xf>
    <xf numFmtId="0" fontId="67" fillId="16" borderId="1" xfId="0" applyFont="1" applyFill="1" applyBorder="1" applyAlignment="1">
      <alignment horizontal="center" vertical="center" wrapText="1"/>
    </xf>
    <xf numFmtId="0" fontId="67" fillId="16" borderId="11" xfId="0" applyFont="1" applyFill="1" applyBorder="1" applyAlignment="1">
      <alignment horizontal="center" vertical="center" wrapText="1"/>
    </xf>
    <xf numFmtId="0" fontId="27" fillId="0" borderId="1" xfId="0" applyFont="1" applyFill="1" applyBorder="1" applyAlignment="1">
      <alignment horizontal="left" vertical="center"/>
    </xf>
    <xf numFmtId="0" fontId="5" fillId="16" borderId="1" xfId="0" applyFont="1" applyFill="1" applyBorder="1" applyAlignment="1">
      <alignment horizontal="center" vertical="center"/>
    </xf>
    <xf numFmtId="0" fontId="5" fillId="20" borderId="1" xfId="0" applyFont="1" applyFill="1" applyBorder="1" applyAlignment="1">
      <alignment horizontal="center" vertical="center"/>
    </xf>
    <xf numFmtId="0" fontId="27" fillId="0" borderId="11" xfId="0" applyFont="1" applyFill="1" applyBorder="1" applyAlignment="1">
      <alignment horizontal="left" vertical="center"/>
    </xf>
    <xf numFmtId="0" fontId="10" fillId="0" borderId="40" xfId="0" applyFont="1" applyFill="1" applyBorder="1" applyAlignment="1">
      <alignment horizontal="left" vertical="center" wrapText="1"/>
    </xf>
    <xf numFmtId="0" fontId="10" fillId="0" borderId="22" xfId="0" applyFont="1" applyFill="1" applyBorder="1" applyAlignment="1">
      <alignment horizontal="left" vertical="center" wrapText="1"/>
    </xf>
    <xf numFmtId="0" fontId="10" fillId="0" borderId="23" xfId="0" applyFont="1" applyFill="1" applyBorder="1" applyAlignment="1">
      <alignment horizontal="left" vertical="center" wrapText="1"/>
    </xf>
    <xf numFmtId="0" fontId="10" fillId="0" borderId="8" xfId="0" applyFont="1" applyFill="1" applyBorder="1" applyAlignment="1">
      <alignment horizontal="left" vertical="center" wrapText="1"/>
    </xf>
    <xf numFmtId="0" fontId="10" fillId="0" borderId="6" xfId="0" applyFont="1" applyFill="1" applyBorder="1" applyAlignment="1">
      <alignment horizontal="left" vertical="center" wrapText="1"/>
    </xf>
    <xf numFmtId="0" fontId="10" fillId="0" borderId="41" xfId="0" applyFont="1" applyFill="1" applyBorder="1" applyAlignment="1">
      <alignment horizontal="left" vertical="center" wrapText="1"/>
    </xf>
    <xf numFmtId="0" fontId="21" fillId="0" borderId="0" xfId="0" applyFont="1" applyFill="1" applyBorder="1" applyAlignment="1">
      <alignment horizontal="center" vertical="center" wrapText="1"/>
    </xf>
    <xf numFmtId="180" fontId="0" fillId="0" borderId="0" xfId="0" applyNumberFormat="1" applyFill="1" applyBorder="1" applyAlignment="1">
      <alignment horizontal="left" vertical="center"/>
    </xf>
    <xf numFmtId="0" fontId="0" fillId="0" borderId="0" xfId="0" applyFill="1" applyBorder="1" applyAlignment="1">
      <alignment horizontal="left" vertical="center"/>
    </xf>
    <xf numFmtId="179" fontId="3" fillId="16" borderId="1" xfId="0" applyNumberFormat="1" applyFont="1" applyFill="1" applyBorder="1" applyAlignment="1" applyProtection="1">
      <alignment horizontal="center" vertical="center" wrapText="1"/>
      <protection locked="0"/>
    </xf>
    <xf numFmtId="0" fontId="20" fillId="0" borderId="0" xfId="0" applyFont="1" applyFill="1" applyBorder="1" applyAlignment="1">
      <alignment horizontal="center" vertical="center"/>
    </xf>
    <xf numFmtId="0" fontId="76" fillId="0" borderId="1" xfId="0" applyFont="1" applyFill="1" applyBorder="1" applyAlignment="1">
      <alignment horizontal="left" vertical="top" wrapText="1"/>
    </xf>
    <xf numFmtId="0" fontId="76" fillId="0" borderId="7" xfId="0" applyFont="1" applyFill="1" applyBorder="1" applyAlignment="1">
      <alignment horizontal="left" vertical="top" wrapText="1"/>
    </xf>
    <xf numFmtId="0" fontId="79" fillId="0" borderId="1" xfId="0" applyFont="1" applyFill="1" applyBorder="1" applyAlignment="1">
      <alignment horizontal="center" vertical="center" wrapText="1"/>
    </xf>
    <xf numFmtId="0" fontId="0" fillId="0" borderId="1" xfId="0" applyBorder="1" applyAlignment="1">
      <alignment horizontal="left" vertical="center" wrapText="1"/>
    </xf>
    <xf numFmtId="0" fontId="0" fillId="0" borderId="1" xfId="0" applyBorder="1" applyAlignment="1">
      <alignment horizontal="left" vertical="center"/>
    </xf>
    <xf numFmtId="10" fontId="4" fillId="0" borderId="1" xfId="0" applyNumberFormat="1" applyFont="1" applyFill="1" applyBorder="1" applyAlignment="1" applyProtection="1">
      <alignment horizontal="center" vertical="center" wrapText="1"/>
      <protection locked="0"/>
    </xf>
    <xf numFmtId="0" fontId="32" fillId="0" borderId="1" xfId="16" applyFont="1" applyFill="1" applyBorder="1" applyAlignment="1">
      <alignment horizontal="left" vertical="top" wrapText="1"/>
    </xf>
    <xf numFmtId="0" fontId="32" fillId="0" borderId="1" xfId="16" applyFont="1" applyFill="1" applyBorder="1" applyAlignment="1">
      <alignment horizontal="left" vertical="top"/>
    </xf>
    <xf numFmtId="0" fontId="2" fillId="16" borderId="1" xfId="16" applyFont="1" applyFill="1" applyBorder="1" applyAlignment="1">
      <alignment horizontal="center" vertical="center" wrapText="1"/>
    </xf>
    <xf numFmtId="0" fontId="2" fillId="0" borderId="1" xfId="0" applyFont="1" applyBorder="1" applyAlignment="1" applyProtection="1">
      <alignment horizontal="center" vertical="center" wrapText="1"/>
      <protection locked="0"/>
    </xf>
    <xf numFmtId="0" fontId="4" fillId="0" borderId="1" xfId="16" applyBorder="1" applyAlignment="1">
      <alignment horizontal="center" vertical="center" wrapText="1"/>
    </xf>
    <xf numFmtId="0" fontId="4" fillId="0" borderId="1" xfId="16" applyFill="1" applyBorder="1" applyAlignment="1">
      <alignment horizontal="center" vertical="center" wrapText="1"/>
    </xf>
    <xf numFmtId="0" fontId="4" fillId="0" borderId="1" xfId="16" applyFill="1" applyBorder="1" applyAlignment="1">
      <alignment horizontal="justify" vertical="top" wrapText="1"/>
    </xf>
    <xf numFmtId="10" fontId="2" fillId="0" borderId="1" xfId="0" applyNumberFormat="1" applyFont="1" applyBorder="1" applyAlignment="1" applyProtection="1">
      <alignment horizontal="center" vertical="center" wrapText="1"/>
      <protection locked="0"/>
    </xf>
    <xf numFmtId="0" fontId="32" fillId="0" borderId="2" xfId="16" applyFont="1" applyFill="1" applyBorder="1" applyAlignment="1">
      <alignment horizontal="left" vertical="top" wrapText="1"/>
    </xf>
    <xf numFmtId="0" fontId="32" fillId="0" borderId="5" xfId="16" applyFont="1" applyFill="1" applyBorder="1" applyAlignment="1">
      <alignment horizontal="left" vertical="top" wrapText="1"/>
    </xf>
    <xf numFmtId="0" fontId="32" fillId="0" borderId="1" xfId="16" applyFont="1" applyFill="1" applyBorder="1" applyAlignment="1">
      <alignment horizontal="justify" vertical="top" wrapText="1"/>
    </xf>
    <xf numFmtId="0" fontId="32" fillId="0" borderId="1" xfId="16" applyFont="1" applyFill="1" applyBorder="1" applyAlignment="1">
      <alignment horizontal="justify" vertical="top"/>
    </xf>
    <xf numFmtId="0" fontId="4" fillId="0" borderId="1" xfId="16" applyFill="1" applyBorder="1" applyAlignment="1">
      <alignment horizontal="justify" vertical="center" wrapText="1"/>
    </xf>
    <xf numFmtId="0" fontId="4" fillId="0" borderId="1" xfId="16" applyFont="1" applyFill="1" applyBorder="1" applyAlignment="1">
      <alignment horizontal="left" vertical="top" wrapText="1"/>
    </xf>
    <xf numFmtId="0" fontId="4" fillId="0" borderId="1" xfId="16" applyFont="1" applyFill="1" applyBorder="1" applyAlignment="1">
      <alignment horizontal="left" vertical="top"/>
    </xf>
    <xf numFmtId="0" fontId="32" fillId="0" borderId="2" xfId="16" applyFont="1" applyFill="1" applyBorder="1" applyAlignment="1">
      <alignment horizontal="justify" vertical="top" wrapText="1"/>
    </xf>
    <xf numFmtId="0" fontId="32" fillId="0" borderId="5" xfId="16" applyFont="1" applyFill="1" applyBorder="1" applyAlignment="1">
      <alignment horizontal="justify" vertical="top" wrapText="1"/>
    </xf>
    <xf numFmtId="0" fontId="4" fillId="0" borderId="1" xfId="16" applyFill="1" applyBorder="1" applyAlignment="1">
      <alignment horizontal="left" vertical="top" wrapText="1"/>
    </xf>
    <xf numFmtId="0" fontId="4" fillId="0" borderId="1" xfId="0" applyFont="1" applyFill="1" applyBorder="1" applyAlignment="1">
      <alignment horizontal="left" vertical="top" wrapText="1"/>
    </xf>
    <xf numFmtId="0" fontId="4" fillId="3" borderId="1" xfId="16" applyFill="1" applyBorder="1" applyAlignment="1">
      <alignment horizontal="center" vertical="center" wrapText="1"/>
    </xf>
    <xf numFmtId="0" fontId="4" fillId="0" borderId="1" xfId="16" applyFill="1" applyBorder="1" applyAlignment="1">
      <alignment vertical="top" wrapText="1"/>
    </xf>
    <xf numFmtId="0" fontId="4" fillId="0" borderId="1" xfId="16" applyFill="1" applyBorder="1" applyAlignment="1">
      <alignment horizontal="left" vertical="center" wrapText="1"/>
    </xf>
    <xf numFmtId="0" fontId="2" fillId="3" borderId="1" xfId="0" applyFont="1" applyFill="1" applyBorder="1" applyAlignment="1" applyProtection="1">
      <alignment horizontal="center" vertical="center" wrapText="1"/>
      <protection locked="0"/>
    </xf>
    <xf numFmtId="0" fontId="26" fillId="0" borderId="16" xfId="0" applyFont="1" applyFill="1" applyBorder="1" applyAlignment="1">
      <alignment horizontal="center"/>
    </xf>
    <xf numFmtId="0" fontId="26" fillId="0" borderId="17" xfId="0" applyFont="1" applyFill="1" applyBorder="1" applyAlignment="1">
      <alignment horizontal="center"/>
    </xf>
    <xf numFmtId="0" fontId="26" fillId="0" borderId="18" xfId="0" applyFont="1" applyFill="1" applyBorder="1" applyAlignment="1">
      <alignment horizontal="center"/>
    </xf>
    <xf numFmtId="0" fontId="26" fillId="0" borderId="0" xfId="0" applyFont="1" applyFill="1" applyBorder="1" applyAlignment="1">
      <alignment horizontal="center"/>
    </xf>
    <xf numFmtId="0" fontId="26" fillId="0" borderId="20" xfId="0" applyFont="1" applyFill="1" applyBorder="1" applyAlignment="1">
      <alignment horizontal="center"/>
    </xf>
    <xf numFmtId="0" fontId="26" fillId="0" borderId="21" xfId="0" applyFont="1" applyFill="1" applyBorder="1" applyAlignment="1">
      <alignment horizontal="center"/>
    </xf>
    <xf numFmtId="0" fontId="27" fillId="16" borderId="13" xfId="0" applyFont="1" applyFill="1" applyBorder="1" applyAlignment="1">
      <alignment horizontal="center" vertical="center" wrapText="1"/>
    </xf>
    <xf numFmtId="0" fontId="67" fillId="16" borderId="14" xfId="0" applyFont="1" applyFill="1" applyBorder="1" applyAlignment="1">
      <alignment horizontal="left" vertical="center" wrapText="1"/>
    </xf>
    <xf numFmtId="0" fontId="67" fillId="16" borderId="1" xfId="0" applyFont="1" applyFill="1" applyBorder="1" applyAlignment="1">
      <alignment horizontal="left" vertical="center" wrapText="1"/>
    </xf>
    <xf numFmtId="0" fontId="67" fillId="16" borderId="11" xfId="0" applyFont="1" applyFill="1" applyBorder="1" applyAlignment="1">
      <alignment horizontal="left" vertical="center" wrapText="1"/>
    </xf>
    <xf numFmtId="0" fontId="2" fillId="16" borderId="3" xfId="16" applyFont="1" applyFill="1" applyBorder="1" applyAlignment="1">
      <alignment horizontal="center" vertical="center" wrapText="1"/>
    </xf>
    <xf numFmtId="0" fontId="2" fillId="16" borderId="4" xfId="16" applyFont="1" applyFill="1" applyBorder="1" applyAlignment="1">
      <alignment horizontal="center" vertical="center" wrapText="1"/>
    </xf>
    <xf numFmtId="0" fontId="15" fillId="16" borderId="3" xfId="16" applyFont="1" applyFill="1" applyBorder="1" applyAlignment="1">
      <alignment horizontal="center" vertical="center" wrapText="1"/>
    </xf>
    <xf numFmtId="0" fontId="2" fillId="20" borderId="3" xfId="16" applyFont="1" applyFill="1" applyBorder="1" applyAlignment="1">
      <alignment horizontal="center" vertical="center" wrapText="1"/>
    </xf>
    <xf numFmtId="0" fontId="10" fillId="16" borderId="29" xfId="0" applyFont="1" applyFill="1" applyBorder="1" applyAlignment="1">
      <alignment horizontal="left" vertical="center" wrapText="1"/>
    </xf>
    <xf numFmtId="0" fontId="10" fillId="16" borderId="22" xfId="0" applyFont="1" applyFill="1" applyBorder="1" applyAlignment="1">
      <alignment horizontal="left" vertical="center" wrapText="1"/>
    </xf>
    <xf numFmtId="0" fontId="10" fillId="16" borderId="23" xfId="0" applyFont="1" applyFill="1" applyBorder="1" applyAlignment="1">
      <alignment horizontal="left" vertical="center" wrapText="1"/>
    </xf>
    <xf numFmtId="0" fontId="10" fillId="3" borderId="16" xfId="0" applyFont="1" applyFill="1" applyBorder="1" applyAlignment="1">
      <alignment horizontal="left" vertical="center" wrapText="1"/>
    </xf>
    <xf numFmtId="0" fontId="10" fillId="3" borderId="17" xfId="0" applyFont="1" applyFill="1" applyBorder="1" applyAlignment="1">
      <alignment horizontal="left" vertical="center" wrapText="1"/>
    </xf>
    <xf numFmtId="0" fontId="10" fillId="3" borderId="26" xfId="0" applyFont="1" applyFill="1" applyBorder="1" applyAlignment="1">
      <alignment horizontal="left" vertical="center" wrapText="1"/>
    </xf>
    <xf numFmtId="0" fontId="10" fillId="3" borderId="31" xfId="0" applyFont="1" applyFill="1" applyBorder="1" applyAlignment="1">
      <alignment horizontal="left" vertical="center" wrapText="1"/>
    </xf>
    <xf numFmtId="0" fontId="10" fillId="3" borderId="32" xfId="0" applyFont="1" applyFill="1" applyBorder="1" applyAlignment="1">
      <alignment horizontal="left" vertical="center" wrapText="1"/>
    </xf>
    <xf numFmtId="0" fontId="10" fillId="3" borderId="33" xfId="0" applyFont="1" applyFill="1" applyBorder="1" applyAlignment="1">
      <alignment horizontal="left" vertical="center" wrapText="1"/>
    </xf>
    <xf numFmtId="0" fontId="10" fillId="16" borderId="28" xfId="0" applyFont="1" applyFill="1" applyBorder="1" applyAlignment="1">
      <alignment horizontal="left" vertical="center" wrapText="1"/>
    </xf>
    <xf numFmtId="0" fontId="10" fillId="16" borderId="24" xfId="0" applyFont="1" applyFill="1" applyBorder="1" applyAlignment="1">
      <alignment horizontal="left" vertical="center" wrapText="1"/>
    </xf>
    <xf numFmtId="0" fontId="10" fillId="16" borderId="25" xfId="0" applyFont="1" applyFill="1" applyBorder="1" applyAlignment="1">
      <alignment horizontal="left" vertical="center" wrapText="1"/>
    </xf>
    <xf numFmtId="0" fontId="2" fillId="16" borderId="13" xfId="16" applyFont="1" applyFill="1" applyBorder="1" applyAlignment="1">
      <alignment horizontal="center" vertical="center" wrapText="1"/>
    </xf>
    <xf numFmtId="0" fontId="2" fillId="16" borderId="39" xfId="16" applyFont="1" applyFill="1" applyBorder="1" applyAlignment="1">
      <alignment horizontal="center" vertical="center" wrapText="1"/>
    </xf>
    <xf numFmtId="0" fontId="27" fillId="3" borderId="29" xfId="0" applyFont="1" applyFill="1" applyBorder="1" applyAlignment="1">
      <alignment horizontal="left" vertical="center" wrapText="1"/>
    </xf>
    <xf numFmtId="0" fontId="27" fillId="3" borderId="22" xfId="0" applyFont="1" applyFill="1" applyBorder="1" applyAlignment="1">
      <alignment horizontal="left" vertical="center" wrapText="1"/>
    </xf>
    <xf numFmtId="0" fontId="27" fillId="3" borderId="30" xfId="0" applyFont="1" applyFill="1" applyBorder="1" applyAlignment="1">
      <alignment horizontal="left" vertical="center" wrapText="1"/>
    </xf>
    <xf numFmtId="0" fontId="10" fillId="0" borderId="31" xfId="0" applyFont="1" applyFill="1" applyBorder="1" applyAlignment="1">
      <alignment horizontal="center" vertical="center" wrapText="1"/>
    </xf>
    <xf numFmtId="0" fontId="10" fillId="0" borderId="32" xfId="0" applyFont="1" applyFill="1" applyBorder="1" applyAlignment="1">
      <alignment horizontal="center" vertical="center" wrapText="1"/>
    </xf>
    <xf numFmtId="0" fontId="10" fillId="0" borderId="33" xfId="0" applyFont="1" applyFill="1" applyBorder="1" applyAlignment="1">
      <alignment horizontal="center" vertical="center" wrapText="1"/>
    </xf>
    <xf numFmtId="0" fontId="2" fillId="16" borderId="10" xfId="16" applyFont="1" applyFill="1" applyBorder="1" applyAlignment="1">
      <alignment horizontal="center" vertical="center" wrapText="1"/>
    </xf>
    <xf numFmtId="0" fontId="2" fillId="16" borderId="12" xfId="16" applyFont="1" applyFill="1" applyBorder="1" applyAlignment="1">
      <alignment horizontal="center" vertical="center" wrapText="1"/>
    </xf>
    <xf numFmtId="0" fontId="4" fillId="0" borderId="2" xfId="0" applyFont="1" applyFill="1" applyBorder="1" applyAlignment="1">
      <alignment horizontal="left" vertical="top" wrapText="1"/>
    </xf>
    <xf numFmtId="0" fontId="4" fillId="0" borderId="5" xfId="0" applyFont="1" applyFill="1" applyBorder="1" applyAlignment="1">
      <alignment horizontal="left" vertical="top" wrapText="1"/>
    </xf>
    <xf numFmtId="0" fontId="4" fillId="0" borderId="1" xfId="0" applyFont="1" applyBorder="1" applyAlignment="1">
      <alignment horizontal="center" vertical="center" wrapText="1"/>
    </xf>
    <xf numFmtId="3" fontId="16" fillId="3" borderId="1" xfId="0" applyNumberFormat="1" applyFont="1" applyFill="1" applyBorder="1" applyAlignment="1">
      <alignment horizontal="center" vertical="center" wrapText="1"/>
    </xf>
    <xf numFmtId="3" fontId="16" fillId="3" borderId="1" xfId="0" applyNumberFormat="1" applyFont="1" applyFill="1" applyBorder="1" applyAlignment="1">
      <alignment vertical="center" wrapText="1"/>
    </xf>
    <xf numFmtId="3" fontId="16" fillId="24" borderId="2" xfId="0" applyNumberFormat="1" applyFont="1" applyFill="1" applyBorder="1" applyAlignment="1">
      <alignment horizontal="center" vertical="center" wrapText="1"/>
    </xf>
    <xf numFmtId="3" fontId="16" fillId="24" borderId="15" xfId="0" applyNumberFormat="1" applyFont="1" applyFill="1" applyBorder="1" applyAlignment="1">
      <alignment horizontal="center" vertical="center" wrapText="1"/>
    </xf>
    <xf numFmtId="3" fontId="16" fillId="24" borderId="5" xfId="0" applyNumberFormat="1" applyFont="1" applyFill="1" applyBorder="1" applyAlignment="1">
      <alignment horizontal="center" vertical="center" wrapText="1"/>
    </xf>
    <xf numFmtId="3" fontId="16" fillId="24" borderId="2" xfId="0" applyNumberFormat="1" applyFont="1" applyFill="1" applyBorder="1" applyAlignment="1">
      <alignment vertical="center" wrapText="1"/>
    </xf>
    <xf numFmtId="3" fontId="16" fillId="24" borderId="15" xfId="0" applyNumberFormat="1" applyFont="1" applyFill="1" applyBorder="1" applyAlignment="1">
      <alignment vertical="center" wrapText="1"/>
    </xf>
    <xf numFmtId="3" fontId="16" fillId="24" borderId="5" xfId="0" applyNumberFormat="1" applyFont="1" applyFill="1" applyBorder="1" applyAlignment="1">
      <alignment vertical="center" wrapText="1"/>
    </xf>
    <xf numFmtId="3" fontId="4" fillId="0" borderId="1" xfId="0" applyNumberFormat="1" applyFont="1" applyBorder="1" applyAlignment="1">
      <alignment horizontal="center" vertical="center"/>
    </xf>
    <xf numFmtId="0" fontId="4" fillId="0" borderId="2"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5" xfId="0" applyFont="1" applyBorder="1" applyAlignment="1">
      <alignment horizontal="center" vertical="center" wrapText="1"/>
    </xf>
    <xf numFmtId="0" fontId="4" fillId="0" borderId="1" xfId="0" applyFont="1" applyBorder="1" applyAlignment="1">
      <alignment vertical="center" wrapText="1"/>
    </xf>
    <xf numFmtId="0" fontId="2" fillId="16" borderId="13" xfId="0" applyFont="1" applyFill="1" applyBorder="1" applyAlignment="1">
      <alignment horizontal="center" vertical="center" wrapText="1"/>
    </xf>
    <xf numFmtId="0" fontId="2" fillId="16" borderId="3" xfId="0" applyFont="1" applyFill="1" applyBorder="1" applyAlignment="1">
      <alignment horizontal="center" vertical="center" wrapText="1"/>
    </xf>
    <xf numFmtId="0" fontId="10" fillId="3" borderId="37" xfId="0" applyFont="1" applyFill="1" applyBorder="1" applyAlignment="1">
      <alignment horizontal="left" vertical="center" wrapText="1"/>
    </xf>
    <xf numFmtId="0" fontId="10" fillId="3" borderId="34" xfId="0" applyFont="1" applyFill="1" applyBorder="1" applyAlignment="1">
      <alignment horizontal="left" vertical="center" wrapText="1"/>
    </xf>
    <xf numFmtId="0" fontId="10" fillId="3" borderId="35" xfId="0" applyFont="1" applyFill="1" applyBorder="1" applyAlignment="1">
      <alignment horizontal="left" vertical="center" wrapText="1"/>
    </xf>
    <xf numFmtId="0" fontId="11" fillId="15" borderId="37" xfId="0" applyFont="1" applyFill="1" applyBorder="1" applyAlignment="1">
      <alignment horizontal="left" vertical="center" wrapText="1"/>
    </xf>
    <xf numFmtId="0" fontId="11" fillId="15" borderId="34" xfId="0" applyFont="1" applyFill="1" applyBorder="1" applyAlignment="1">
      <alignment horizontal="left" vertical="center" wrapText="1"/>
    </xf>
    <xf numFmtId="0" fontId="11" fillId="15" borderId="35" xfId="0" applyFont="1" applyFill="1" applyBorder="1" applyAlignment="1">
      <alignment horizontal="left" vertical="center" wrapText="1"/>
    </xf>
    <xf numFmtId="0" fontId="29" fillId="0" borderId="31" xfId="19" applyFont="1" applyBorder="1" applyAlignment="1">
      <alignment horizontal="center" vertical="center" wrapText="1"/>
    </xf>
    <xf numFmtId="0" fontId="29" fillId="0" borderId="32" xfId="19" applyFont="1" applyBorder="1" applyAlignment="1">
      <alignment horizontal="center" vertical="center" wrapText="1"/>
    </xf>
    <xf numFmtId="0" fontId="29" fillId="0" borderId="17" xfId="19" applyFont="1" applyBorder="1" applyAlignment="1">
      <alignment horizontal="center" vertical="center" wrapText="1"/>
    </xf>
    <xf numFmtId="0" fontId="29" fillId="0" borderId="33" xfId="19" applyFont="1" applyBorder="1" applyAlignment="1">
      <alignment horizontal="center" vertical="center" wrapText="1"/>
    </xf>
    <xf numFmtId="0" fontId="2" fillId="16" borderId="1" xfId="0" applyFont="1" applyFill="1" applyBorder="1" applyAlignment="1">
      <alignment horizontal="center" vertical="center" wrapText="1"/>
    </xf>
    <xf numFmtId="0" fontId="2" fillId="16" borderId="10" xfId="0" applyFont="1" applyFill="1" applyBorder="1" applyAlignment="1">
      <alignment horizontal="center" vertical="center" wrapText="1"/>
    </xf>
    <xf numFmtId="0" fontId="2" fillId="16" borderId="12" xfId="0" applyFont="1" applyFill="1" applyBorder="1" applyAlignment="1">
      <alignment horizontal="center" vertical="center" wrapText="1"/>
    </xf>
    <xf numFmtId="0" fontId="0" fillId="0" borderId="16" xfId="0" applyBorder="1" applyAlignment="1">
      <alignment horizontal="center"/>
    </xf>
    <xf numFmtId="0" fontId="0" fillId="0" borderId="17" xfId="0" applyBorder="1" applyAlignment="1">
      <alignment horizontal="center"/>
    </xf>
    <xf numFmtId="0" fontId="0" fillId="0" borderId="18" xfId="0" applyBorder="1" applyAlignment="1">
      <alignment horizontal="center"/>
    </xf>
    <xf numFmtId="0" fontId="10" fillId="16" borderId="31" xfId="0" applyFont="1" applyFill="1" applyBorder="1" applyAlignment="1">
      <alignment horizontal="left" vertical="center"/>
    </xf>
    <xf numFmtId="0" fontId="10" fillId="16" borderId="32" xfId="0" applyFont="1" applyFill="1" applyBorder="1" applyAlignment="1">
      <alignment horizontal="left" vertical="center"/>
    </xf>
    <xf numFmtId="0" fontId="10" fillId="16" borderId="33" xfId="0" applyFont="1" applyFill="1" applyBorder="1" applyAlignment="1">
      <alignment horizontal="left" vertical="center"/>
    </xf>
    <xf numFmtId="0" fontId="54" fillId="16" borderId="1" xfId="0" applyFont="1" applyFill="1" applyBorder="1" applyAlignment="1">
      <alignment horizontal="center" vertical="center"/>
    </xf>
    <xf numFmtId="0" fontId="27" fillId="16" borderId="2" xfId="0" applyFont="1" applyFill="1" applyBorder="1" applyAlignment="1">
      <alignment horizontal="center" vertical="center" wrapText="1"/>
    </xf>
    <xf numFmtId="0" fontId="11" fillId="15" borderId="16" xfId="0" applyFont="1" applyFill="1" applyBorder="1" applyAlignment="1">
      <alignment horizontal="left" vertical="center" wrapText="1"/>
    </xf>
    <xf numFmtId="0" fontId="11" fillId="15" borderId="17" xfId="0" applyFont="1" applyFill="1" applyBorder="1" applyAlignment="1">
      <alignment horizontal="left" vertical="center" wrapText="1"/>
    </xf>
    <xf numFmtId="0" fontId="11" fillId="15" borderId="26" xfId="0" applyFont="1" applyFill="1" applyBorder="1" applyAlignment="1">
      <alignment horizontal="left" vertical="center" wrapText="1"/>
    </xf>
    <xf numFmtId="0" fontId="11" fillId="15" borderId="16" xfId="0" applyFont="1" applyFill="1" applyBorder="1" applyAlignment="1">
      <alignment horizontal="left" vertical="center"/>
    </xf>
    <xf numFmtId="0" fontId="11" fillId="15" borderId="17" xfId="0" applyFont="1" applyFill="1" applyBorder="1" applyAlignment="1">
      <alignment horizontal="left" vertical="center"/>
    </xf>
    <xf numFmtId="0" fontId="11" fillId="15" borderId="26" xfId="0" applyFont="1" applyFill="1" applyBorder="1" applyAlignment="1">
      <alignment horizontal="left" vertical="center"/>
    </xf>
    <xf numFmtId="0" fontId="10" fillId="3" borderId="37" xfId="0" applyFont="1" applyFill="1" applyBorder="1" applyAlignment="1">
      <alignment horizontal="left" vertical="center"/>
    </xf>
    <xf numFmtId="0" fontId="10" fillId="3" borderId="34" xfId="0" applyFont="1" applyFill="1" applyBorder="1" applyAlignment="1">
      <alignment horizontal="left" vertical="center"/>
    </xf>
    <xf numFmtId="0" fontId="10" fillId="3" borderId="35" xfId="0" applyFont="1" applyFill="1" applyBorder="1" applyAlignment="1">
      <alignment horizontal="left" vertical="center"/>
    </xf>
    <xf numFmtId="0" fontId="10" fillId="16" borderId="31" xfId="0" applyFont="1" applyFill="1" applyBorder="1" applyAlignment="1">
      <alignment horizontal="left" vertical="center" wrapText="1"/>
    </xf>
    <xf numFmtId="0" fontId="10" fillId="16" borderId="32" xfId="0" applyFont="1" applyFill="1" applyBorder="1" applyAlignment="1">
      <alignment horizontal="left" vertical="center" wrapText="1"/>
    </xf>
    <xf numFmtId="0" fontId="10" fillId="16" borderId="33" xfId="0" applyFont="1" applyFill="1" applyBorder="1" applyAlignment="1">
      <alignment horizontal="left" vertical="center" wrapText="1"/>
    </xf>
    <xf numFmtId="0" fontId="29" fillId="16" borderId="20" xfId="19" applyFont="1" applyFill="1" applyBorder="1" applyAlignment="1">
      <alignment horizontal="left" vertical="center" wrapText="1"/>
    </xf>
    <xf numFmtId="0" fontId="29" fillId="16" borderId="21" xfId="19" applyFont="1" applyFill="1" applyBorder="1" applyAlignment="1">
      <alignment horizontal="left" vertical="center" wrapText="1"/>
    </xf>
    <xf numFmtId="0" fontId="29" fillId="16" borderId="27" xfId="19" applyFont="1" applyFill="1" applyBorder="1" applyAlignment="1">
      <alignment horizontal="left" vertical="center" wrapText="1"/>
    </xf>
    <xf numFmtId="3" fontId="2" fillId="0" borderId="1" xfId="0" applyNumberFormat="1" applyFont="1" applyBorder="1" applyAlignment="1">
      <alignment horizontal="center" vertical="center" wrapText="1"/>
    </xf>
    <xf numFmtId="0" fontId="32" fillId="0" borderId="1" xfId="0" applyFont="1" applyBorder="1" applyAlignment="1">
      <alignment horizontal="center" vertical="center"/>
    </xf>
    <xf numFmtId="3" fontId="4" fillId="0" borderId="2" xfId="0" applyNumberFormat="1" applyFont="1" applyBorder="1" applyAlignment="1">
      <alignment horizontal="center" vertical="center"/>
    </xf>
    <xf numFmtId="3" fontId="4" fillId="0" borderId="15" xfId="0" applyNumberFormat="1" applyFont="1" applyBorder="1" applyAlignment="1">
      <alignment horizontal="center" vertical="center"/>
    </xf>
    <xf numFmtId="3" fontId="4" fillId="0" borderId="5" xfId="0" applyNumberFormat="1" applyFont="1" applyBorder="1" applyAlignment="1">
      <alignment horizontal="center" vertical="center"/>
    </xf>
    <xf numFmtId="0" fontId="15" fillId="16" borderId="14" xfId="0" applyFont="1" applyFill="1" applyBorder="1" applyAlignment="1">
      <alignment horizontal="center" vertical="center" wrapText="1"/>
    </xf>
    <xf numFmtId="0" fontId="15" fillId="16" borderId="1" xfId="0" applyFont="1" applyFill="1" applyBorder="1" applyAlignment="1">
      <alignment horizontal="center" vertical="center" wrapText="1"/>
    </xf>
    <xf numFmtId="0" fontId="15" fillId="16" borderId="39" xfId="0" applyFont="1" applyFill="1" applyBorder="1" applyAlignment="1">
      <alignment horizontal="center" vertical="center" wrapText="1"/>
    </xf>
    <xf numFmtId="0" fontId="15" fillId="16" borderId="4" xfId="0" applyFont="1" applyFill="1" applyBorder="1" applyAlignment="1">
      <alignment horizontal="center" vertical="center" wrapText="1"/>
    </xf>
    <xf numFmtId="0" fontId="2" fillId="16" borderId="36" xfId="0" applyFont="1" applyFill="1" applyBorder="1" applyAlignment="1">
      <alignment horizontal="center" vertical="center" wrapText="1"/>
    </xf>
    <xf numFmtId="0" fontId="2" fillId="16" borderId="42" xfId="0" applyFont="1" applyFill="1" applyBorder="1" applyAlignment="1">
      <alignment horizontal="center" vertical="center" wrapText="1"/>
    </xf>
    <xf numFmtId="0" fontId="2" fillId="16" borderId="43" xfId="0" applyFont="1" applyFill="1" applyBorder="1" applyAlignment="1">
      <alignment horizontal="center" vertical="center" wrapText="1"/>
    </xf>
    <xf numFmtId="0" fontId="2" fillId="16" borderId="38" xfId="0" applyFont="1" applyFill="1" applyBorder="1" applyAlignment="1">
      <alignment horizontal="center" vertical="center" wrapText="1"/>
    </xf>
    <xf numFmtId="0" fontId="2" fillId="16" borderId="0" xfId="0" applyFont="1" applyFill="1" applyAlignment="1">
      <alignment horizontal="center" vertical="center" wrapText="1"/>
    </xf>
    <xf numFmtId="0" fontId="2" fillId="16" borderId="9" xfId="0" applyFont="1" applyFill="1" applyBorder="1" applyAlignment="1">
      <alignment horizontal="center" vertical="center" wrapText="1"/>
    </xf>
    <xf numFmtId="0" fontId="2" fillId="16" borderId="44" xfId="0" applyFont="1" applyFill="1" applyBorder="1" applyAlignment="1">
      <alignment horizontal="center" vertical="center" wrapText="1"/>
    </xf>
    <xf numFmtId="0" fontId="2" fillId="16" borderId="45" xfId="0" applyFont="1" applyFill="1" applyBorder="1" applyAlignment="1">
      <alignment horizontal="center" vertical="center" wrapText="1"/>
    </xf>
    <xf numFmtId="0" fontId="2" fillId="16" borderId="46" xfId="0" applyFont="1" applyFill="1" applyBorder="1" applyAlignment="1">
      <alignment horizontal="center" vertical="center" wrapText="1"/>
    </xf>
    <xf numFmtId="0" fontId="21" fillId="4" borderId="8" xfId="0" applyFont="1" applyFill="1" applyBorder="1" applyAlignment="1">
      <alignment horizontal="center" vertical="center"/>
    </xf>
    <xf numFmtId="0" fontId="21" fillId="4" borderId="6" xfId="0" applyFont="1" applyFill="1" applyBorder="1" applyAlignment="1">
      <alignment horizontal="center" vertical="center"/>
    </xf>
    <xf numFmtId="0" fontId="21" fillId="4" borderId="7" xfId="0" applyFont="1" applyFill="1" applyBorder="1" applyAlignment="1">
      <alignment horizontal="center" vertical="center"/>
    </xf>
    <xf numFmtId="0" fontId="21" fillId="4" borderId="8" xfId="0" applyFont="1" applyFill="1" applyBorder="1" applyAlignment="1">
      <alignment horizontal="center" vertical="center" wrapText="1"/>
    </xf>
    <xf numFmtId="0" fontId="21" fillId="4" borderId="6" xfId="0" applyFont="1" applyFill="1" applyBorder="1" applyAlignment="1">
      <alignment horizontal="center" vertical="center" wrapText="1"/>
    </xf>
    <xf numFmtId="0" fontId="21" fillId="4" borderId="7" xfId="0" applyFont="1" applyFill="1" applyBorder="1" applyAlignment="1">
      <alignment horizontal="center" vertical="center" wrapText="1"/>
    </xf>
    <xf numFmtId="0" fontId="72" fillId="16" borderId="1" xfId="0" applyFont="1" applyFill="1" applyBorder="1" applyAlignment="1">
      <alignment horizontal="left" vertical="center"/>
    </xf>
    <xf numFmtId="0" fontId="72" fillId="0" borderId="1" xfId="0" applyFont="1" applyBorder="1" applyAlignment="1">
      <alignment horizontal="left" vertical="top"/>
    </xf>
    <xf numFmtId="0" fontId="51" fillId="17" borderId="1" xfId="0" applyFont="1" applyFill="1" applyBorder="1" applyAlignment="1">
      <alignment horizontal="center" vertical="center"/>
    </xf>
    <xf numFmtId="0" fontId="32" fillId="0" borderId="2" xfId="0" applyFont="1" applyBorder="1" applyAlignment="1">
      <alignment horizontal="center" vertical="center" wrapText="1"/>
    </xf>
    <xf numFmtId="0" fontId="32" fillId="0" borderId="15" xfId="0" applyFont="1" applyBorder="1" applyAlignment="1">
      <alignment horizontal="center" vertical="center" wrapText="1"/>
    </xf>
    <xf numFmtId="0" fontId="32" fillId="0" borderId="5" xfId="0" applyFont="1" applyBorder="1" applyAlignment="1">
      <alignment horizontal="center" vertical="center" wrapText="1"/>
    </xf>
    <xf numFmtId="0" fontId="32" fillId="0" borderId="2" xfId="0" applyFont="1" applyBorder="1" applyAlignment="1">
      <alignment horizontal="center" vertical="center"/>
    </xf>
    <xf numFmtId="0" fontId="32" fillId="0" borderId="15" xfId="0" applyFont="1" applyBorder="1" applyAlignment="1">
      <alignment horizontal="center" vertical="center"/>
    </xf>
    <xf numFmtId="0" fontId="32" fillId="0" borderId="5" xfId="0" applyFont="1" applyBorder="1" applyAlignment="1">
      <alignment horizontal="center" vertical="center"/>
    </xf>
    <xf numFmtId="0" fontId="0" fillId="0" borderId="1" xfId="0" applyBorder="1" applyAlignment="1">
      <alignment horizontal="center" vertical="center" wrapText="1"/>
    </xf>
    <xf numFmtId="0" fontId="32" fillId="0" borderId="1" xfId="0" applyFont="1" applyBorder="1" applyAlignment="1">
      <alignment horizontal="center" vertical="center" wrapText="1"/>
    </xf>
    <xf numFmtId="0" fontId="0" fillId="0" borderId="1" xfId="0" applyBorder="1" applyAlignment="1">
      <alignment horizontal="center"/>
    </xf>
    <xf numFmtId="0" fontId="47" fillId="16" borderId="1" xfId="0" applyFont="1" applyFill="1" applyBorder="1" applyAlignment="1">
      <alignment horizontal="center" vertical="center"/>
    </xf>
    <xf numFmtId="0" fontId="48" fillId="16" borderId="1" xfId="0" applyFont="1" applyFill="1" applyBorder="1" applyAlignment="1">
      <alignment horizontal="center" vertical="center" wrapText="1"/>
    </xf>
    <xf numFmtId="0" fontId="48" fillId="16" borderId="1" xfId="0" applyFont="1" applyFill="1" applyBorder="1" applyAlignment="1">
      <alignment horizontal="center" vertical="center"/>
    </xf>
    <xf numFmtId="0" fontId="49" fillId="0" borderId="1" xfId="0" applyFont="1" applyBorder="1" applyAlignment="1">
      <alignment horizontal="center"/>
    </xf>
    <xf numFmtId="0" fontId="48" fillId="0" borderId="1" xfId="0" applyFont="1" applyBorder="1" applyAlignment="1">
      <alignment horizontal="center"/>
    </xf>
    <xf numFmtId="0" fontId="0" fillId="0" borderId="1" xfId="0" applyBorder="1" applyAlignment="1">
      <alignment horizontal="center" vertical="center"/>
    </xf>
    <xf numFmtId="0" fontId="0" fillId="0" borderId="2" xfId="0" applyBorder="1" applyAlignment="1">
      <alignment horizontal="center" vertical="center"/>
    </xf>
    <xf numFmtId="0" fontId="0" fillId="0" borderId="15" xfId="0" applyBorder="1" applyAlignment="1">
      <alignment horizontal="center" vertical="center"/>
    </xf>
    <xf numFmtId="0" fontId="0" fillId="0" borderId="5" xfId="0" applyBorder="1" applyAlignment="1">
      <alignment horizontal="center" vertical="center"/>
    </xf>
    <xf numFmtId="0" fontId="51" fillId="17" borderId="8" xfId="0" applyFont="1" applyFill="1" applyBorder="1" applyAlignment="1">
      <alignment horizontal="center" vertical="center"/>
    </xf>
    <xf numFmtId="0" fontId="51" fillId="17" borderId="6" xfId="0" applyFont="1" applyFill="1" applyBorder="1" applyAlignment="1">
      <alignment horizontal="center" vertical="center"/>
    </xf>
    <xf numFmtId="0" fontId="51" fillId="17" borderId="7" xfId="0" applyFont="1" applyFill="1" applyBorder="1" applyAlignment="1">
      <alignment horizontal="center" vertical="center"/>
    </xf>
    <xf numFmtId="9" fontId="32" fillId="0" borderId="1" xfId="0" applyNumberFormat="1" applyFont="1" applyBorder="1" applyAlignment="1">
      <alignment horizontal="center" vertical="center" wrapText="1"/>
    </xf>
    <xf numFmtId="0" fontId="51" fillId="17" borderId="8" xfId="0" applyFont="1" applyFill="1" applyBorder="1" applyAlignment="1">
      <alignment horizontal="center"/>
    </xf>
    <xf numFmtId="0" fontId="51" fillId="17" borderId="6" xfId="0" applyFont="1" applyFill="1" applyBorder="1" applyAlignment="1">
      <alignment horizontal="center"/>
    </xf>
    <xf numFmtId="0" fontId="51" fillId="17" borderId="7" xfId="0" applyFont="1" applyFill="1" applyBorder="1" applyAlignment="1">
      <alignment horizontal="center"/>
    </xf>
    <xf numFmtId="0" fontId="0" fillId="0" borderId="43" xfId="0" applyBorder="1" applyAlignment="1">
      <alignment horizontal="center" vertical="center"/>
    </xf>
    <xf numFmtId="0" fontId="0" fillId="0" borderId="9" xfId="0" applyBorder="1" applyAlignment="1">
      <alignment horizontal="center" vertical="center"/>
    </xf>
    <xf numFmtId="0" fontId="0" fillId="0" borderId="46" xfId="0" applyBorder="1" applyAlignment="1">
      <alignment horizontal="center" vertical="center"/>
    </xf>
    <xf numFmtId="0" fontId="32" fillId="0" borderId="36" xfId="0" applyFont="1" applyBorder="1" applyAlignment="1">
      <alignment horizontal="center" vertical="center"/>
    </xf>
    <xf numFmtId="0" fontId="32" fillId="0" borderId="38" xfId="0" applyFont="1" applyBorder="1" applyAlignment="1">
      <alignment horizontal="center" vertical="center"/>
    </xf>
  </cellXfs>
  <cellStyles count="2869">
    <cellStyle name="60% - Énfasis1 2" xfId="28" xr:uid="{00000000-0005-0000-0000-000000000000}"/>
    <cellStyle name="60% - Énfasis2 2" xfId="29" xr:uid="{00000000-0005-0000-0000-000001000000}"/>
    <cellStyle name="60% - Énfasis3 2" xfId="30" xr:uid="{00000000-0005-0000-0000-000002000000}"/>
    <cellStyle name="60% - Énfasis4 2" xfId="31" xr:uid="{00000000-0005-0000-0000-000003000000}"/>
    <cellStyle name="60% - Énfasis5 2" xfId="32" xr:uid="{00000000-0005-0000-0000-000004000000}"/>
    <cellStyle name="60% - Énfasis6 2" xfId="33" xr:uid="{00000000-0005-0000-0000-000005000000}"/>
    <cellStyle name="BodyStyle" xfId="34" xr:uid="{00000000-0005-0000-0000-000006000000}"/>
    <cellStyle name="BodyStyleBold" xfId="35" xr:uid="{00000000-0005-0000-0000-000007000000}"/>
    <cellStyle name="BodyStyleBoldRight" xfId="36" xr:uid="{00000000-0005-0000-0000-000008000000}"/>
    <cellStyle name="BodyStyleWithBorder" xfId="37" xr:uid="{00000000-0005-0000-0000-000009000000}"/>
    <cellStyle name="BodyStyleWithBorder 2" xfId="38" xr:uid="{00000000-0005-0000-0000-00000A000000}"/>
    <cellStyle name="BodyStyleWithBorder 2 2" xfId="39" xr:uid="{00000000-0005-0000-0000-00000B000000}"/>
    <cellStyle name="BodyStyleWithBorder 2 3" xfId="40" xr:uid="{00000000-0005-0000-0000-00000C000000}"/>
    <cellStyle name="BodyStyleWithBorder 2 4" xfId="41" xr:uid="{00000000-0005-0000-0000-00000D000000}"/>
    <cellStyle name="BodyStyleWithBorder 3" xfId="42" xr:uid="{00000000-0005-0000-0000-00000E000000}"/>
    <cellStyle name="BodyStyleWithBorder 4" xfId="43" xr:uid="{00000000-0005-0000-0000-00000F000000}"/>
    <cellStyle name="BodyStyleWithBorder 5" xfId="44" xr:uid="{00000000-0005-0000-0000-000010000000}"/>
    <cellStyle name="BorderThinBlack" xfId="45" xr:uid="{00000000-0005-0000-0000-000011000000}"/>
    <cellStyle name="BorderThinBlack 2" xfId="46" xr:uid="{00000000-0005-0000-0000-000012000000}"/>
    <cellStyle name="BorderThinBlack 2 2" xfId="47" xr:uid="{00000000-0005-0000-0000-000013000000}"/>
    <cellStyle name="BorderThinBlack 2 2 2" xfId="48" xr:uid="{00000000-0005-0000-0000-000014000000}"/>
    <cellStyle name="BorderThinBlack 2 2 2 2" xfId="49" xr:uid="{00000000-0005-0000-0000-000015000000}"/>
    <cellStyle name="BorderThinBlack 2 2 2 3" xfId="50" xr:uid="{00000000-0005-0000-0000-000016000000}"/>
    <cellStyle name="BorderThinBlack 2 2 2 4" xfId="51" xr:uid="{00000000-0005-0000-0000-000017000000}"/>
    <cellStyle name="BorderThinBlack 2 2 3" xfId="52" xr:uid="{00000000-0005-0000-0000-000018000000}"/>
    <cellStyle name="BorderThinBlack 2 2 4" xfId="53" xr:uid="{00000000-0005-0000-0000-000019000000}"/>
    <cellStyle name="BorderThinBlack 2 2 5" xfId="54" xr:uid="{00000000-0005-0000-0000-00001A000000}"/>
    <cellStyle name="BorderThinBlack 2 3" xfId="55" xr:uid="{00000000-0005-0000-0000-00001B000000}"/>
    <cellStyle name="BorderThinBlack 2 4" xfId="56" xr:uid="{00000000-0005-0000-0000-00001C000000}"/>
    <cellStyle name="BorderThinBlack 2 5" xfId="57" xr:uid="{00000000-0005-0000-0000-00001D000000}"/>
    <cellStyle name="BorderThinBlack 3" xfId="58" xr:uid="{00000000-0005-0000-0000-00001E000000}"/>
    <cellStyle name="BorderThinBlack 3 2" xfId="59" xr:uid="{00000000-0005-0000-0000-00001F000000}"/>
    <cellStyle name="BorderThinBlack 3 2 2" xfId="60" xr:uid="{00000000-0005-0000-0000-000020000000}"/>
    <cellStyle name="BorderThinBlack 3 2 3" xfId="61" xr:uid="{00000000-0005-0000-0000-000021000000}"/>
    <cellStyle name="BorderThinBlack 3 2 4" xfId="62" xr:uid="{00000000-0005-0000-0000-000022000000}"/>
    <cellStyle name="BorderThinBlack 3 3" xfId="63" xr:uid="{00000000-0005-0000-0000-000023000000}"/>
    <cellStyle name="BorderThinBlack 3 4" xfId="64" xr:uid="{00000000-0005-0000-0000-000024000000}"/>
    <cellStyle name="BorderThinBlack 3 5" xfId="65" xr:uid="{00000000-0005-0000-0000-000025000000}"/>
    <cellStyle name="BorderThinBlack 4" xfId="66" xr:uid="{00000000-0005-0000-0000-000026000000}"/>
    <cellStyle name="BorderThinBlack 5" xfId="67" xr:uid="{00000000-0005-0000-0000-000027000000}"/>
    <cellStyle name="BorderThinBlack 6" xfId="68" xr:uid="{00000000-0005-0000-0000-000028000000}"/>
    <cellStyle name="Coma 2" xfId="1" xr:uid="{00000000-0005-0000-0000-000029000000}"/>
    <cellStyle name="Coma 2 2" xfId="2" xr:uid="{00000000-0005-0000-0000-00002A000000}"/>
    <cellStyle name="Comma" xfId="69" xr:uid="{00000000-0005-0000-0000-00002B000000}"/>
    <cellStyle name="Comma [0]" xfId="70" xr:uid="{00000000-0005-0000-0000-00002C000000}"/>
    <cellStyle name="Comma [0] 2" xfId="71" xr:uid="{00000000-0005-0000-0000-00002D000000}"/>
    <cellStyle name="Comma [0] 2 2" xfId="72" xr:uid="{00000000-0005-0000-0000-00002E000000}"/>
    <cellStyle name="Comma [0] 2 2 2" xfId="73" xr:uid="{00000000-0005-0000-0000-00002F000000}"/>
    <cellStyle name="Comma [0] 2 3" xfId="74" xr:uid="{00000000-0005-0000-0000-000030000000}"/>
    <cellStyle name="Comma [0] 3" xfId="75" xr:uid="{00000000-0005-0000-0000-000031000000}"/>
    <cellStyle name="Comma 2" xfId="76" xr:uid="{00000000-0005-0000-0000-000032000000}"/>
    <cellStyle name="Comma 2 2" xfId="77" xr:uid="{00000000-0005-0000-0000-000033000000}"/>
    <cellStyle name="Comma 2 2 2" xfId="78" xr:uid="{00000000-0005-0000-0000-000034000000}"/>
    <cellStyle name="Comma 2 3" xfId="79" xr:uid="{00000000-0005-0000-0000-000035000000}"/>
    <cellStyle name="Comma 3" xfId="80" xr:uid="{00000000-0005-0000-0000-000036000000}"/>
    <cellStyle name="Comma 4" xfId="81" xr:uid="{00000000-0005-0000-0000-000037000000}"/>
    <cellStyle name="Comma 5" xfId="82" xr:uid="{00000000-0005-0000-0000-000038000000}"/>
    <cellStyle name="Currency" xfId="83" xr:uid="{00000000-0005-0000-0000-000039000000}"/>
    <cellStyle name="Currency [0]" xfId="84" xr:uid="{00000000-0005-0000-0000-00003A000000}"/>
    <cellStyle name="Currency [0] 2" xfId="85" xr:uid="{00000000-0005-0000-0000-00003B000000}"/>
    <cellStyle name="Currency [0] 2 2" xfId="86" xr:uid="{00000000-0005-0000-0000-00003C000000}"/>
    <cellStyle name="Currency [0] 2 2 2" xfId="87" xr:uid="{00000000-0005-0000-0000-00003D000000}"/>
    <cellStyle name="Currency [0] 2 2 2 2" xfId="88" xr:uid="{00000000-0005-0000-0000-00003E000000}"/>
    <cellStyle name="Currency [0] 2 2 3" xfId="89" xr:uid="{00000000-0005-0000-0000-00003F000000}"/>
    <cellStyle name="Currency [0] 2 2 3 2" xfId="90" xr:uid="{00000000-0005-0000-0000-000040000000}"/>
    <cellStyle name="Currency [0] 2 2 4" xfId="91" xr:uid="{00000000-0005-0000-0000-000041000000}"/>
    <cellStyle name="Currency [0] 2 2 4 2" xfId="92" xr:uid="{00000000-0005-0000-0000-000042000000}"/>
    <cellStyle name="Currency [0] 2 2 5" xfId="93" xr:uid="{00000000-0005-0000-0000-000043000000}"/>
    <cellStyle name="Currency [0] 2 3" xfId="94" xr:uid="{00000000-0005-0000-0000-000044000000}"/>
    <cellStyle name="Currency [0] 2 3 2" xfId="95" xr:uid="{00000000-0005-0000-0000-000045000000}"/>
    <cellStyle name="Currency [0] 2 4" xfId="96" xr:uid="{00000000-0005-0000-0000-000046000000}"/>
    <cellStyle name="Currency [0] 2 4 2" xfId="97" xr:uid="{00000000-0005-0000-0000-000047000000}"/>
    <cellStyle name="Currency [0] 2 5" xfId="98" xr:uid="{00000000-0005-0000-0000-000048000000}"/>
    <cellStyle name="Currency [0] 2 5 2" xfId="99" xr:uid="{00000000-0005-0000-0000-000049000000}"/>
    <cellStyle name="Currency [0] 2 6" xfId="100" xr:uid="{00000000-0005-0000-0000-00004A000000}"/>
    <cellStyle name="Currency [0] 3" xfId="101" xr:uid="{00000000-0005-0000-0000-00004B000000}"/>
    <cellStyle name="Currency [0] 3 2" xfId="102" xr:uid="{00000000-0005-0000-0000-00004C000000}"/>
    <cellStyle name="Currency [0] 3 2 2" xfId="103" xr:uid="{00000000-0005-0000-0000-00004D000000}"/>
    <cellStyle name="Currency [0] 3 3" xfId="104" xr:uid="{00000000-0005-0000-0000-00004E000000}"/>
    <cellStyle name="Currency [0] 3 3 2" xfId="105" xr:uid="{00000000-0005-0000-0000-00004F000000}"/>
    <cellStyle name="Currency [0] 3 4" xfId="106" xr:uid="{00000000-0005-0000-0000-000050000000}"/>
    <cellStyle name="Currency [0] 3 4 2" xfId="107" xr:uid="{00000000-0005-0000-0000-000051000000}"/>
    <cellStyle name="Currency [0] 3 5" xfId="108" xr:uid="{00000000-0005-0000-0000-000052000000}"/>
    <cellStyle name="Currency [0] 4" xfId="109" xr:uid="{00000000-0005-0000-0000-000053000000}"/>
    <cellStyle name="Currency [0] 4 2" xfId="110" xr:uid="{00000000-0005-0000-0000-000054000000}"/>
    <cellStyle name="Currency [0] 5" xfId="111" xr:uid="{00000000-0005-0000-0000-000055000000}"/>
    <cellStyle name="Currency [0] 5 2" xfId="112" xr:uid="{00000000-0005-0000-0000-000056000000}"/>
    <cellStyle name="Currency [0] 6" xfId="113" xr:uid="{00000000-0005-0000-0000-000057000000}"/>
    <cellStyle name="Currency [0] 6 2" xfId="114" xr:uid="{00000000-0005-0000-0000-000058000000}"/>
    <cellStyle name="Currency [0] 7" xfId="115" xr:uid="{00000000-0005-0000-0000-000059000000}"/>
    <cellStyle name="Currency 10" xfId="116" xr:uid="{00000000-0005-0000-0000-00005A000000}"/>
    <cellStyle name="Currency 10 2" xfId="117" xr:uid="{00000000-0005-0000-0000-00005B000000}"/>
    <cellStyle name="Currency 11" xfId="118" xr:uid="{00000000-0005-0000-0000-00005C000000}"/>
    <cellStyle name="Currency 11 2" xfId="119" xr:uid="{00000000-0005-0000-0000-00005D000000}"/>
    <cellStyle name="Currency 12" xfId="120" xr:uid="{00000000-0005-0000-0000-00005E000000}"/>
    <cellStyle name="Currency 12 2" xfId="121" xr:uid="{00000000-0005-0000-0000-00005F000000}"/>
    <cellStyle name="Currency 13" xfId="122" xr:uid="{00000000-0005-0000-0000-000060000000}"/>
    <cellStyle name="Currency 13 2" xfId="123" xr:uid="{00000000-0005-0000-0000-000061000000}"/>
    <cellStyle name="Currency 14" xfId="124" xr:uid="{00000000-0005-0000-0000-000062000000}"/>
    <cellStyle name="Currency 15" xfId="125" xr:uid="{00000000-0005-0000-0000-000063000000}"/>
    <cellStyle name="Currency 2" xfId="126" xr:uid="{00000000-0005-0000-0000-000064000000}"/>
    <cellStyle name="Currency 2 2" xfId="127" xr:uid="{00000000-0005-0000-0000-000065000000}"/>
    <cellStyle name="Currency 2 2 2" xfId="128" xr:uid="{00000000-0005-0000-0000-000066000000}"/>
    <cellStyle name="Currency 2 2 2 2" xfId="129" xr:uid="{00000000-0005-0000-0000-000067000000}"/>
    <cellStyle name="Currency 2 2 3" xfId="130" xr:uid="{00000000-0005-0000-0000-000068000000}"/>
    <cellStyle name="Currency 2 2 3 2" xfId="131" xr:uid="{00000000-0005-0000-0000-000069000000}"/>
    <cellStyle name="Currency 2 2 4" xfId="132" xr:uid="{00000000-0005-0000-0000-00006A000000}"/>
    <cellStyle name="Currency 2 2 4 2" xfId="133" xr:uid="{00000000-0005-0000-0000-00006B000000}"/>
    <cellStyle name="Currency 2 2 5" xfId="134" xr:uid="{00000000-0005-0000-0000-00006C000000}"/>
    <cellStyle name="Currency 2 3" xfId="135" xr:uid="{00000000-0005-0000-0000-00006D000000}"/>
    <cellStyle name="Currency 2 3 2" xfId="136" xr:uid="{00000000-0005-0000-0000-00006E000000}"/>
    <cellStyle name="Currency 2 4" xfId="137" xr:uid="{00000000-0005-0000-0000-00006F000000}"/>
    <cellStyle name="Currency 2 4 2" xfId="138" xr:uid="{00000000-0005-0000-0000-000070000000}"/>
    <cellStyle name="Currency 2 5" xfId="139" xr:uid="{00000000-0005-0000-0000-000071000000}"/>
    <cellStyle name="Currency 2 5 2" xfId="140" xr:uid="{00000000-0005-0000-0000-000072000000}"/>
    <cellStyle name="Currency 2 6" xfId="141" xr:uid="{00000000-0005-0000-0000-000073000000}"/>
    <cellStyle name="Currency 3" xfId="142" xr:uid="{00000000-0005-0000-0000-000074000000}"/>
    <cellStyle name="Currency 3 2" xfId="143" xr:uid="{00000000-0005-0000-0000-000075000000}"/>
    <cellStyle name="Currency 3 2 2" xfId="144" xr:uid="{00000000-0005-0000-0000-000076000000}"/>
    <cellStyle name="Currency 3 3" xfId="145" xr:uid="{00000000-0005-0000-0000-000077000000}"/>
    <cellStyle name="Currency 3 3 2" xfId="146" xr:uid="{00000000-0005-0000-0000-000078000000}"/>
    <cellStyle name="Currency 3 4" xfId="147" xr:uid="{00000000-0005-0000-0000-000079000000}"/>
    <cellStyle name="Currency 3 4 2" xfId="148" xr:uid="{00000000-0005-0000-0000-00007A000000}"/>
    <cellStyle name="Currency 3 5" xfId="149" xr:uid="{00000000-0005-0000-0000-00007B000000}"/>
    <cellStyle name="Currency 4" xfId="150" xr:uid="{00000000-0005-0000-0000-00007C000000}"/>
    <cellStyle name="Currency 4 2" xfId="151" xr:uid="{00000000-0005-0000-0000-00007D000000}"/>
    <cellStyle name="Currency 4 2 2" xfId="152" xr:uid="{00000000-0005-0000-0000-00007E000000}"/>
    <cellStyle name="Currency 4 3" xfId="153" xr:uid="{00000000-0005-0000-0000-00007F000000}"/>
    <cellStyle name="Currency 4 3 2" xfId="154" xr:uid="{00000000-0005-0000-0000-000080000000}"/>
    <cellStyle name="Currency 4 4" xfId="155" xr:uid="{00000000-0005-0000-0000-000081000000}"/>
    <cellStyle name="Currency 4 4 2" xfId="156" xr:uid="{00000000-0005-0000-0000-000082000000}"/>
    <cellStyle name="Currency 4 5" xfId="157" xr:uid="{00000000-0005-0000-0000-000083000000}"/>
    <cellStyle name="Currency 5" xfId="158" xr:uid="{00000000-0005-0000-0000-000084000000}"/>
    <cellStyle name="Currency 5 2" xfId="159" xr:uid="{00000000-0005-0000-0000-000085000000}"/>
    <cellStyle name="Currency 5 2 2" xfId="160" xr:uid="{00000000-0005-0000-0000-000086000000}"/>
    <cellStyle name="Currency 5 3" xfId="161" xr:uid="{00000000-0005-0000-0000-000087000000}"/>
    <cellStyle name="Currency 5 3 2" xfId="162" xr:uid="{00000000-0005-0000-0000-000088000000}"/>
    <cellStyle name="Currency 5 4" xfId="163" xr:uid="{00000000-0005-0000-0000-000089000000}"/>
    <cellStyle name="Currency 5 4 2" xfId="164" xr:uid="{00000000-0005-0000-0000-00008A000000}"/>
    <cellStyle name="Currency 5 5" xfId="165" xr:uid="{00000000-0005-0000-0000-00008B000000}"/>
    <cellStyle name="Currency 6" xfId="166" xr:uid="{00000000-0005-0000-0000-00008C000000}"/>
    <cellStyle name="Currency 6 2" xfId="167" xr:uid="{00000000-0005-0000-0000-00008D000000}"/>
    <cellStyle name="Currency 7" xfId="168" xr:uid="{00000000-0005-0000-0000-00008E000000}"/>
    <cellStyle name="Currency 7 2" xfId="169" xr:uid="{00000000-0005-0000-0000-00008F000000}"/>
    <cellStyle name="Currency 8" xfId="170" xr:uid="{00000000-0005-0000-0000-000090000000}"/>
    <cellStyle name="Currency 8 2" xfId="171" xr:uid="{00000000-0005-0000-0000-000091000000}"/>
    <cellStyle name="Currency 9" xfId="172" xr:uid="{00000000-0005-0000-0000-000092000000}"/>
    <cellStyle name="Currency 9 2" xfId="173" xr:uid="{00000000-0005-0000-0000-000093000000}"/>
    <cellStyle name="DateStyle" xfId="174" xr:uid="{00000000-0005-0000-0000-000094000000}"/>
    <cellStyle name="DateTimeStyle" xfId="175" xr:uid="{00000000-0005-0000-0000-000095000000}"/>
    <cellStyle name="Decimal" xfId="176" xr:uid="{00000000-0005-0000-0000-000096000000}"/>
    <cellStyle name="DecimalWithBorder" xfId="177" xr:uid="{00000000-0005-0000-0000-000097000000}"/>
    <cellStyle name="DecimalWithBorder 2" xfId="178" xr:uid="{00000000-0005-0000-0000-000098000000}"/>
    <cellStyle name="DecimalWithBorder 2 2" xfId="179" xr:uid="{00000000-0005-0000-0000-000099000000}"/>
    <cellStyle name="DecimalWithBorder 2 3" xfId="180" xr:uid="{00000000-0005-0000-0000-00009A000000}"/>
    <cellStyle name="DecimalWithBorder 2 4" xfId="181" xr:uid="{00000000-0005-0000-0000-00009B000000}"/>
    <cellStyle name="DecimalWithBorder 3" xfId="182" xr:uid="{00000000-0005-0000-0000-00009C000000}"/>
    <cellStyle name="DecimalWithBorder 4" xfId="183" xr:uid="{00000000-0005-0000-0000-00009D000000}"/>
    <cellStyle name="DecimalWithBorder 5" xfId="184" xr:uid="{00000000-0005-0000-0000-00009E000000}"/>
    <cellStyle name="Énfasis1 2" xfId="185" xr:uid="{00000000-0005-0000-0000-00009F000000}"/>
    <cellStyle name="Énfasis1 2 2" xfId="186" xr:uid="{00000000-0005-0000-0000-0000A0000000}"/>
    <cellStyle name="EuroCurrency" xfId="187" xr:uid="{00000000-0005-0000-0000-0000A1000000}"/>
    <cellStyle name="EuroCurrencyWithBorder" xfId="188" xr:uid="{00000000-0005-0000-0000-0000A2000000}"/>
    <cellStyle name="EuroCurrencyWithBorder 2" xfId="189" xr:uid="{00000000-0005-0000-0000-0000A3000000}"/>
    <cellStyle name="EuroCurrencyWithBorder 2 2" xfId="190" xr:uid="{00000000-0005-0000-0000-0000A4000000}"/>
    <cellStyle name="EuroCurrencyWithBorder 2 3" xfId="191" xr:uid="{00000000-0005-0000-0000-0000A5000000}"/>
    <cellStyle name="EuroCurrencyWithBorder 2 4" xfId="192" xr:uid="{00000000-0005-0000-0000-0000A6000000}"/>
    <cellStyle name="EuroCurrencyWithBorder 3" xfId="193" xr:uid="{00000000-0005-0000-0000-0000A7000000}"/>
    <cellStyle name="EuroCurrencyWithBorder 4" xfId="194" xr:uid="{00000000-0005-0000-0000-0000A8000000}"/>
    <cellStyle name="EuroCurrencyWithBorder 5" xfId="195" xr:uid="{00000000-0005-0000-0000-0000A9000000}"/>
    <cellStyle name="HeaderStyle" xfId="196" xr:uid="{00000000-0005-0000-0000-0000AA000000}"/>
    <cellStyle name="HeaderSubTop" xfId="197" xr:uid="{00000000-0005-0000-0000-0000AB000000}"/>
    <cellStyle name="HeaderSubTopNoBold" xfId="198" xr:uid="{00000000-0005-0000-0000-0000AC000000}"/>
    <cellStyle name="HeaderTopBuyer" xfId="199" xr:uid="{00000000-0005-0000-0000-0000AD000000}"/>
    <cellStyle name="HeaderTopStyle" xfId="200" xr:uid="{00000000-0005-0000-0000-0000AE000000}"/>
    <cellStyle name="HeaderTopStyleAlignRight" xfId="201" xr:uid="{00000000-0005-0000-0000-0000AF000000}"/>
    <cellStyle name="Hipervínculo" xfId="2867" builtinId="8"/>
    <cellStyle name="MainTitle" xfId="202" xr:uid="{00000000-0005-0000-0000-0000B0000000}"/>
    <cellStyle name="MainTitle 2" xfId="203" xr:uid="{00000000-0005-0000-0000-0000B1000000}"/>
    <cellStyle name="MainTitle 2 2" xfId="204" xr:uid="{00000000-0005-0000-0000-0000B2000000}"/>
    <cellStyle name="MainTitle 2 3" xfId="205" xr:uid="{00000000-0005-0000-0000-0000B3000000}"/>
    <cellStyle name="MainTitle 2 4" xfId="206" xr:uid="{00000000-0005-0000-0000-0000B4000000}"/>
    <cellStyle name="MainTitle 3" xfId="207" xr:uid="{00000000-0005-0000-0000-0000B5000000}"/>
    <cellStyle name="MainTitle 4" xfId="208" xr:uid="{00000000-0005-0000-0000-0000B6000000}"/>
    <cellStyle name="MainTitle 5" xfId="209" xr:uid="{00000000-0005-0000-0000-0000B7000000}"/>
    <cellStyle name="Millares" xfId="3" builtinId="3"/>
    <cellStyle name="Millares 10" xfId="210" xr:uid="{00000000-0005-0000-0000-0000BA000000}"/>
    <cellStyle name="Millares 10 2" xfId="211" xr:uid="{00000000-0005-0000-0000-0000BB000000}"/>
    <cellStyle name="Millares 2" xfId="4" xr:uid="{00000000-0005-0000-0000-0000BC000000}"/>
    <cellStyle name="Millares 2 2" xfId="5" xr:uid="{00000000-0005-0000-0000-0000BD000000}"/>
    <cellStyle name="Millares 2 2 2" xfId="212" xr:uid="{00000000-0005-0000-0000-0000BE000000}"/>
    <cellStyle name="Millares 2 3" xfId="213" xr:uid="{00000000-0005-0000-0000-0000BF000000}"/>
    <cellStyle name="Millares 2 3 2" xfId="214" xr:uid="{00000000-0005-0000-0000-0000C0000000}"/>
    <cellStyle name="Millares 2 3 2 2" xfId="215" xr:uid="{00000000-0005-0000-0000-0000C1000000}"/>
    <cellStyle name="Millares 2 3 3" xfId="216" xr:uid="{00000000-0005-0000-0000-0000C2000000}"/>
    <cellStyle name="Millares 2 3 4" xfId="217" xr:uid="{00000000-0005-0000-0000-0000C3000000}"/>
    <cellStyle name="Millares 2 4" xfId="218" xr:uid="{00000000-0005-0000-0000-0000C4000000}"/>
    <cellStyle name="Millares 2 4 2" xfId="219" xr:uid="{00000000-0005-0000-0000-0000C5000000}"/>
    <cellStyle name="Millares 2 4 3" xfId="220" xr:uid="{00000000-0005-0000-0000-0000C6000000}"/>
    <cellStyle name="Millares 2 5" xfId="221" xr:uid="{00000000-0005-0000-0000-0000C7000000}"/>
    <cellStyle name="Millares 2 5 2" xfId="222" xr:uid="{00000000-0005-0000-0000-0000C8000000}"/>
    <cellStyle name="Millares 2 6" xfId="223" xr:uid="{00000000-0005-0000-0000-0000C9000000}"/>
    <cellStyle name="Millares 2 6 2" xfId="224" xr:uid="{00000000-0005-0000-0000-0000CA000000}"/>
    <cellStyle name="Millares 3" xfId="6" xr:uid="{00000000-0005-0000-0000-0000CB000000}"/>
    <cellStyle name="Millares 3 2" xfId="7" xr:uid="{00000000-0005-0000-0000-0000CC000000}"/>
    <cellStyle name="Millares 3 3" xfId="225" xr:uid="{00000000-0005-0000-0000-0000CD000000}"/>
    <cellStyle name="Millares 3 3 2" xfId="226" xr:uid="{00000000-0005-0000-0000-0000CE000000}"/>
    <cellStyle name="Millares 3 4" xfId="227" xr:uid="{00000000-0005-0000-0000-0000CF000000}"/>
    <cellStyle name="Millares 4" xfId="8" xr:uid="{00000000-0005-0000-0000-0000D0000000}"/>
    <cellStyle name="Millares 4 2" xfId="228" xr:uid="{00000000-0005-0000-0000-0000D1000000}"/>
    <cellStyle name="Millares 5" xfId="229" xr:uid="{00000000-0005-0000-0000-0000D2000000}"/>
    <cellStyle name="Millares 5 2" xfId="230" xr:uid="{00000000-0005-0000-0000-0000D3000000}"/>
    <cellStyle name="Millares 5 3" xfId="231" xr:uid="{00000000-0005-0000-0000-0000D4000000}"/>
    <cellStyle name="Millares 5 4" xfId="232" xr:uid="{00000000-0005-0000-0000-0000D5000000}"/>
    <cellStyle name="Millares 5 5" xfId="233" xr:uid="{00000000-0005-0000-0000-0000D6000000}"/>
    <cellStyle name="Millares 6" xfId="234" xr:uid="{00000000-0005-0000-0000-0000D7000000}"/>
    <cellStyle name="Millares 6 2" xfId="235" xr:uid="{00000000-0005-0000-0000-0000D8000000}"/>
    <cellStyle name="Millares 6 2 2" xfId="236" xr:uid="{00000000-0005-0000-0000-0000D9000000}"/>
    <cellStyle name="Millares 6 3" xfId="237" xr:uid="{00000000-0005-0000-0000-0000DA000000}"/>
    <cellStyle name="Millares 6 3 2" xfId="238" xr:uid="{00000000-0005-0000-0000-0000DB000000}"/>
    <cellStyle name="Millares 6 4" xfId="239" xr:uid="{00000000-0005-0000-0000-0000DC000000}"/>
    <cellStyle name="Millares 7" xfId="240" xr:uid="{00000000-0005-0000-0000-0000DD000000}"/>
    <cellStyle name="Millares 7 2" xfId="241" xr:uid="{00000000-0005-0000-0000-0000DE000000}"/>
    <cellStyle name="Millares 8" xfId="242" xr:uid="{00000000-0005-0000-0000-0000DF000000}"/>
    <cellStyle name="Millares 8 2" xfId="243" xr:uid="{00000000-0005-0000-0000-0000E0000000}"/>
    <cellStyle name="Millares 9" xfId="244" xr:uid="{00000000-0005-0000-0000-0000E1000000}"/>
    <cellStyle name="Millares 9 2" xfId="245" xr:uid="{00000000-0005-0000-0000-0000E2000000}"/>
    <cellStyle name="Moneda" xfId="9" builtinId="4"/>
    <cellStyle name="Moneda [0]" xfId="2865" builtinId="7"/>
    <cellStyle name="Moneda [0] 10" xfId="2868" xr:uid="{25B1F56D-B9D1-2C49-A661-7EFB3AEF3E04}"/>
    <cellStyle name="Moneda [0] 2" xfId="246" xr:uid="{00000000-0005-0000-0000-0000E5000000}"/>
    <cellStyle name="Moneda [0] 2 2" xfId="247" xr:uid="{00000000-0005-0000-0000-0000E6000000}"/>
    <cellStyle name="Moneda [0] 2 2 2" xfId="248" xr:uid="{00000000-0005-0000-0000-0000E7000000}"/>
    <cellStyle name="Moneda [0] 2 2 2 2" xfId="249" xr:uid="{00000000-0005-0000-0000-0000E8000000}"/>
    <cellStyle name="Moneda [0] 2 2 3" xfId="250" xr:uid="{00000000-0005-0000-0000-0000E9000000}"/>
    <cellStyle name="Moneda [0] 2 2 4" xfId="251" xr:uid="{00000000-0005-0000-0000-0000EA000000}"/>
    <cellStyle name="Moneda [0] 2 3" xfId="252" xr:uid="{00000000-0005-0000-0000-0000EB000000}"/>
    <cellStyle name="Moneda [0] 2 3 2" xfId="253" xr:uid="{00000000-0005-0000-0000-0000EC000000}"/>
    <cellStyle name="Moneda [0] 2 4" xfId="254" xr:uid="{00000000-0005-0000-0000-0000ED000000}"/>
    <cellStyle name="Moneda [0] 2 5" xfId="255" xr:uid="{00000000-0005-0000-0000-0000EE000000}"/>
    <cellStyle name="Moneda [0] 3" xfId="256" xr:uid="{00000000-0005-0000-0000-0000EF000000}"/>
    <cellStyle name="Moneda [0] 3 2" xfId="257" xr:uid="{00000000-0005-0000-0000-0000F0000000}"/>
    <cellStyle name="Moneda [0] 3 2 2" xfId="258" xr:uid="{00000000-0005-0000-0000-0000F1000000}"/>
    <cellStyle name="Moneda [0] 3 2 2 2" xfId="259" xr:uid="{00000000-0005-0000-0000-0000F2000000}"/>
    <cellStyle name="Moneda [0] 3 2 3" xfId="260" xr:uid="{00000000-0005-0000-0000-0000F3000000}"/>
    <cellStyle name="Moneda [0] 3 2 3 2" xfId="261" xr:uid="{00000000-0005-0000-0000-0000F4000000}"/>
    <cellStyle name="Moneda [0] 3 2 4" xfId="262" xr:uid="{00000000-0005-0000-0000-0000F5000000}"/>
    <cellStyle name="Moneda [0] 3 2 4 2" xfId="263" xr:uid="{00000000-0005-0000-0000-0000F6000000}"/>
    <cellStyle name="Moneda [0] 3 2 5" xfId="264" xr:uid="{00000000-0005-0000-0000-0000F7000000}"/>
    <cellStyle name="Moneda [0] 3 3" xfId="265" xr:uid="{00000000-0005-0000-0000-0000F8000000}"/>
    <cellStyle name="Moneda [0] 3 3 2" xfId="266" xr:uid="{00000000-0005-0000-0000-0000F9000000}"/>
    <cellStyle name="Moneda [0] 3 4" xfId="267" xr:uid="{00000000-0005-0000-0000-0000FA000000}"/>
    <cellStyle name="Moneda [0] 3 4 2" xfId="268" xr:uid="{00000000-0005-0000-0000-0000FB000000}"/>
    <cellStyle name="Moneda [0] 3 5" xfId="269" xr:uid="{00000000-0005-0000-0000-0000FC000000}"/>
    <cellStyle name="Moneda [0] 3 5 2" xfId="270" xr:uid="{00000000-0005-0000-0000-0000FD000000}"/>
    <cellStyle name="Moneda [0] 3 6" xfId="271" xr:uid="{00000000-0005-0000-0000-0000FE000000}"/>
    <cellStyle name="Moneda [0] 3 7" xfId="272" xr:uid="{00000000-0005-0000-0000-0000FF000000}"/>
    <cellStyle name="Moneda [0] 4" xfId="273" xr:uid="{00000000-0005-0000-0000-000000010000}"/>
    <cellStyle name="Moneda [0] 4 2" xfId="274" xr:uid="{00000000-0005-0000-0000-000001010000}"/>
    <cellStyle name="Moneda [0] 4 2 2" xfId="275" xr:uid="{00000000-0005-0000-0000-000002010000}"/>
    <cellStyle name="Moneda [0] 4 3" xfId="276" xr:uid="{00000000-0005-0000-0000-000003010000}"/>
    <cellStyle name="Moneda [0] 4 3 2" xfId="277" xr:uid="{00000000-0005-0000-0000-000004010000}"/>
    <cellStyle name="Moneda [0] 4 4" xfId="278" xr:uid="{00000000-0005-0000-0000-000005010000}"/>
    <cellStyle name="Moneda [0] 4 4 2" xfId="279" xr:uid="{00000000-0005-0000-0000-000006010000}"/>
    <cellStyle name="Moneda [0] 4 5" xfId="280" xr:uid="{00000000-0005-0000-0000-000007010000}"/>
    <cellStyle name="Moneda [0] 5" xfId="281" xr:uid="{00000000-0005-0000-0000-000008010000}"/>
    <cellStyle name="Moneda [0] 5 2" xfId="282" xr:uid="{00000000-0005-0000-0000-000009010000}"/>
    <cellStyle name="Moneda [0] 5 2 2" xfId="283" xr:uid="{00000000-0005-0000-0000-00000A010000}"/>
    <cellStyle name="Moneda [0] 5 3" xfId="284" xr:uid="{00000000-0005-0000-0000-00000B010000}"/>
    <cellStyle name="Moneda [0] 5 3 2" xfId="285" xr:uid="{00000000-0005-0000-0000-00000C010000}"/>
    <cellStyle name="Moneda [0] 5 4" xfId="286" xr:uid="{00000000-0005-0000-0000-00000D010000}"/>
    <cellStyle name="Moneda [0] 5 4 2" xfId="287" xr:uid="{00000000-0005-0000-0000-00000E010000}"/>
    <cellStyle name="Moneda [0] 5 5" xfId="288" xr:uid="{00000000-0005-0000-0000-00000F010000}"/>
    <cellStyle name="Moneda [0] 6" xfId="289" xr:uid="{00000000-0005-0000-0000-000010010000}"/>
    <cellStyle name="Moneda [0] 6 2" xfId="290" xr:uid="{00000000-0005-0000-0000-000011010000}"/>
    <cellStyle name="Moneda [0] 7" xfId="291" xr:uid="{00000000-0005-0000-0000-000012010000}"/>
    <cellStyle name="Moneda [0] 7 2" xfId="292" xr:uid="{00000000-0005-0000-0000-000013010000}"/>
    <cellStyle name="Moneda [0] 8" xfId="293" xr:uid="{00000000-0005-0000-0000-000014010000}"/>
    <cellStyle name="Moneda [0] 8 2" xfId="294" xr:uid="{00000000-0005-0000-0000-000015010000}"/>
    <cellStyle name="Moneda [0] 9" xfId="295" xr:uid="{00000000-0005-0000-0000-000016010000}"/>
    <cellStyle name="Moneda [0] 9 2" xfId="296" xr:uid="{00000000-0005-0000-0000-000017010000}"/>
    <cellStyle name="Moneda 10" xfId="297" xr:uid="{00000000-0005-0000-0000-000018010000}"/>
    <cellStyle name="Moneda 10 10" xfId="298" xr:uid="{00000000-0005-0000-0000-000019010000}"/>
    <cellStyle name="Moneda 10 11" xfId="299" xr:uid="{00000000-0005-0000-0000-00001A010000}"/>
    <cellStyle name="Moneda 10 2" xfId="300" xr:uid="{00000000-0005-0000-0000-00001B010000}"/>
    <cellStyle name="Moneda 10 2 2" xfId="301" xr:uid="{00000000-0005-0000-0000-00001C010000}"/>
    <cellStyle name="Moneda 10 2 2 2" xfId="302" xr:uid="{00000000-0005-0000-0000-00001D010000}"/>
    <cellStyle name="Moneda 10 2 2 2 2" xfId="303" xr:uid="{00000000-0005-0000-0000-00001E010000}"/>
    <cellStyle name="Moneda 10 2 2 2 2 2" xfId="304" xr:uid="{00000000-0005-0000-0000-00001F010000}"/>
    <cellStyle name="Moneda 10 2 2 2 3" xfId="305" xr:uid="{00000000-0005-0000-0000-000020010000}"/>
    <cellStyle name="Moneda 10 2 2 2 3 2" xfId="306" xr:uid="{00000000-0005-0000-0000-000021010000}"/>
    <cellStyle name="Moneda 10 2 2 2 4" xfId="307" xr:uid="{00000000-0005-0000-0000-000022010000}"/>
    <cellStyle name="Moneda 10 2 2 2 4 2" xfId="308" xr:uid="{00000000-0005-0000-0000-000023010000}"/>
    <cellStyle name="Moneda 10 2 2 2 5" xfId="309" xr:uid="{00000000-0005-0000-0000-000024010000}"/>
    <cellStyle name="Moneda 10 2 2 3" xfId="310" xr:uid="{00000000-0005-0000-0000-000025010000}"/>
    <cellStyle name="Moneda 10 2 2 3 2" xfId="311" xr:uid="{00000000-0005-0000-0000-000026010000}"/>
    <cellStyle name="Moneda 10 2 2 4" xfId="312" xr:uid="{00000000-0005-0000-0000-000027010000}"/>
    <cellStyle name="Moneda 10 2 2 4 2" xfId="313" xr:uid="{00000000-0005-0000-0000-000028010000}"/>
    <cellStyle name="Moneda 10 2 2 5" xfId="314" xr:uid="{00000000-0005-0000-0000-000029010000}"/>
    <cellStyle name="Moneda 10 2 2 5 2" xfId="315" xr:uid="{00000000-0005-0000-0000-00002A010000}"/>
    <cellStyle name="Moneda 10 2 2 6" xfId="316" xr:uid="{00000000-0005-0000-0000-00002B010000}"/>
    <cellStyle name="Moneda 10 2 3" xfId="317" xr:uid="{00000000-0005-0000-0000-00002C010000}"/>
    <cellStyle name="Moneda 10 2 3 2" xfId="318" xr:uid="{00000000-0005-0000-0000-00002D010000}"/>
    <cellStyle name="Moneda 10 2 3 2 2" xfId="319" xr:uid="{00000000-0005-0000-0000-00002E010000}"/>
    <cellStyle name="Moneda 10 2 3 3" xfId="320" xr:uid="{00000000-0005-0000-0000-00002F010000}"/>
    <cellStyle name="Moneda 10 2 3 3 2" xfId="321" xr:uid="{00000000-0005-0000-0000-000030010000}"/>
    <cellStyle name="Moneda 10 2 3 4" xfId="322" xr:uid="{00000000-0005-0000-0000-000031010000}"/>
    <cellStyle name="Moneda 10 2 3 4 2" xfId="323" xr:uid="{00000000-0005-0000-0000-000032010000}"/>
    <cellStyle name="Moneda 10 2 3 5" xfId="324" xr:uid="{00000000-0005-0000-0000-000033010000}"/>
    <cellStyle name="Moneda 10 2 4" xfId="325" xr:uid="{00000000-0005-0000-0000-000034010000}"/>
    <cellStyle name="Moneda 10 2 4 2" xfId="326" xr:uid="{00000000-0005-0000-0000-000035010000}"/>
    <cellStyle name="Moneda 10 2 5" xfId="327" xr:uid="{00000000-0005-0000-0000-000036010000}"/>
    <cellStyle name="Moneda 10 2 5 2" xfId="328" xr:uid="{00000000-0005-0000-0000-000037010000}"/>
    <cellStyle name="Moneda 10 2 6" xfId="329" xr:uid="{00000000-0005-0000-0000-000038010000}"/>
    <cellStyle name="Moneda 10 2 6 2" xfId="330" xr:uid="{00000000-0005-0000-0000-000039010000}"/>
    <cellStyle name="Moneda 10 2 7" xfId="331" xr:uid="{00000000-0005-0000-0000-00003A010000}"/>
    <cellStyle name="Moneda 10 2 8" xfId="332" xr:uid="{00000000-0005-0000-0000-00003B010000}"/>
    <cellStyle name="Moneda 10 3" xfId="333" xr:uid="{00000000-0005-0000-0000-00003C010000}"/>
    <cellStyle name="Moneda 10 3 2" xfId="334" xr:uid="{00000000-0005-0000-0000-00003D010000}"/>
    <cellStyle name="Moneda 10 3 2 2" xfId="335" xr:uid="{00000000-0005-0000-0000-00003E010000}"/>
    <cellStyle name="Moneda 10 3 2 2 2" xfId="336" xr:uid="{00000000-0005-0000-0000-00003F010000}"/>
    <cellStyle name="Moneda 10 3 2 2 2 2" xfId="337" xr:uid="{00000000-0005-0000-0000-000040010000}"/>
    <cellStyle name="Moneda 10 3 2 2 3" xfId="338" xr:uid="{00000000-0005-0000-0000-000041010000}"/>
    <cellStyle name="Moneda 10 3 2 2 3 2" xfId="339" xr:uid="{00000000-0005-0000-0000-000042010000}"/>
    <cellStyle name="Moneda 10 3 2 2 4" xfId="340" xr:uid="{00000000-0005-0000-0000-000043010000}"/>
    <cellStyle name="Moneda 10 3 2 2 4 2" xfId="341" xr:uid="{00000000-0005-0000-0000-000044010000}"/>
    <cellStyle name="Moneda 10 3 2 2 5" xfId="342" xr:uid="{00000000-0005-0000-0000-000045010000}"/>
    <cellStyle name="Moneda 10 3 2 3" xfId="343" xr:uid="{00000000-0005-0000-0000-000046010000}"/>
    <cellStyle name="Moneda 10 3 2 3 2" xfId="344" xr:uid="{00000000-0005-0000-0000-000047010000}"/>
    <cellStyle name="Moneda 10 3 2 4" xfId="345" xr:uid="{00000000-0005-0000-0000-000048010000}"/>
    <cellStyle name="Moneda 10 3 2 4 2" xfId="346" xr:uid="{00000000-0005-0000-0000-000049010000}"/>
    <cellStyle name="Moneda 10 3 2 5" xfId="347" xr:uid="{00000000-0005-0000-0000-00004A010000}"/>
    <cellStyle name="Moneda 10 3 2 5 2" xfId="348" xr:uid="{00000000-0005-0000-0000-00004B010000}"/>
    <cellStyle name="Moneda 10 3 2 6" xfId="349" xr:uid="{00000000-0005-0000-0000-00004C010000}"/>
    <cellStyle name="Moneda 10 3 3" xfId="350" xr:uid="{00000000-0005-0000-0000-00004D010000}"/>
    <cellStyle name="Moneda 10 3 3 2" xfId="351" xr:uid="{00000000-0005-0000-0000-00004E010000}"/>
    <cellStyle name="Moneda 10 3 3 2 2" xfId="352" xr:uid="{00000000-0005-0000-0000-00004F010000}"/>
    <cellStyle name="Moneda 10 3 3 3" xfId="353" xr:uid="{00000000-0005-0000-0000-000050010000}"/>
    <cellStyle name="Moneda 10 3 3 3 2" xfId="354" xr:uid="{00000000-0005-0000-0000-000051010000}"/>
    <cellStyle name="Moneda 10 3 3 4" xfId="355" xr:uid="{00000000-0005-0000-0000-000052010000}"/>
    <cellStyle name="Moneda 10 3 3 4 2" xfId="356" xr:uid="{00000000-0005-0000-0000-000053010000}"/>
    <cellStyle name="Moneda 10 3 3 5" xfId="357" xr:uid="{00000000-0005-0000-0000-000054010000}"/>
    <cellStyle name="Moneda 10 3 4" xfId="358" xr:uid="{00000000-0005-0000-0000-000055010000}"/>
    <cellStyle name="Moneda 10 3 4 2" xfId="359" xr:uid="{00000000-0005-0000-0000-000056010000}"/>
    <cellStyle name="Moneda 10 3 5" xfId="360" xr:uid="{00000000-0005-0000-0000-000057010000}"/>
    <cellStyle name="Moneda 10 3 5 2" xfId="361" xr:uid="{00000000-0005-0000-0000-000058010000}"/>
    <cellStyle name="Moneda 10 3 6" xfId="362" xr:uid="{00000000-0005-0000-0000-000059010000}"/>
    <cellStyle name="Moneda 10 3 6 2" xfId="363" xr:uid="{00000000-0005-0000-0000-00005A010000}"/>
    <cellStyle name="Moneda 10 3 7" xfId="364" xr:uid="{00000000-0005-0000-0000-00005B010000}"/>
    <cellStyle name="Moneda 10 4" xfId="365" xr:uid="{00000000-0005-0000-0000-00005C010000}"/>
    <cellStyle name="Moneda 10 4 2" xfId="366" xr:uid="{00000000-0005-0000-0000-00005D010000}"/>
    <cellStyle name="Moneda 10 4 2 2" xfId="367" xr:uid="{00000000-0005-0000-0000-00005E010000}"/>
    <cellStyle name="Moneda 10 4 2 2 2" xfId="368" xr:uid="{00000000-0005-0000-0000-00005F010000}"/>
    <cellStyle name="Moneda 10 4 2 2 2 2" xfId="369" xr:uid="{00000000-0005-0000-0000-000060010000}"/>
    <cellStyle name="Moneda 10 4 2 2 3" xfId="370" xr:uid="{00000000-0005-0000-0000-000061010000}"/>
    <cellStyle name="Moneda 10 4 2 2 3 2" xfId="371" xr:uid="{00000000-0005-0000-0000-000062010000}"/>
    <cellStyle name="Moneda 10 4 2 2 4" xfId="372" xr:uid="{00000000-0005-0000-0000-000063010000}"/>
    <cellStyle name="Moneda 10 4 2 2 4 2" xfId="373" xr:uid="{00000000-0005-0000-0000-000064010000}"/>
    <cellStyle name="Moneda 10 4 2 2 5" xfId="374" xr:uid="{00000000-0005-0000-0000-000065010000}"/>
    <cellStyle name="Moneda 10 4 2 3" xfId="375" xr:uid="{00000000-0005-0000-0000-000066010000}"/>
    <cellStyle name="Moneda 10 4 2 3 2" xfId="376" xr:uid="{00000000-0005-0000-0000-000067010000}"/>
    <cellStyle name="Moneda 10 4 2 4" xfId="377" xr:uid="{00000000-0005-0000-0000-000068010000}"/>
    <cellStyle name="Moneda 10 4 2 4 2" xfId="378" xr:uid="{00000000-0005-0000-0000-000069010000}"/>
    <cellStyle name="Moneda 10 4 2 5" xfId="379" xr:uid="{00000000-0005-0000-0000-00006A010000}"/>
    <cellStyle name="Moneda 10 4 2 5 2" xfId="380" xr:uid="{00000000-0005-0000-0000-00006B010000}"/>
    <cellStyle name="Moneda 10 4 2 6" xfId="381" xr:uid="{00000000-0005-0000-0000-00006C010000}"/>
    <cellStyle name="Moneda 10 4 3" xfId="382" xr:uid="{00000000-0005-0000-0000-00006D010000}"/>
    <cellStyle name="Moneda 10 4 3 2" xfId="383" xr:uid="{00000000-0005-0000-0000-00006E010000}"/>
    <cellStyle name="Moneda 10 4 3 2 2" xfId="384" xr:uid="{00000000-0005-0000-0000-00006F010000}"/>
    <cellStyle name="Moneda 10 4 3 3" xfId="385" xr:uid="{00000000-0005-0000-0000-000070010000}"/>
    <cellStyle name="Moneda 10 4 3 3 2" xfId="386" xr:uid="{00000000-0005-0000-0000-000071010000}"/>
    <cellStyle name="Moneda 10 4 3 4" xfId="387" xr:uid="{00000000-0005-0000-0000-000072010000}"/>
    <cellStyle name="Moneda 10 4 3 4 2" xfId="388" xr:uid="{00000000-0005-0000-0000-000073010000}"/>
    <cellStyle name="Moneda 10 4 3 5" xfId="389" xr:uid="{00000000-0005-0000-0000-000074010000}"/>
    <cellStyle name="Moneda 10 4 4" xfId="390" xr:uid="{00000000-0005-0000-0000-000075010000}"/>
    <cellStyle name="Moneda 10 4 4 2" xfId="391" xr:uid="{00000000-0005-0000-0000-000076010000}"/>
    <cellStyle name="Moneda 10 4 5" xfId="392" xr:uid="{00000000-0005-0000-0000-000077010000}"/>
    <cellStyle name="Moneda 10 4 5 2" xfId="393" xr:uid="{00000000-0005-0000-0000-000078010000}"/>
    <cellStyle name="Moneda 10 4 6" xfId="394" xr:uid="{00000000-0005-0000-0000-000079010000}"/>
    <cellStyle name="Moneda 10 4 6 2" xfId="395" xr:uid="{00000000-0005-0000-0000-00007A010000}"/>
    <cellStyle name="Moneda 10 4 7" xfId="396" xr:uid="{00000000-0005-0000-0000-00007B010000}"/>
    <cellStyle name="Moneda 10 5" xfId="397" xr:uid="{00000000-0005-0000-0000-00007C010000}"/>
    <cellStyle name="Moneda 10 5 2" xfId="398" xr:uid="{00000000-0005-0000-0000-00007D010000}"/>
    <cellStyle name="Moneda 10 5 2 2" xfId="399" xr:uid="{00000000-0005-0000-0000-00007E010000}"/>
    <cellStyle name="Moneda 10 5 2 2 2" xfId="400" xr:uid="{00000000-0005-0000-0000-00007F010000}"/>
    <cellStyle name="Moneda 10 5 2 3" xfId="401" xr:uid="{00000000-0005-0000-0000-000080010000}"/>
    <cellStyle name="Moneda 10 5 2 3 2" xfId="402" xr:uid="{00000000-0005-0000-0000-000081010000}"/>
    <cellStyle name="Moneda 10 5 2 4" xfId="403" xr:uid="{00000000-0005-0000-0000-000082010000}"/>
    <cellStyle name="Moneda 10 5 2 4 2" xfId="404" xr:uid="{00000000-0005-0000-0000-000083010000}"/>
    <cellStyle name="Moneda 10 5 2 5" xfId="405" xr:uid="{00000000-0005-0000-0000-000084010000}"/>
    <cellStyle name="Moneda 10 5 3" xfId="406" xr:uid="{00000000-0005-0000-0000-000085010000}"/>
    <cellStyle name="Moneda 10 5 3 2" xfId="407" xr:uid="{00000000-0005-0000-0000-000086010000}"/>
    <cellStyle name="Moneda 10 5 4" xfId="408" xr:uid="{00000000-0005-0000-0000-000087010000}"/>
    <cellStyle name="Moneda 10 5 4 2" xfId="409" xr:uid="{00000000-0005-0000-0000-000088010000}"/>
    <cellStyle name="Moneda 10 5 5" xfId="410" xr:uid="{00000000-0005-0000-0000-000089010000}"/>
    <cellStyle name="Moneda 10 5 5 2" xfId="411" xr:uid="{00000000-0005-0000-0000-00008A010000}"/>
    <cellStyle name="Moneda 10 5 6" xfId="412" xr:uid="{00000000-0005-0000-0000-00008B010000}"/>
    <cellStyle name="Moneda 10 6" xfId="413" xr:uid="{00000000-0005-0000-0000-00008C010000}"/>
    <cellStyle name="Moneda 10 6 2" xfId="414" xr:uid="{00000000-0005-0000-0000-00008D010000}"/>
    <cellStyle name="Moneda 10 6 2 2" xfId="415" xr:uid="{00000000-0005-0000-0000-00008E010000}"/>
    <cellStyle name="Moneda 10 6 3" xfId="416" xr:uid="{00000000-0005-0000-0000-00008F010000}"/>
    <cellStyle name="Moneda 10 6 3 2" xfId="417" xr:uid="{00000000-0005-0000-0000-000090010000}"/>
    <cellStyle name="Moneda 10 6 4" xfId="418" xr:uid="{00000000-0005-0000-0000-000091010000}"/>
    <cellStyle name="Moneda 10 6 4 2" xfId="419" xr:uid="{00000000-0005-0000-0000-000092010000}"/>
    <cellStyle name="Moneda 10 6 5" xfId="420" xr:uid="{00000000-0005-0000-0000-000093010000}"/>
    <cellStyle name="Moneda 10 7" xfId="421" xr:uid="{00000000-0005-0000-0000-000094010000}"/>
    <cellStyle name="Moneda 10 7 2" xfId="422" xr:uid="{00000000-0005-0000-0000-000095010000}"/>
    <cellStyle name="Moneda 10 8" xfId="423" xr:uid="{00000000-0005-0000-0000-000096010000}"/>
    <cellStyle name="Moneda 10 8 2" xfId="424" xr:uid="{00000000-0005-0000-0000-000097010000}"/>
    <cellStyle name="Moneda 10 9" xfId="425" xr:uid="{00000000-0005-0000-0000-000098010000}"/>
    <cellStyle name="Moneda 10 9 2" xfId="426" xr:uid="{00000000-0005-0000-0000-000099010000}"/>
    <cellStyle name="Moneda 11" xfId="427" xr:uid="{00000000-0005-0000-0000-00009A010000}"/>
    <cellStyle name="Moneda 11 10" xfId="428" xr:uid="{00000000-0005-0000-0000-00009B010000}"/>
    <cellStyle name="Moneda 11 11" xfId="429" xr:uid="{00000000-0005-0000-0000-00009C010000}"/>
    <cellStyle name="Moneda 11 2" xfId="430" xr:uid="{00000000-0005-0000-0000-00009D010000}"/>
    <cellStyle name="Moneda 11 2 2" xfId="431" xr:uid="{00000000-0005-0000-0000-00009E010000}"/>
    <cellStyle name="Moneda 11 2 2 2" xfId="432" xr:uid="{00000000-0005-0000-0000-00009F010000}"/>
    <cellStyle name="Moneda 11 2 2 2 2" xfId="433" xr:uid="{00000000-0005-0000-0000-0000A0010000}"/>
    <cellStyle name="Moneda 11 2 2 2 2 2" xfId="434" xr:uid="{00000000-0005-0000-0000-0000A1010000}"/>
    <cellStyle name="Moneda 11 2 2 2 3" xfId="435" xr:uid="{00000000-0005-0000-0000-0000A2010000}"/>
    <cellStyle name="Moneda 11 2 2 2 3 2" xfId="436" xr:uid="{00000000-0005-0000-0000-0000A3010000}"/>
    <cellStyle name="Moneda 11 2 2 2 4" xfId="437" xr:uid="{00000000-0005-0000-0000-0000A4010000}"/>
    <cellStyle name="Moneda 11 2 2 2 4 2" xfId="438" xr:uid="{00000000-0005-0000-0000-0000A5010000}"/>
    <cellStyle name="Moneda 11 2 2 2 5" xfId="439" xr:uid="{00000000-0005-0000-0000-0000A6010000}"/>
    <cellStyle name="Moneda 11 2 2 3" xfId="440" xr:uid="{00000000-0005-0000-0000-0000A7010000}"/>
    <cellStyle name="Moneda 11 2 2 3 2" xfId="441" xr:uid="{00000000-0005-0000-0000-0000A8010000}"/>
    <cellStyle name="Moneda 11 2 2 4" xfId="442" xr:uid="{00000000-0005-0000-0000-0000A9010000}"/>
    <cellStyle name="Moneda 11 2 2 4 2" xfId="443" xr:uid="{00000000-0005-0000-0000-0000AA010000}"/>
    <cellStyle name="Moneda 11 2 2 5" xfId="444" xr:uid="{00000000-0005-0000-0000-0000AB010000}"/>
    <cellStyle name="Moneda 11 2 2 5 2" xfId="445" xr:uid="{00000000-0005-0000-0000-0000AC010000}"/>
    <cellStyle name="Moneda 11 2 2 6" xfId="446" xr:uid="{00000000-0005-0000-0000-0000AD010000}"/>
    <cellStyle name="Moneda 11 2 3" xfId="447" xr:uid="{00000000-0005-0000-0000-0000AE010000}"/>
    <cellStyle name="Moneda 11 2 3 2" xfId="448" xr:uid="{00000000-0005-0000-0000-0000AF010000}"/>
    <cellStyle name="Moneda 11 2 3 2 2" xfId="449" xr:uid="{00000000-0005-0000-0000-0000B0010000}"/>
    <cellStyle name="Moneda 11 2 3 3" xfId="450" xr:uid="{00000000-0005-0000-0000-0000B1010000}"/>
    <cellStyle name="Moneda 11 2 3 3 2" xfId="451" xr:uid="{00000000-0005-0000-0000-0000B2010000}"/>
    <cellStyle name="Moneda 11 2 3 4" xfId="452" xr:uid="{00000000-0005-0000-0000-0000B3010000}"/>
    <cellStyle name="Moneda 11 2 3 4 2" xfId="453" xr:uid="{00000000-0005-0000-0000-0000B4010000}"/>
    <cellStyle name="Moneda 11 2 3 5" xfId="454" xr:uid="{00000000-0005-0000-0000-0000B5010000}"/>
    <cellStyle name="Moneda 11 2 4" xfId="455" xr:uid="{00000000-0005-0000-0000-0000B6010000}"/>
    <cellStyle name="Moneda 11 2 4 2" xfId="456" xr:uid="{00000000-0005-0000-0000-0000B7010000}"/>
    <cellStyle name="Moneda 11 2 5" xfId="457" xr:uid="{00000000-0005-0000-0000-0000B8010000}"/>
    <cellStyle name="Moneda 11 2 5 2" xfId="458" xr:uid="{00000000-0005-0000-0000-0000B9010000}"/>
    <cellStyle name="Moneda 11 2 6" xfId="459" xr:uid="{00000000-0005-0000-0000-0000BA010000}"/>
    <cellStyle name="Moneda 11 2 6 2" xfId="460" xr:uid="{00000000-0005-0000-0000-0000BB010000}"/>
    <cellStyle name="Moneda 11 2 7" xfId="461" xr:uid="{00000000-0005-0000-0000-0000BC010000}"/>
    <cellStyle name="Moneda 11 2 8" xfId="462" xr:uid="{00000000-0005-0000-0000-0000BD010000}"/>
    <cellStyle name="Moneda 11 3" xfId="463" xr:uid="{00000000-0005-0000-0000-0000BE010000}"/>
    <cellStyle name="Moneda 11 3 2" xfId="464" xr:uid="{00000000-0005-0000-0000-0000BF010000}"/>
    <cellStyle name="Moneda 11 3 2 2" xfId="465" xr:uid="{00000000-0005-0000-0000-0000C0010000}"/>
    <cellStyle name="Moneda 11 3 2 2 2" xfId="466" xr:uid="{00000000-0005-0000-0000-0000C1010000}"/>
    <cellStyle name="Moneda 11 3 2 2 2 2" xfId="467" xr:uid="{00000000-0005-0000-0000-0000C2010000}"/>
    <cellStyle name="Moneda 11 3 2 2 3" xfId="468" xr:uid="{00000000-0005-0000-0000-0000C3010000}"/>
    <cellStyle name="Moneda 11 3 2 2 3 2" xfId="469" xr:uid="{00000000-0005-0000-0000-0000C4010000}"/>
    <cellStyle name="Moneda 11 3 2 2 4" xfId="470" xr:uid="{00000000-0005-0000-0000-0000C5010000}"/>
    <cellStyle name="Moneda 11 3 2 2 4 2" xfId="471" xr:uid="{00000000-0005-0000-0000-0000C6010000}"/>
    <cellStyle name="Moneda 11 3 2 2 5" xfId="472" xr:uid="{00000000-0005-0000-0000-0000C7010000}"/>
    <cellStyle name="Moneda 11 3 2 3" xfId="473" xr:uid="{00000000-0005-0000-0000-0000C8010000}"/>
    <cellStyle name="Moneda 11 3 2 3 2" xfId="474" xr:uid="{00000000-0005-0000-0000-0000C9010000}"/>
    <cellStyle name="Moneda 11 3 2 4" xfId="475" xr:uid="{00000000-0005-0000-0000-0000CA010000}"/>
    <cellStyle name="Moneda 11 3 2 4 2" xfId="476" xr:uid="{00000000-0005-0000-0000-0000CB010000}"/>
    <cellStyle name="Moneda 11 3 2 5" xfId="477" xr:uid="{00000000-0005-0000-0000-0000CC010000}"/>
    <cellStyle name="Moneda 11 3 2 5 2" xfId="478" xr:uid="{00000000-0005-0000-0000-0000CD010000}"/>
    <cellStyle name="Moneda 11 3 2 6" xfId="479" xr:uid="{00000000-0005-0000-0000-0000CE010000}"/>
    <cellStyle name="Moneda 11 3 3" xfId="480" xr:uid="{00000000-0005-0000-0000-0000CF010000}"/>
    <cellStyle name="Moneda 11 3 3 2" xfId="481" xr:uid="{00000000-0005-0000-0000-0000D0010000}"/>
    <cellStyle name="Moneda 11 3 3 2 2" xfId="482" xr:uid="{00000000-0005-0000-0000-0000D1010000}"/>
    <cellStyle name="Moneda 11 3 3 3" xfId="483" xr:uid="{00000000-0005-0000-0000-0000D2010000}"/>
    <cellStyle name="Moneda 11 3 3 3 2" xfId="484" xr:uid="{00000000-0005-0000-0000-0000D3010000}"/>
    <cellStyle name="Moneda 11 3 3 4" xfId="485" xr:uid="{00000000-0005-0000-0000-0000D4010000}"/>
    <cellStyle name="Moneda 11 3 3 4 2" xfId="486" xr:uid="{00000000-0005-0000-0000-0000D5010000}"/>
    <cellStyle name="Moneda 11 3 3 5" xfId="487" xr:uid="{00000000-0005-0000-0000-0000D6010000}"/>
    <cellStyle name="Moneda 11 3 4" xfId="488" xr:uid="{00000000-0005-0000-0000-0000D7010000}"/>
    <cellStyle name="Moneda 11 3 4 2" xfId="489" xr:uid="{00000000-0005-0000-0000-0000D8010000}"/>
    <cellStyle name="Moneda 11 3 5" xfId="490" xr:uid="{00000000-0005-0000-0000-0000D9010000}"/>
    <cellStyle name="Moneda 11 3 5 2" xfId="491" xr:uid="{00000000-0005-0000-0000-0000DA010000}"/>
    <cellStyle name="Moneda 11 3 6" xfId="492" xr:uid="{00000000-0005-0000-0000-0000DB010000}"/>
    <cellStyle name="Moneda 11 3 6 2" xfId="493" xr:uid="{00000000-0005-0000-0000-0000DC010000}"/>
    <cellStyle name="Moneda 11 3 7" xfId="494" xr:uid="{00000000-0005-0000-0000-0000DD010000}"/>
    <cellStyle name="Moneda 11 4" xfId="495" xr:uid="{00000000-0005-0000-0000-0000DE010000}"/>
    <cellStyle name="Moneda 11 4 2" xfId="496" xr:uid="{00000000-0005-0000-0000-0000DF010000}"/>
    <cellStyle name="Moneda 11 4 2 2" xfId="497" xr:uid="{00000000-0005-0000-0000-0000E0010000}"/>
    <cellStyle name="Moneda 11 4 2 2 2" xfId="498" xr:uid="{00000000-0005-0000-0000-0000E1010000}"/>
    <cellStyle name="Moneda 11 4 2 2 2 2" xfId="499" xr:uid="{00000000-0005-0000-0000-0000E2010000}"/>
    <cellStyle name="Moneda 11 4 2 2 3" xfId="500" xr:uid="{00000000-0005-0000-0000-0000E3010000}"/>
    <cellStyle name="Moneda 11 4 2 2 3 2" xfId="501" xr:uid="{00000000-0005-0000-0000-0000E4010000}"/>
    <cellStyle name="Moneda 11 4 2 2 4" xfId="502" xr:uid="{00000000-0005-0000-0000-0000E5010000}"/>
    <cellStyle name="Moneda 11 4 2 2 4 2" xfId="503" xr:uid="{00000000-0005-0000-0000-0000E6010000}"/>
    <cellStyle name="Moneda 11 4 2 2 5" xfId="504" xr:uid="{00000000-0005-0000-0000-0000E7010000}"/>
    <cellStyle name="Moneda 11 4 2 3" xfId="505" xr:uid="{00000000-0005-0000-0000-0000E8010000}"/>
    <cellStyle name="Moneda 11 4 2 3 2" xfId="506" xr:uid="{00000000-0005-0000-0000-0000E9010000}"/>
    <cellStyle name="Moneda 11 4 2 4" xfId="507" xr:uid="{00000000-0005-0000-0000-0000EA010000}"/>
    <cellStyle name="Moneda 11 4 2 4 2" xfId="508" xr:uid="{00000000-0005-0000-0000-0000EB010000}"/>
    <cellStyle name="Moneda 11 4 2 5" xfId="509" xr:uid="{00000000-0005-0000-0000-0000EC010000}"/>
    <cellStyle name="Moneda 11 4 2 5 2" xfId="510" xr:uid="{00000000-0005-0000-0000-0000ED010000}"/>
    <cellStyle name="Moneda 11 4 2 6" xfId="511" xr:uid="{00000000-0005-0000-0000-0000EE010000}"/>
    <cellStyle name="Moneda 11 4 3" xfId="512" xr:uid="{00000000-0005-0000-0000-0000EF010000}"/>
    <cellStyle name="Moneda 11 4 3 2" xfId="513" xr:uid="{00000000-0005-0000-0000-0000F0010000}"/>
    <cellStyle name="Moneda 11 4 3 2 2" xfId="514" xr:uid="{00000000-0005-0000-0000-0000F1010000}"/>
    <cellStyle name="Moneda 11 4 3 3" xfId="515" xr:uid="{00000000-0005-0000-0000-0000F2010000}"/>
    <cellStyle name="Moneda 11 4 3 3 2" xfId="516" xr:uid="{00000000-0005-0000-0000-0000F3010000}"/>
    <cellStyle name="Moneda 11 4 3 4" xfId="517" xr:uid="{00000000-0005-0000-0000-0000F4010000}"/>
    <cellStyle name="Moneda 11 4 3 4 2" xfId="518" xr:uid="{00000000-0005-0000-0000-0000F5010000}"/>
    <cellStyle name="Moneda 11 4 3 5" xfId="519" xr:uid="{00000000-0005-0000-0000-0000F6010000}"/>
    <cellStyle name="Moneda 11 4 4" xfId="520" xr:uid="{00000000-0005-0000-0000-0000F7010000}"/>
    <cellStyle name="Moneda 11 4 4 2" xfId="521" xr:uid="{00000000-0005-0000-0000-0000F8010000}"/>
    <cellStyle name="Moneda 11 4 5" xfId="522" xr:uid="{00000000-0005-0000-0000-0000F9010000}"/>
    <cellStyle name="Moneda 11 4 5 2" xfId="523" xr:uid="{00000000-0005-0000-0000-0000FA010000}"/>
    <cellStyle name="Moneda 11 4 6" xfId="524" xr:uid="{00000000-0005-0000-0000-0000FB010000}"/>
    <cellStyle name="Moneda 11 4 6 2" xfId="525" xr:uid="{00000000-0005-0000-0000-0000FC010000}"/>
    <cellStyle name="Moneda 11 4 7" xfId="526" xr:uid="{00000000-0005-0000-0000-0000FD010000}"/>
    <cellStyle name="Moneda 11 5" xfId="527" xr:uid="{00000000-0005-0000-0000-0000FE010000}"/>
    <cellStyle name="Moneda 11 5 2" xfId="528" xr:uid="{00000000-0005-0000-0000-0000FF010000}"/>
    <cellStyle name="Moneda 11 5 2 2" xfId="529" xr:uid="{00000000-0005-0000-0000-000000020000}"/>
    <cellStyle name="Moneda 11 5 2 2 2" xfId="530" xr:uid="{00000000-0005-0000-0000-000001020000}"/>
    <cellStyle name="Moneda 11 5 2 3" xfId="531" xr:uid="{00000000-0005-0000-0000-000002020000}"/>
    <cellStyle name="Moneda 11 5 2 3 2" xfId="532" xr:uid="{00000000-0005-0000-0000-000003020000}"/>
    <cellStyle name="Moneda 11 5 2 4" xfId="533" xr:uid="{00000000-0005-0000-0000-000004020000}"/>
    <cellStyle name="Moneda 11 5 2 4 2" xfId="534" xr:uid="{00000000-0005-0000-0000-000005020000}"/>
    <cellStyle name="Moneda 11 5 2 5" xfId="535" xr:uid="{00000000-0005-0000-0000-000006020000}"/>
    <cellStyle name="Moneda 11 5 3" xfId="536" xr:uid="{00000000-0005-0000-0000-000007020000}"/>
    <cellStyle name="Moneda 11 5 3 2" xfId="537" xr:uid="{00000000-0005-0000-0000-000008020000}"/>
    <cellStyle name="Moneda 11 5 4" xfId="538" xr:uid="{00000000-0005-0000-0000-000009020000}"/>
    <cellStyle name="Moneda 11 5 4 2" xfId="539" xr:uid="{00000000-0005-0000-0000-00000A020000}"/>
    <cellStyle name="Moneda 11 5 5" xfId="540" xr:uid="{00000000-0005-0000-0000-00000B020000}"/>
    <cellStyle name="Moneda 11 5 5 2" xfId="541" xr:uid="{00000000-0005-0000-0000-00000C020000}"/>
    <cellStyle name="Moneda 11 5 6" xfId="542" xr:uid="{00000000-0005-0000-0000-00000D020000}"/>
    <cellStyle name="Moneda 11 6" xfId="543" xr:uid="{00000000-0005-0000-0000-00000E020000}"/>
    <cellStyle name="Moneda 11 6 2" xfId="544" xr:uid="{00000000-0005-0000-0000-00000F020000}"/>
    <cellStyle name="Moneda 11 6 2 2" xfId="545" xr:uid="{00000000-0005-0000-0000-000010020000}"/>
    <cellStyle name="Moneda 11 6 3" xfId="546" xr:uid="{00000000-0005-0000-0000-000011020000}"/>
    <cellStyle name="Moneda 11 6 3 2" xfId="547" xr:uid="{00000000-0005-0000-0000-000012020000}"/>
    <cellStyle name="Moneda 11 6 4" xfId="548" xr:uid="{00000000-0005-0000-0000-000013020000}"/>
    <cellStyle name="Moneda 11 6 4 2" xfId="549" xr:uid="{00000000-0005-0000-0000-000014020000}"/>
    <cellStyle name="Moneda 11 6 5" xfId="550" xr:uid="{00000000-0005-0000-0000-000015020000}"/>
    <cellStyle name="Moneda 11 7" xfId="551" xr:uid="{00000000-0005-0000-0000-000016020000}"/>
    <cellStyle name="Moneda 11 7 2" xfId="552" xr:uid="{00000000-0005-0000-0000-000017020000}"/>
    <cellStyle name="Moneda 11 8" xfId="553" xr:uid="{00000000-0005-0000-0000-000018020000}"/>
    <cellStyle name="Moneda 11 8 2" xfId="554" xr:uid="{00000000-0005-0000-0000-000019020000}"/>
    <cellStyle name="Moneda 11 9" xfId="555" xr:uid="{00000000-0005-0000-0000-00001A020000}"/>
    <cellStyle name="Moneda 11 9 2" xfId="556" xr:uid="{00000000-0005-0000-0000-00001B020000}"/>
    <cellStyle name="Moneda 12" xfId="557" xr:uid="{00000000-0005-0000-0000-00001C020000}"/>
    <cellStyle name="Moneda 12 2" xfId="558" xr:uid="{00000000-0005-0000-0000-00001D020000}"/>
    <cellStyle name="Moneda 12 2 2" xfId="559" xr:uid="{00000000-0005-0000-0000-00001E020000}"/>
    <cellStyle name="Moneda 12 2 2 2" xfId="560" xr:uid="{00000000-0005-0000-0000-00001F020000}"/>
    <cellStyle name="Moneda 12 2 2 2 2" xfId="561" xr:uid="{00000000-0005-0000-0000-000020020000}"/>
    <cellStyle name="Moneda 12 2 2 2 2 2" xfId="562" xr:uid="{00000000-0005-0000-0000-000021020000}"/>
    <cellStyle name="Moneda 12 2 2 2 3" xfId="563" xr:uid="{00000000-0005-0000-0000-000022020000}"/>
    <cellStyle name="Moneda 12 2 2 2 3 2" xfId="564" xr:uid="{00000000-0005-0000-0000-000023020000}"/>
    <cellStyle name="Moneda 12 2 2 2 4" xfId="565" xr:uid="{00000000-0005-0000-0000-000024020000}"/>
    <cellStyle name="Moneda 12 2 2 2 4 2" xfId="566" xr:uid="{00000000-0005-0000-0000-000025020000}"/>
    <cellStyle name="Moneda 12 2 2 2 5" xfId="567" xr:uid="{00000000-0005-0000-0000-000026020000}"/>
    <cellStyle name="Moneda 12 2 2 3" xfId="568" xr:uid="{00000000-0005-0000-0000-000027020000}"/>
    <cellStyle name="Moneda 12 2 2 3 2" xfId="569" xr:uid="{00000000-0005-0000-0000-000028020000}"/>
    <cellStyle name="Moneda 12 2 2 4" xfId="570" xr:uid="{00000000-0005-0000-0000-000029020000}"/>
    <cellStyle name="Moneda 12 2 2 4 2" xfId="571" xr:uid="{00000000-0005-0000-0000-00002A020000}"/>
    <cellStyle name="Moneda 12 2 2 5" xfId="572" xr:uid="{00000000-0005-0000-0000-00002B020000}"/>
    <cellStyle name="Moneda 12 2 2 5 2" xfId="573" xr:uid="{00000000-0005-0000-0000-00002C020000}"/>
    <cellStyle name="Moneda 12 2 2 6" xfId="574" xr:uid="{00000000-0005-0000-0000-00002D020000}"/>
    <cellStyle name="Moneda 12 2 3" xfId="575" xr:uid="{00000000-0005-0000-0000-00002E020000}"/>
    <cellStyle name="Moneda 12 2 3 2" xfId="576" xr:uid="{00000000-0005-0000-0000-00002F020000}"/>
    <cellStyle name="Moneda 12 2 3 2 2" xfId="577" xr:uid="{00000000-0005-0000-0000-000030020000}"/>
    <cellStyle name="Moneda 12 2 3 3" xfId="578" xr:uid="{00000000-0005-0000-0000-000031020000}"/>
    <cellStyle name="Moneda 12 2 3 3 2" xfId="579" xr:uid="{00000000-0005-0000-0000-000032020000}"/>
    <cellStyle name="Moneda 12 2 3 4" xfId="580" xr:uid="{00000000-0005-0000-0000-000033020000}"/>
    <cellStyle name="Moneda 12 2 3 4 2" xfId="581" xr:uid="{00000000-0005-0000-0000-000034020000}"/>
    <cellStyle name="Moneda 12 2 3 5" xfId="582" xr:uid="{00000000-0005-0000-0000-000035020000}"/>
    <cellStyle name="Moneda 12 2 4" xfId="583" xr:uid="{00000000-0005-0000-0000-000036020000}"/>
    <cellStyle name="Moneda 12 2 4 2" xfId="584" xr:uid="{00000000-0005-0000-0000-000037020000}"/>
    <cellStyle name="Moneda 12 2 5" xfId="585" xr:uid="{00000000-0005-0000-0000-000038020000}"/>
    <cellStyle name="Moneda 12 2 5 2" xfId="586" xr:uid="{00000000-0005-0000-0000-000039020000}"/>
    <cellStyle name="Moneda 12 2 6" xfId="587" xr:uid="{00000000-0005-0000-0000-00003A020000}"/>
    <cellStyle name="Moneda 12 2 6 2" xfId="588" xr:uid="{00000000-0005-0000-0000-00003B020000}"/>
    <cellStyle name="Moneda 12 2 7" xfId="589" xr:uid="{00000000-0005-0000-0000-00003C020000}"/>
    <cellStyle name="Moneda 12 2 8" xfId="590" xr:uid="{00000000-0005-0000-0000-00003D020000}"/>
    <cellStyle name="Moneda 12 3" xfId="591" xr:uid="{00000000-0005-0000-0000-00003E020000}"/>
    <cellStyle name="Moneda 12 3 2" xfId="592" xr:uid="{00000000-0005-0000-0000-00003F020000}"/>
    <cellStyle name="Moneda 12 3 2 2" xfId="593" xr:uid="{00000000-0005-0000-0000-000040020000}"/>
    <cellStyle name="Moneda 12 3 2 2 2" xfId="594" xr:uid="{00000000-0005-0000-0000-000041020000}"/>
    <cellStyle name="Moneda 12 3 2 3" xfId="595" xr:uid="{00000000-0005-0000-0000-000042020000}"/>
    <cellStyle name="Moneda 12 3 2 3 2" xfId="596" xr:uid="{00000000-0005-0000-0000-000043020000}"/>
    <cellStyle name="Moneda 12 3 2 4" xfId="597" xr:uid="{00000000-0005-0000-0000-000044020000}"/>
    <cellStyle name="Moneda 12 3 2 4 2" xfId="598" xr:uid="{00000000-0005-0000-0000-000045020000}"/>
    <cellStyle name="Moneda 12 3 2 5" xfId="599" xr:uid="{00000000-0005-0000-0000-000046020000}"/>
    <cellStyle name="Moneda 12 3 3" xfId="600" xr:uid="{00000000-0005-0000-0000-000047020000}"/>
    <cellStyle name="Moneda 12 3 3 2" xfId="601" xr:uid="{00000000-0005-0000-0000-000048020000}"/>
    <cellStyle name="Moneda 12 3 4" xfId="602" xr:uid="{00000000-0005-0000-0000-000049020000}"/>
    <cellStyle name="Moneda 12 3 4 2" xfId="603" xr:uid="{00000000-0005-0000-0000-00004A020000}"/>
    <cellStyle name="Moneda 12 3 5" xfId="604" xr:uid="{00000000-0005-0000-0000-00004B020000}"/>
    <cellStyle name="Moneda 12 3 5 2" xfId="605" xr:uid="{00000000-0005-0000-0000-00004C020000}"/>
    <cellStyle name="Moneda 12 3 6" xfId="606" xr:uid="{00000000-0005-0000-0000-00004D020000}"/>
    <cellStyle name="Moneda 12 4" xfId="607" xr:uid="{00000000-0005-0000-0000-00004E020000}"/>
    <cellStyle name="Moneda 12 4 2" xfId="608" xr:uid="{00000000-0005-0000-0000-00004F020000}"/>
    <cellStyle name="Moneda 12 4 2 2" xfId="609" xr:uid="{00000000-0005-0000-0000-000050020000}"/>
    <cellStyle name="Moneda 12 4 3" xfId="610" xr:uid="{00000000-0005-0000-0000-000051020000}"/>
    <cellStyle name="Moneda 12 4 3 2" xfId="611" xr:uid="{00000000-0005-0000-0000-000052020000}"/>
    <cellStyle name="Moneda 12 4 4" xfId="612" xr:uid="{00000000-0005-0000-0000-000053020000}"/>
    <cellStyle name="Moneda 12 4 4 2" xfId="613" xr:uid="{00000000-0005-0000-0000-000054020000}"/>
    <cellStyle name="Moneda 12 4 5" xfId="614" xr:uid="{00000000-0005-0000-0000-000055020000}"/>
    <cellStyle name="Moneda 12 5" xfId="615" xr:uid="{00000000-0005-0000-0000-000056020000}"/>
    <cellStyle name="Moneda 12 5 2" xfId="616" xr:uid="{00000000-0005-0000-0000-000057020000}"/>
    <cellStyle name="Moneda 12 6" xfId="617" xr:uid="{00000000-0005-0000-0000-000058020000}"/>
    <cellStyle name="Moneda 12 6 2" xfId="618" xr:uid="{00000000-0005-0000-0000-000059020000}"/>
    <cellStyle name="Moneda 12 7" xfId="619" xr:uid="{00000000-0005-0000-0000-00005A020000}"/>
    <cellStyle name="Moneda 12 7 2" xfId="620" xr:uid="{00000000-0005-0000-0000-00005B020000}"/>
    <cellStyle name="Moneda 12 8" xfId="621" xr:uid="{00000000-0005-0000-0000-00005C020000}"/>
    <cellStyle name="Moneda 12 9" xfId="622" xr:uid="{00000000-0005-0000-0000-00005D020000}"/>
    <cellStyle name="Moneda 13" xfId="623" xr:uid="{00000000-0005-0000-0000-00005E020000}"/>
    <cellStyle name="Moneda 13 10" xfId="624" xr:uid="{00000000-0005-0000-0000-00005F020000}"/>
    <cellStyle name="Moneda 13 2" xfId="625" xr:uid="{00000000-0005-0000-0000-000060020000}"/>
    <cellStyle name="Moneda 13 2 2" xfId="626" xr:uid="{00000000-0005-0000-0000-000061020000}"/>
    <cellStyle name="Moneda 13 2 2 2" xfId="627" xr:uid="{00000000-0005-0000-0000-000062020000}"/>
    <cellStyle name="Moneda 13 2 2 2 2" xfId="628" xr:uid="{00000000-0005-0000-0000-000063020000}"/>
    <cellStyle name="Moneda 13 2 2 2 2 2" xfId="629" xr:uid="{00000000-0005-0000-0000-000064020000}"/>
    <cellStyle name="Moneda 13 2 2 2 3" xfId="630" xr:uid="{00000000-0005-0000-0000-000065020000}"/>
    <cellStyle name="Moneda 13 2 2 2 3 2" xfId="631" xr:uid="{00000000-0005-0000-0000-000066020000}"/>
    <cellStyle name="Moneda 13 2 2 2 4" xfId="632" xr:uid="{00000000-0005-0000-0000-000067020000}"/>
    <cellStyle name="Moneda 13 2 2 2 4 2" xfId="633" xr:uid="{00000000-0005-0000-0000-000068020000}"/>
    <cellStyle name="Moneda 13 2 2 2 5" xfId="634" xr:uid="{00000000-0005-0000-0000-000069020000}"/>
    <cellStyle name="Moneda 13 2 2 3" xfId="635" xr:uid="{00000000-0005-0000-0000-00006A020000}"/>
    <cellStyle name="Moneda 13 2 2 3 2" xfId="636" xr:uid="{00000000-0005-0000-0000-00006B020000}"/>
    <cellStyle name="Moneda 13 2 2 4" xfId="637" xr:uid="{00000000-0005-0000-0000-00006C020000}"/>
    <cellStyle name="Moneda 13 2 2 4 2" xfId="638" xr:uid="{00000000-0005-0000-0000-00006D020000}"/>
    <cellStyle name="Moneda 13 2 2 5" xfId="639" xr:uid="{00000000-0005-0000-0000-00006E020000}"/>
    <cellStyle name="Moneda 13 2 2 5 2" xfId="640" xr:uid="{00000000-0005-0000-0000-00006F020000}"/>
    <cellStyle name="Moneda 13 2 2 6" xfId="641" xr:uid="{00000000-0005-0000-0000-000070020000}"/>
    <cellStyle name="Moneda 13 2 3" xfId="642" xr:uid="{00000000-0005-0000-0000-000071020000}"/>
    <cellStyle name="Moneda 13 2 3 2" xfId="643" xr:uid="{00000000-0005-0000-0000-000072020000}"/>
    <cellStyle name="Moneda 13 2 3 2 2" xfId="644" xr:uid="{00000000-0005-0000-0000-000073020000}"/>
    <cellStyle name="Moneda 13 2 3 3" xfId="645" xr:uid="{00000000-0005-0000-0000-000074020000}"/>
    <cellStyle name="Moneda 13 2 3 3 2" xfId="646" xr:uid="{00000000-0005-0000-0000-000075020000}"/>
    <cellStyle name="Moneda 13 2 3 4" xfId="647" xr:uid="{00000000-0005-0000-0000-000076020000}"/>
    <cellStyle name="Moneda 13 2 3 4 2" xfId="648" xr:uid="{00000000-0005-0000-0000-000077020000}"/>
    <cellStyle name="Moneda 13 2 3 5" xfId="649" xr:uid="{00000000-0005-0000-0000-000078020000}"/>
    <cellStyle name="Moneda 13 2 4" xfId="650" xr:uid="{00000000-0005-0000-0000-000079020000}"/>
    <cellStyle name="Moneda 13 2 4 2" xfId="651" xr:uid="{00000000-0005-0000-0000-00007A020000}"/>
    <cellStyle name="Moneda 13 2 5" xfId="652" xr:uid="{00000000-0005-0000-0000-00007B020000}"/>
    <cellStyle name="Moneda 13 2 5 2" xfId="653" xr:uid="{00000000-0005-0000-0000-00007C020000}"/>
    <cellStyle name="Moneda 13 2 6" xfId="654" xr:uid="{00000000-0005-0000-0000-00007D020000}"/>
    <cellStyle name="Moneda 13 2 6 2" xfId="655" xr:uid="{00000000-0005-0000-0000-00007E020000}"/>
    <cellStyle name="Moneda 13 2 7" xfId="656" xr:uid="{00000000-0005-0000-0000-00007F020000}"/>
    <cellStyle name="Moneda 13 2 8" xfId="657" xr:uid="{00000000-0005-0000-0000-000080020000}"/>
    <cellStyle name="Moneda 13 3" xfId="658" xr:uid="{00000000-0005-0000-0000-000081020000}"/>
    <cellStyle name="Moneda 13 3 2" xfId="659" xr:uid="{00000000-0005-0000-0000-000082020000}"/>
    <cellStyle name="Moneda 13 3 2 2" xfId="660" xr:uid="{00000000-0005-0000-0000-000083020000}"/>
    <cellStyle name="Moneda 13 3 2 2 2" xfId="661" xr:uid="{00000000-0005-0000-0000-000084020000}"/>
    <cellStyle name="Moneda 13 3 2 3" xfId="662" xr:uid="{00000000-0005-0000-0000-000085020000}"/>
    <cellStyle name="Moneda 13 3 2 3 2" xfId="663" xr:uid="{00000000-0005-0000-0000-000086020000}"/>
    <cellStyle name="Moneda 13 3 2 4" xfId="664" xr:uid="{00000000-0005-0000-0000-000087020000}"/>
    <cellStyle name="Moneda 13 3 2 4 2" xfId="665" xr:uid="{00000000-0005-0000-0000-000088020000}"/>
    <cellStyle name="Moneda 13 3 2 5" xfId="666" xr:uid="{00000000-0005-0000-0000-000089020000}"/>
    <cellStyle name="Moneda 13 3 3" xfId="667" xr:uid="{00000000-0005-0000-0000-00008A020000}"/>
    <cellStyle name="Moneda 13 3 3 2" xfId="668" xr:uid="{00000000-0005-0000-0000-00008B020000}"/>
    <cellStyle name="Moneda 13 3 4" xfId="669" xr:uid="{00000000-0005-0000-0000-00008C020000}"/>
    <cellStyle name="Moneda 13 3 4 2" xfId="670" xr:uid="{00000000-0005-0000-0000-00008D020000}"/>
    <cellStyle name="Moneda 13 3 5" xfId="671" xr:uid="{00000000-0005-0000-0000-00008E020000}"/>
    <cellStyle name="Moneda 13 3 5 2" xfId="672" xr:uid="{00000000-0005-0000-0000-00008F020000}"/>
    <cellStyle name="Moneda 13 3 6" xfId="673" xr:uid="{00000000-0005-0000-0000-000090020000}"/>
    <cellStyle name="Moneda 13 4" xfId="674" xr:uid="{00000000-0005-0000-0000-000091020000}"/>
    <cellStyle name="Moneda 13 4 2" xfId="675" xr:uid="{00000000-0005-0000-0000-000092020000}"/>
    <cellStyle name="Moneda 13 4 2 2" xfId="676" xr:uid="{00000000-0005-0000-0000-000093020000}"/>
    <cellStyle name="Moneda 13 4 3" xfId="677" xr:uid="{00000000-0005-0000-0000-000094020000}"/>
    <cellStyle name="Moneda 13 4 3 2" xfId="678" xr:uid="{00000000-0005-0000-0000-000095020000}"/>
    <cellStyle name="Moneda 13 4 4" xfId="679" xr:uid="{00000000-0005-0000-0000-000096020000}"/>
    <cellStyle name="Moneda 13 4 4 2" xfId="680" xr:uid="{00000000-0005-0000-0000-000097020000}"/>
    <cellStyle name="Moneda 13 4 5" xfId="681" xr:uid="{00000000-0005-0000-0000-000098020000}"/>
    <cellStyle name="Moneda 13 5" xfId="682" xr:uid="{00000000-0005-0000-0000-000099020000}"/>
    <cellStyle name="Moneda 13 5 2" xfId="683" xr:uid="{00000000-0005-0000-0000-00009A020000}"/>
    <cellStyle name="Moneda 13 5 2 2" xfId="684" xr:uid="{00000000-0005-0000-0000-00009B020000}"/>
    <cellStyle name="Moneda 13 5 3" xfId="685" xr:uid="{00000000-0005-0000-0000-00009C020000}"/>
    <cellStyle name="Moneda 13 5 3 2" xfId="686" xr:uid="{00000000-0005-0000-0000-00009D020000}"/>
    <cellStyle name="Moneda 13 5 4" xfId="687" xr:uid="{00000000-0005-0000-0000-00009E020000}"/>
    <cellStyle name="Moneda 13 5 4 2" xfId="688" xr:uid="{00000000-0005-0000-0000-00009F020000}"/>
    <cellStyle name="Moneda 13 5 5" xfId="689" xr:uid="{00000000-0005-0000-0000-0000A0020000}"/>
    <cellStyle name="Moneda 13 6" xfId="690" xr:uid="{00000000-0005-0000-0000-0000A1020000}"/>
    <cellStyle name="Moneda 13 6 2" xfId="691" xr:uid="{00000000-0005-0000-0000-0000A2020000}"/>
    <cellStyle name="Moneda 13 7" xfId="692" xr:uid="{00000000-0005-0000-0000-0000A3020000}"/>
    <cellStyle name="Moneda 13 7 2" xfId="693" xr:uid="{00000000-0005-0000-0000-0000A4020000}"/>
    <cellStyle name="Moneda 13 8" xfId="694" xr:uid="{00000000-0005-0000-0000-0000A5020000}"/>
    <cellStyle name="Moneda 13 8 2" xfId="695" xr:uid="{00000000-0005-0000-0000-0000A6020000}"/>
    <cellStyle name="Moneda 13 9" xfId="696" xr:uid="{00000000-0005-0000-0000-0000A7020000}"/>
    <cellStyle name="Moneda 14" xfId="697" xr:uid="{00000000-0005-0000-0000-0000A8020000}"/>
    <cellStyle name="Moneda 14 2" xfId="698" xr:uid="{00000000-0005-0000-0000-0000A9020000}"/>
    <cellStyle name="Moneda 14 2 2" xfId="699" xr:uid="{00000000-0005-0000-0000-0000AA020000}"/>
    <cellStyle name="Moneda 14 2 2 2" xfId="700" xr:uid="{00000000-0005-0000-0000-0000AB020000}"/>
    <cellStyle name="Moneda 14 2 2 2 2" xfId="701" xr:uid="{00000000-0005-0000-0000-0000AC020000}"/>
    <cellStyle name="Moneda 14 2 2 2 2 2" xfId="702" xr:uid="{00000000-0005-0000-0000-0000AD020000}"/>
    <cellStyle name="Moneda 14 2 2 2 3" xfId="703" xr:uid="{00000000-0005-0000-0000-0000AE020000}"/>
    <cellStyle name="Moneda 14 2 2 2 3 2" xfId="704" xr:uid="{00000000-0005-0000-0000-0000AF020000}"/>
    <cellStyle name="Moneda 14 2 2 2 4" xfId="705" xr:uid="{00000000-0005-0000-0000-0000B0020000}"/>
    <cellStyle name="Moneda 14 2 2 2 4 2" xfId="706" xr:uid="{00000000-0005-0000-0000-0000B1020000}"/>
    <cellStyle name="Moneda 14 2 2 2 5" xfId="707" xr:uid="{00000000-0005-0000-0000-0000B2020000}"/>
    <cellStyle name="Moneda 14 2 2 3" xfId="708" xr:uid="{00000000-0005-0000-0000-0000B3020000}"/>
    <cellStyle name="Moneda 14 2 2 3 2" xfId="709" xr:uid="{00000000-0005-0000-0000-0000B4020000}"/>
    <cellStyle name="Moneda 14 2 2 4" xfId="710" xr:uid="{00000000-0005-0000-0000-0000B5020000}"/>
    <cellStyle name="Moneda 14 2 2 4 2" xfId="711" xr:uid="{00000000-0005-0000-0000-0000B6020000}"/>
    <cellStyle name="Moneda 14 2 2 5" xfId="712" xr:uid="{00000000-0005-0000-0000-0000B7020000}"/>
    <cellStyle name="Moneda 14 2 2 5 2" xfId="713" xr:uid="{00000000-0005-0000-0000-0000B8020000}"/>
    <cellStyle name="Moneda 14 2 2 6" xfId="714" xr:uid="{00000000-0005-0000-0000-0000B9020000}"/>
    <cellStyle name="Moneda 14 2 3" xfId="715" xr:uid="{00000000-0005-0000-0000-0000BA020000}"/>
    <cellStyle name="Moneda 14 2 3 2" xfId="716" xr:uid="{00000000-0005-0000-0000-0000BB020000}"/>
    <cellStyle name="Moneda 14 2 3 2 2" xfId="717" xr:uid="{00000000-0005-0000-0000-0000BC020000}"/>
    <cellStyle name="Moneda 14 2 3 3" xfId="718" xr:uid="{00000000-0005-0000-0000-0000BD020000}"/>
    <cellStyle name="Moneda 14 2 3 3 2" xfId="719" xr:uid="{00000000-0005-0000-0000-0000BE020000}"/>
    <cellStyle name="Moneda 14 2 3 4" xfId="720" xr:uid="{00000000-0005-0000-0000-0000BF020000}"/>
    <cellStyle name="Moneda 14 2 3 4 2" xfId="721" xr:uid="{00000000-0005-0000-0000-0000C0020000}"/>
    <cellStyle name="Moneda 14 2 3 5" xfId="722" xr:uid="{00000000-0005-0000-0000-0000C1020000}"/>
    <cellStyle name="Moneda 14 2 4" xfId="723" xr:uid="{00000000-0005-0000-0000-0000C2020000}"/>
    <cellStyle name="Moneda 14 2 4 2" xfId="724" xr:uid="{00000000-0005-0000-0000-0000C3020000}"/>
    <cellStyle name="Moneda 14 2 5" xfId="725" xr:uid="{00000000-0005-0000-0000-0000C4020000}"/>
    <cellStyle name="Moneda 14 2 5 2" xfId="726" xr:uid="{00000000-0005-0000-0000-0000C5020000}"/>
    <cellStyle name="Moneda 14 2 6" xfId="727" xr:uid="{00000000-0005-0000-0000-0000C6020000}"/>
    <cellStyle name="Moneda 14 2 6 2" xfId="728" xr:uid="{00000000-0005-0000-0000-0000C7020000}"/>
    <cellStyle name="Moneda 14 2 7" xfId="729" xr:uid="{00000000-0005-0000-0000-0000C8020000}"/>
    <cellStyle name="Moneda 14 2 8" xfId="730" xr:uid="{00000000-0005-0000-0000-0000C9020000}"/>
    <cellStyle name="Moneda 14 3" xfId="731" xr:uid="{00000000-0005-0000-0000-0000CA020000}"/>
    <cellStyle name="Moneda 14 3 2" xfId="732" xr:uid="{00000000-0005-0000-0000-0000CB020000}"/>
    <cellStyle name="Moneda 14 3 2 2" xfId="733" xr:uid="{00000000-0005-0000-0000-0000CC020000}"/>
    <cellStyle name="Moneda 14 3 2 2 2" xfId="734" xr:uid="{00000000-0005-0000-0000-0000CD020000}"/>
    <cellStyle name="Moneda 14 3 2 3" xfId="735" xr:uid="{00000000-0005-0000-0000-0000CE020000}"/>
    <cellStyle name="Moneda 14 3 2 3 2" xfId="736" xr:uid="{00000000-0005-0000-0000-0000CF020000}"/>
    <cellStyle name="Moneda 14 3 2 4" xfId="737" xr:uid="{00000000-0005-0000-0000-0000D0020000}"/>
    <cellStyle name="Moneda 14 3 2 4 2" xfId="738" xr:uid="{00000000-0005-0000-0000-0000D1020000}"/>
    <cellStyle name="Moneda 14 3 2 5" xfId="739" xr:uid="{00000000-0005-0000-0000-0000D2020000}"/>
    <cellStyle name="Moneda 14 3 3" xfId="740" xr:uid="{00000000-0005-0000-0000-0000D3020000}"/>
    <cellStyle name="Moneda 14 3 3 2" xfId="741" xr:uid="{00000000-0005-0000-0000-0000D4020000}"/>
    <cellStyle name="Moneda 14 3 4" xfId="742" xr:uid="{00000000-0005-0000-0000-0000D5020000}"/>
    <cellStyle name="Moneda 14 3 4 2" xfId="743" xr:uid="{00000000-0005-0000-0000-0000D6020000}"/>
    <cellStyle name="Moneda 14 3 5" xfId="744" xr:uid="{00000000-0005-0000-0000-0000D7020000}"/>
    <cellStyle name="Moneda 14 3 5 2" xfId="745" xr:uid="{00000000-0005-0000-0000-0000D8020000}"/>
    <cellStyle name="Moneda 14 3 6" xfId="746" xr:uid="{00000000-0005-0000-0000-0000D9020000}"/>
    <cellStyle name="Moneda 14 4" xfId="747" xr:uid="{00000000-0005-0000-0000-0000DA020000}"/>
    <cellStyle name="Moneda 14 4 2" xfId="748" xr:uid="{00000000-0005-0000-0000-0000DB020000}"/>
    <cellStyle name="Moneda 14 4 2 2" xfId="749" xr:uid="{00000000-0005-0000-0000-0000DC020000}"/>
    <cellStyle name="Moneda 14 4 3" xfId="750" xr:uid="{00000000-0005-0000-0000-0000DD020000}"/>
    <cellStyle name="Moneda 14 4 3 2" xfId="751" xr:uid="{00000000-0005-0000-0000-0000DE020000}"/>
    <cellStyle name="Moneda 14 4 4" xfId="752" xr:uid="{00000000-0005-0000-0000-0000DF020000}"/>
    <cellStyle name="Moneda 14 4 4 2" xfId="753" xr:uid="{00000000-0005-0000-0000-0000E0020000}"/>
    <cellStyle name="Moneda 14 4 5" xfId="754" xr:uid="{00000000-0005-0000-0000-0000E1020000}"/>
    <cellStyle name="Moneda 14 5" xfId="755" xr:uid="{00000000-0005-0000-0000-0000E2020000}"/>
    <cellStyle name="Moneda 14 5 2" xfId="756" xr:uid="{00000000-0005-0000-0000-0000E3020000}"/>
    <cellStyle name="Moneda 14 6" xfId="757" xr:uid="{00000000-0005-0000-0000-0000E4020000}"/>
    <cellStyle name="Moneda 14 6 2" xfId="758" xr:uid="{00000000-0005-0000-0000-0000E5020000}"/>
    <cellStyle name="Moneda 14 7" xfId="759" xr:uid="{00000000-0005-0000-0000-0000E6020000}"/>
    <cellStyle name="Moneda 14 7 2" xfId="760" xr:uid="{00000000-0005-0000-0000-0000E7020000}"/>
    <cellStyle name="Moneda 14 8" xfId="761" xr:uid="{00000000-0005-0000-0000-0000E8020000}"/>
    <cellStyle name="Moneda 14 9" xfId="762" xr:uid="{00000000-0005-0000-0000-0000E9020000}"/>
    <cellStyle name="Moneda 15" xfId="763" xr:uid="{00000000-0005-0000-0000-0000EA020000}"/>
    <cellStyle name="Moneda 15 2" xfId="764" xr:uid="{00000000-0005-0000-0000-0000EB020000}"/>
    <cellStyle name="Moneda 15 2 2" xfId="765" xr:uid="{00000000-0005-0000-0000-0000EC020000}"/>
    <cellStyle name="Moneda 15 2 2 2" xfId="766" xr:uid="{00000000-0005-0000-0000-0000ED020000}"/>
    <cellStyle name="Moneda 15 2 2 2 2" xfId="767" xr:uid="{00000000-0005-0000-0000-0000EE020000}"/>
    <cellStyle name="Moneda 15 2 2 2 2 2" xfId="768" xr:uid="{00000000-0005-0000-0000-0000EF020000}"/>
    <cellStyle name="Moneda 15 2 2 2 3" xfId="769" xr:uid="{00000000-0005-0000-0000-0000F0020000}"/>
    <cellStyle name="Moneda 15 2 2 2 3 2" xfId="770" xr:uid="{00000000-0005-0000-0000-0000F1020000}"/>
    <cellStyle name="Moneda 15 2 2 2 4" xfId="771" xr:uid="{00000000-0005-0000-0000-0000F2020000}"/>
    <cellStyle name="Moneda 15 2 2 2 4 2" xfId="772" xr:uid="{00000000-0005-0000-0000-0000F3020000}"/>
    <cellStyle name="Moneda 15 2 2 2 5" xfId="773" xr:uid="{00000000-0005-0000-0000-0000F4020000}"/>
    <cellStyle name="Moneda 15 2 2 3" xfId="774" xr:uid="{00000000-0005-0000-0000-0000F5020000}"/>
    <cellStyle name="Moneda 15 2 2 3 2" xfId="775" xr:uid="{00000000-0005-0000-0000-0000F6020000}"/>
    <cellStyle name="Moneda 15 2 2 4" xfId="776" xr:uid="{00000000-0005-0000-0000-0000F7020000}"/>
    <cellStyle name="Moneda 15 2 2 4 2" xfId="777" xr:uid="{00000000-0005-0000-0000-0000F8020000}"/>
    <cellStyle name="Moneda 15 2 2 5" xfId="778" xr:uid="{00000000-0005-0000-0000-0000F9020000}"/>
    <cellStyle name="Moneda 15 2 2 5 2" xfId="779" xr:uid="{00000000-0005-0000-0000-0000FA020000}"/>
    <cellStyle name="Moneda 15 2 2 6" xfId="780" xr:uid="{00000000-0005-0000-0000-0000FB020000}"/>
    <cellStyle name="Moneda 15 2 3" xfId="781" xr:uid="{00000000-0005-0000-0000-0000FC020000}"/>
    <cellStyle name="Moneda 15 2 3 2" xfId="782" xr:uid="{00000000-0005-0000-0000-0000FD020000}"/>
    <cellStyle name="Moneda 15 2 3 2 2" xfId="783" xr:uid="{00000000-0005-0000-0000-0000FE020000}"/>
    <cellStyle name="Moneda 15 2 3 3" xfId="784" xr:uid="{00000000-0005-0000-0000-0000FF020000}"/>
    <cellStyle name="Moneda 15 2 3 3 2" xfId="785" xr:uid="{00000000-0005-0000-0000-000000030000}"/>
    <cellStyle name="Moneda 15 2 3 4" xfId="786" xr:uid="{00000000-0005-0000-0000-000001030000}"/>
    <cellStyle name="Moneda 15 2 3 4 2" xfId="787" xr:uid="{00000000-0005-0000-0000-000002030000}"/>
    <cellStyle name="Moneda 15 2 3 5" xfId="788" xr:uid="{00000000-0005-0000-0000-000003030000}"/>
    <cellStyle name="Moneda 15 2 4" xfId="789" xr:uid="{00000000-0005-0000-0000-000004030000}"/>
    <cellStyle name="Moneda 15 2 4 2" xfId="790" xr:uid="{00000000-0005-0000-0000-000005030000}"/>
    <cellStyle name="Moneda 15 2 5" xfId="791" xr:uid="{00000000-0005-0000-0000-000006030000}"/>
    <cellStyle name="Moneda 15 2 5 2" xfId="792" xr:uid="{00000000-0005-0000-0000-000007030000}"/>
    <cellStyle name="Moneda 15 2 6" xfId="793" xr:uid="{00000000-0005-0000-0000-000008030000}"/>
    <cellStyle name="Moneda 15 2 6 2" xfId="794" xr:uid="{00000000-0005-0000-0000-000009030000}"/>
    <cellStyle name="Moneda 15 2 7" xfId="795" xr:uid="{00000000-0005-0000-0000-00000A030000}"/>
    <cellStyle name="Moneda 15 2 8" xfId="796" xr:uid="{00000000-0005-0000-0000-00000B030000}"/>
    <cellStyle name="Moneda 15 3" xfId="797" xr:uid="{00000000-0005-0000-0000-00000C030000}"/>
    <cellStyle name="Moneda 15 3 2" xfId="798" xr:uid="{00000000-0005-0000-0000-00000D030000}"/>
    <cellStyle name="Moneda 15 3 2 2" xfId="799" xr:uid="{00000000-0005-0000-0000-00000E030000}"/>
    <cellStyle name="Moneda 15 3 2 2 2" xfId="800" xr:uid="{00000000-0005-0000-0000-00000F030000}"/>
    <cellStyle name="Moneda 15 3 2 3" xfId="801" xr:uid="{00000000-0005-0000-0000-000010030000}"/>
    <cellStyle name="Moneda 15 3 2 3 2" xfId="802" xr:uid="{00000000-0005-0000-0000-000011030000}"/>
    <cellStyle name="Moneda 15 3 2 4" xfId="803" xr:uid="{00000000-0005-0000-0000-000012030000}"/>
    <cellStyle name="Moneda 15 3 2 4 2" xfId="804" xr:uid="{00000000-0005-0000-0000-000013030000}"/>
    <cellStyle name="Moneda 15 3 2 5" xfId="805" xr:uid="{00000000-0005-0000-0000-000014030000}"/>
    <cellStyle name="Moneda 15 3 3" xfId="806" xr:uid="{00000000-0005-0000-0000-000015030000}"/>
    <cellStyle name="Moneda 15 3 3 2" xfId="807" xr:uid="{00000000-0005-0000-0000-000016030000}"/>
    <cellStyle name="Moneda 15 3 4" xfId="808" xr:uid="{00000000-0005-0000-0000-000017030000}"/>
    <cellStyle name="Moneda 15 3 4 2" xfId="809" xr:uid="{00000000-0005-0000-0000-000018030000}"/>
    <cellStyle name="Moneda 15 3 5" xfId="810" xr:uid="{00000000-0005-0000-0000-000019030000}"/>
    <cellStyle name="Moneda 15 3 5 2" xfId="811" xr:uid="{00000000-0005-0000-0000-00001A030000}"/>
    <cellStyle name="Moneda 15 3 6" xfId="812" xr:uid="{00000000-0005-0000-0000-00001B030000}"/>
    <cellStyle name="Moneda 15 4" xfId="813" xr:uid="{00000000-0005-0000-0000-00001C030000}"/>
    <cellStyle name="Moneda 15 4 2" xfId="814" xr:uid="{00000000-0005-0000-0000-00001D030000}"/>
    <cellStyle name="Moneda 15 4 2 2" xfId="815" xr:uid="{00000000-0005-0000-0000-00001E030000}"/>
    <cellStyle name="Moneda 15 4 3" xfId="816" xr:uid="{00000000-0005-0000-0000-00001F030000}"/>
    <cellStyle name="Moneda 15 4 3 2" xfId="817" xr:uid="{00000000-0005-0000-0000-000020030000}"/>
    <cellStyle name="Moneda 15 4 4" xfId="818" xr:uid="{00000000-0005-0000-0000-000021030000}"/>
    <cellStyle name="Moneda 15 4 4 2" xfId="819" xr:uid="{00000000-0005-0000-0000-000022030000}"/>
    <cellStyle name="Moneda 15 4 5" xfId="820" xr:uid="{00000000-0005-0000-0000-000023030000}"/>
    <cellStyle name="Moneda 15 5" xfId="821" xr:uid="{00000000-0005-0000-0000-000024030000}"/>
    <cellStyle name="Moneda 15 5 2" xfId="822" xr:uid="{00000000-0005-0000-0000-000025030000}"/>
    <cellStyle name="Moneda 15 6" xfId="823" xr:uid="{00000000-0005-0000-0000-000026030000}"/>
    <cellStyle name="Moneda 15 6 2" xfId="824" xr:uid="{00000000-0005-0000-0000-000027030000}"/>
    <cellStyle name="Moneda 15 7" xfId="825" xr:uid="{00000000-0005-0000-0000-000028030000}"/>
    <cellStyle name="Moneda 15 7 2" xfId="826" xr:uid="{00000000-0005-0000-0000-000029030000}"/>
    <cellStyle name="Moneda 15 8" xfId="827" xr:uid="{00000000-0005-0000-0000-00002A030000}"/>
    <cellStyle name="Moneda 15 9" xfId="828" xr:uid="{00000000-0005-0000-0000-00002B030000}"/>
    <cellStyle name="Moneda 16" xfId="829" xr:uid="{00000000-0005-0000-0000-00002C030000}"/>
    <cellStyle name="Moneda 16 2" xfId="830" xr:uid="{00000000-0005-0000-0000-00002D030000}"/>
    <cellStyle name="Moneda 16 2 2" xfId="831" xr:uid="{00000000-0005-0000-0000-00002E030000}"/>
    <cellStyle name="Moneda 16 2 2 2" xfId="832" xr:uid="{00000000-0005-0000-0000-00002F030000}"/>
    <cellStyle name="Moneda 16 2 2 2 2" xfId="833" xr:uid="{00000000-0005-0000-0000-000030030000}"/>
    <cellStyle name="Moneda 16 2 2 3" xfId="834" xr:uid="{00000000-0005-0000-0000-000031030000}"/>
    <cellStyle name="Moneda 16 2 2 3 2" xfId="835" xr:uid="{00000000-0005-0000-0000-000032030000}"/>
    <cellStyle name="Moneda 16 2 2 4" xfId="836" xr:uid="{00000000-0005-0000-0000-000033030000}"/>
    <cellStyle name="Moneda 16 2 2 4 2" xfId="837" xr:uid="{00000000-0005-0000-0000-000034030000}"/>
    <cellStyle name="Moneda 16 2 2 5" xfId="838" xr:uid="{00000000-0005-0000-0000-000035030000}"/>
    <cellStyle name="Moneda 16 2 3" xfId="839" xr:uid="{00000000-0005-0000-0000-000036030000}"/>
    <cellStyle name="Moneda 16 2 3 2" xfId="840" xr:uid="{00000000-0005-0000-0000-000037030000}"/>
    <cellStyle name="Moneda 16 2 4" xfId="841" xr:uid="{00000000-0005-0000-0000-000038030000}"/>
    <cellStyle name="Moneda 16 2 4 2" xfId="842" xr:uid="{00000000-0005-0000-0000-000039030000}"/>
    <cellStyle name="Moneda 16 2 5" xfId="843" xr:uid="{00000000-0005-0000-0000-00003A030000}"/>
    <cellStyle name="Moneda 16 2 5 2" xfId="844" xr:uid="{00000000-0005-0000-0000-00003B030000}"/>
    <cellStyle name="Moneda 16 2 6" xfId="845" xr:uid="{00000000-0005-0000-0000-00003C030000}"/>
    <cellStyle name="Moneda 16 2 7" xfId="846" xr:uid="{00000000-0005-0000-0000-00003D030000}"/>
    <cellStyle name="Moneda 16 3" xfId="847" xr:uid="{00000000-0005-0000-0000-00003E030000}"/>
    <cellStyle name="Moneda 16 3 2" xfId="848" xr:uid="{00000000-0005-0000-0000-00003F030000}"/>
    <cellStyle name="Moneda 16 3 2 2" xfId="849" xr:uid="{00000000-0005-0000-0000-000040030000}"/>
    <cellStyle name="Moneda 16 3 3" xfId="850" xr:uid="{00000000-0005-0000-0000-000041030000}"/>
    <cellStyle name="Moneda 16 3 3 2" xfId="851" xr:uid="{00000000-0005-0000-0000-000042030000}"/>
    <cellStyle name="Moneda 16 3 4" xfId="852" xr:uid="{00000000-0005-0000-0000-000043030000}"/>
    <cellStyle name="Moneda 16 3 4 2" xfId="853" xr:uid="{00000000-0005-0000-0000-000044030000}"/>
    <cellStyle name="Moneda 16 3 5" xfId="854" xr:uid="{00000000-0005-0000-0000-000045030000}"/>
    <cellStyle name="Moneda 16 4" xfId="855" xr:uid="{00000000-0005-0000-0000-000046030000}"/>
    <cellStyle name="Moneda 16 4 2" xfId="856" xr:uid="{00000000-0005-0000-0000-000047030000}"/>
    <cellStyle name="Moneda 16 5" xfId="857" xr:uid="{00000000-0005-0000-0000-000048030000}"/>
    <cellStyle name="Moneda 16 5 2" xfId="858" xr:uid="{00000000-0005-0000-0000-000049030000}"/>
    <cellStyle name="Moneda 16 6" xfId="859" xr:uid="{00000000-0005-0000-0000-00004A030000}"/>
    <cellStyle name="Moneda 16 6 2" xfId="860" xr:uid="{00000000-0005-0000-0000-00004B030000}"/>
    <cellStyle name="Moneda 16 7" xfId="861" xr:uid="{00000000-0005-0000-0000-00004C030000}"/>
    <cellStyle name="Moneda 16 8" xfId="862" xr:uid="{00000000-0005-0000-0000-00004D030000}"/>
    <cellStyle name="Moneda 17" xfId="863" xr:uid="{00000000-0005-0000-0000-00004E030000}"/>
    <cellStyle name="Moneda 17 2" xfId="864" xr:uid="{00000000-0005-0000-0000-00004F030000}"/>
    <cellStyle name="Moneda 17 2 2" xfId="865" xr:uid="{00000000-0005-0000-0000-000050030000}"/>
    <cellStyle name="Moneda 17 2 2 2" xfId="866" xr:uid="{00000000-0005-0000-0000-000051030000}"/>
    <cellStyle name="Moneda 17 2 2 2 2" xfId="867" xr:uid="{00000000-0005-0000-0000-000052030000}"/>
    <cellStyle name="Moneda 17 2 2 3" xfId="868" xr:uid="{00000000-0005-0000-0000-000053030000}"/>
    <cellStyle name="Moneda 17 2 2 3 2" xfId="869" xr:uid="{00000000-0005-0000-0000-000054030000}"/>
    <cellStyle name="Moneda 17 2 2 4" xfId="870" xr:uid="{00000000-0005-0000-0000-000055030000}"/>
    <cellStyle name="Moneda 17 2 2 4 2" xfId="871" xr:uid="{00000000-0005-0000-0000-000056030000}"/>
    <cellStyle name="Moneda 17 2 2 5" xfId="872" xr:uid="{00000000-0005-0000-0000-000057030000}"/>
    <cellStyle name="Moneda 17 2 3" xfId="873" xr:uid="{00000000-0005-0000-0000-000058030000}"/>
    <cellStyle name="Moneda 17 2 3 2" xfId="874" xr:uid="{00000000-0005-0000-0000-000059030000}"/>
    <cellStyle name="Moneda 17 2 4" xfId="875" xr:uid="{00000000-0005-0000-0000-00005A030000}"/>
    <cellStyle name="Moneda 17 2 4 2" xfId="876" xr:uid="{00000000-0005-0000-0000-00005B030000}"/>
    <cellStyle name="Moneda 17 2 5" xfId="877" xr:uid="{00000000-0005-0000-0000-00005C030000}"/>
    <cellStyle name="Moneda 17 2 5 2" xfId="878" xr:uid="{00000000-0005-0000-0000-00005D030000}"/>
    <cellStyle name="Moneda 17 2 6" xfId="879" xr:uid="{00000000-0005-0000-0000-00005E030000}"/>
    <cellStyle name="Moneda 17 2 7" xfId="880" xr:uid="{00000000-0005-0000-0000-00005F030000}"/>
    <cellStyle name="Moneda 17 3" xfId="881" xr:uid="{00000000-0005-0000-0000-000060030000}"/>
    <cellStyle name="Moneda 17 3 2" xfId="882" xr:uid="{00000000-0005-0000-0000-000061030000}"/>
    <cellStyle name="Moneda 17 3 2 2" xfId="883" xr:uid="{00000000-0005-0000-0000-000062030000}"/>
    <cellStyle name="Moneda 17 3 3" xfId="884" xr:uid="{00000000-0005-0000-0000-000063030000}"/>
    <cellStyle name="Moneda 17 3 3 2" xfId="885" xr:uid="{00000000-0005-0000-0000-000064030000}"/>
    <cellStyle name="Moneda 17 3 4" xfId="886" xr:uid="{00000000-0005-0000-0000-000065030000}"/>
    <cellStyle name="Moneda 17 3 4 2" xfId="887" xr:uid="{00000000-0005-0000-0000-000066030000}"/>
    <cellStyle name="Moneda 17 3 5" xfId="888" xr:uid="{00000000-0005-0000-0000-000067030000}"/>
    <cellStyle name="Moneda 17 4" xfId="889" xr:uid="{00000000-0005-0000-0000-000068030000}"/>
    <cellStyle name="Moneda 17 4 2" xfId="890" xr:uid="{00000000-0005-0000-0000-000069030000}"/>
    <cellStyle name="Moneda 17 5" xfId="891" xr:uid="{00000000-0005-0000-0000-00006A030000}"/>
    <cellStyle name="Moneda 17 5 2" xfId="892" xr:uid="{00000000-0005-0000-0000-00006B030000}"/>
    <cellStyle name="Moneda 17 6" xfId="893" xr:uid="{00000000-0005-0000-0000-00006C030000}"/>
    <cellStyle name="Moneda 17 6 2" xfId="894" xr:uid="{00000000-0005-0000-0000-00006D030000}"/>
    <cellStyle name="Moneda 17 7" xfId="895" xr:uid="{00000000-0005-0000-0000-00006E030000}"/>
    <cellStyle name="Moneda 17 8" xfId="896" xr:uid="{00000000-0005-0000-0000-00006F030000}"/>
    <cellStyle name="Moneda 18" xfId="897" xr:uid="{00000000-0005-0000-0000-000070030000}"/>
    <cellStyle name="Moneda 18 2" xfId="898" xr:uid="{00000000-0005-0000-0000-000071030000}"/>
    <cellStyle name="Moneda 18 2 2" xfId="899" xr:uid="{00000000-0005-0000-0000-000072030000}"/>
    <cellStyle name="Moneda 18 2 2 2" xfId="900" xr:uid="{00000000-0005-0000-0000-000073030000}"/>
    <cellStyle name="Moneda 18 2 2 2 2" xfId="901" xr:uid="{00000000-0005-0000-0000-000074030000}"/>
    <cellStyle name="Moneda 18 2 2 3" xfId="902" xr:uid="{00000000-0005-0000-0000-000075030000}"/>
    <cellStyle name="Moneda 18 2 2 3 2" xfId="903" xr:uid="{00000000-0005-0000-0000-000076030000}"/>
    <cellStyle name="Moneda 18 2 2 4" xfId="904" xr:uid="{00000000-0005-0000-0000-000077030000}"/>
    <cellStyle name="Moneda 18 2 2 4 2" xfId="905" xr:uid="{00000000-0005-0000-0000-000078030000}"/>
    <cellStyle name="Moneda 18 2 2 5" xfId="906" xr:uid="{00000000-0005-0000-0000-000079030000}"/>
    <cellStyle name="Moneda 18 2 3" xfId="907" xr:uid="{00000000-0005-0000-0000-00007A030000}"/>
    <cellStyle name="Moneda 18 2 3 2" xfId="908" xr:uid="{00000000-0005-0000-0000-00007B030000}"/>
    <cellStyle name="Moneda 18 2 4" xfId="909" xr:uid="{00000000-0005-0000-0000-00007C030000}"/>
    <cellStyle name="Moneda 18 2 4 2" xfId="910" xr:uid="{00000000-0005-0000-0000-00007D030000}"/>
    <cellStyle name="Moneda 18 2 5" xfId="911" xr:uid="{00000000-0005-0000-0000-00007E030000}"/>
    <cellStyle name="Moneda 18 2 5 2" xfId="912" xr:uid="{00000000-0005-0000-0000-00007F030000}"/>
    <cellStyle name="Moneda 18 2 6" xfId="913" xr:uid="{00000000-0005-0000-0000-000080030000}"/>
    <cellStyle name="Moneda 18 2 7" xfId="914" xr:uid="{00000000-0005-0000-0000-000081030000}"/>
    <cellStyle name="Moneda 18 3" xfId="915" xr:uid="{00000000-0005-0000-0000-000082030000}"/>
    <cellStyle name="Moneda 18 3 2" xfId="916" xr:uid="{00000000-0005-0000-0000-000083030000}"/>
    <cellStyle name="Moneda 18 3 2 2" xfId="917" xr:uid="{00000000-0005-0000-0000-000084030000}"/>
    <cellStyle name="Moneda 18 3 3" xfId="918" xr:uid="{00000000-0005-0000-0000-000085030000}"/>
    <cellStyle name="Moneda 18 3 3 2" xfId="919" xr:uid="{00000000-0005-0000-0000-000086030000}"/>
    <cellStyle name="Moneda 18 3 4" xfId="920" xr:uid="{00000000-0005-0000-0000-000087030000}"/>
    <cellStyle name="Moneda 18 3 4 2" xfId="921" xr:uid="{00000000-0005-0000-0000-000088030000}"/>
    <cellStyle name="Moneda 18 3 5" xfId="922" xr:uid="{00000000-0005-0000-0000-000089030000}"/>
    <cellStyle name="Moneda 18 4" xfId="923" xr:uid="{00000000-0005-0000-0000-00008A030000}"/>
    <cellStyle name="Moneda 18 4 2" xfId="924" xr:uid="{00000000-0005-0000-0000-00008B030000}"/>
    <cellStyle name="Moneda 18 5" xfId="925" xr:uid="{00000000-0005-0000-0000-00008C030000}"/>
    <cellStyle name="Moneda 18 5 2" xfId="926" xr:uid="{00000000-0005-0000-0000-00008D030000}"/>
    <cellStyle name="Moneda 18 6" xfId="927" xr:uid="{00000000-0005-0000-0000-00008E030000}"/>
    <cellStyle name="Moneda 18 6 2" xfId="928" xr:uid="{00000000-0005-0000-0000-00008F030000}"/>
    <cellStyle name="Moneda 18 7" xfId="929" xr:uid="{00000000-0005-0000-0000-000090030000}"/>
    <cellStyle name="Moneda 18 8" xfId="930" xr:uid="{00000000-0005-0000-0000-000091030000}"/>
    <cellStyle name="Moneda 19" xfId="931" xr:uid="{00000000-0005-0000-0000-000092030000}"/>
    <cellStyle name="Moneda 19 2" xfId="932" xr:uid="{00000000-0005-0000-0000-000093030000}"/>
    <cellStyle name="Moneda 19 2 2" xfId="933" xr:uid="{00000000-0005-0000-0000-000094030000}"/>
    <cellStyle name="Moneda 19 2 2 2" xfId="934" xr:uid="{00000000-0005-0000-0000-000095030000}"/>
    <cellStyle name="Moneda 19 2 2 2 2" xfId="935" xr:uid="{00000000-0005-0000-0000-000096030000}"/>
    <cellStyle name="Moneda 19 2 2 3" xfId="936" xr:uid="{00000000-0005-0000-0000-000097030000}"/>
    <cellStyle name="Moneda 19 2 2 3 2" xfId="937" xr:uid="{00000000-0005-0000-0000-000098030000}"/>
    <cellStyle name="Moneda 19 2 2 4" xfId="938" xr:uid="{00000000-0005-0000-0000-000099030000}"/>
    <cellStyle name="Moneda 19 2 2 4 2" xfId="939" xr:uid="{00000000-0005-0000-0000-00009A030000}"/>
    <cellStyle name="Moneda 19 2 2 5" xfId="940" xr:uid="{00000000-0005-0000-0000-00009B030000}"/>
    <cellStyle name="Moneda 19 2 3" xfId="941" xr:uid="{00000000-0005-0000-0000-00009C030000}"/>
    <cellStyle name="Moneda 19 2 3 2" xfId="942" xr:uid="{00000000-0005-0000-0000-00009D030000}"/>
    <cellStyle name="Moneda 19 2 4" xfId="943" xr:uid="{00000000-0005-0000-0000-00009E030000}"/>
    <cellStyle name="Moneda 19 2 4 2" xfId="944" xr:uid="{00000000-0005-0000-0000-00009F030000}"/>
    <cellStyle name="Moneda 19 2 5" xfId="945" xr:uid="{00000000-0005-0000-0000-0000A0030000}"/>
    <cellStyle name="Moneda 19 2 5 2" xfId="946" xr:uid="{00000000-0005-0000-0000-0000A1030000}"/>
    <cellStyle name="Moneda 19 2 6" xfId="947" xr:uid="{00000000-0005-0000-0000-0000A2030000}"/>
    <cellStyle name="Moneda 19 2 7" xfId="948" xr:uid="{00000000-0005-0000-0000-0000A3030000}"/>
    <cellStyle name="Moneda 19 3" xfId="949" xr:uid="{00000000-0005-0000-0000-0000A4030000}"/>
    <cellStyle name="Moneda 19 3 2" xfId="950" xr:uid="{00000000-0005-0000-0000-0000A5030000}"/>
    <cellStyle name="Moneda 19 3 2 2" xfId="951" xr:uid="{00000000-0005-0000-0000-0000A6030000}"/>
    <cellStyle name="Moneda 19 3 3" xfId="952" xr:uid="{00000000-0005-0000-0000-0000A7030000}"/>
    <cellStyle name="Moneda 19 3 3 2" xfId="953" xr:uid="{00000000-0005-0000-0000-0000A8030000}"/>
    <cellStyle name="Moneda 19 3 4" xfId="954" xr:uid="{00000000-0005-0000-0000-0000A9030000}"/>
    <cellStyle name="Moneda 19 3 4 2" xfId="955" xr:uid="{00000000-0005-0000-0000-0000AA030000}"/>
    <cellStyle name="Moneda 19 3 5" xfId="956" xr:uid="{00000000-0005-0000-0000-0000AB030000}"/>
    <cellStyle name="Moneda 19 4" xfId="957" xr:uid="{00000000-0005-0000-0000-0000AC030000}"/>
    <cellStyle name="Moneda 19 4 2" xfId="958" xr:uid="{00000000-0005-0000-0000-0000AD030000}"/>
    <cellStyle name="Moneda 19 5" xfId="959" xr:uid="{00000000-0005-0000-0000-0000AE030000}"/>
    <cellStyle name="Moneda 19 5 2" xfId="960" xr:uid="{00000000-0005-0000-0000-0000AF030000}"/>
    <cellStyle name="Moneda 19 6" xfId="961" xr:uid="{00000000-0005-0000-0000-0000B0030000}"/>
    <cellStyle name="Moneda 19 6 2" xfId="962" xr:uid="{00000000-0005-0000-0000-0000B1030000}"/>
    <cellStyle name="Moneda 19 7" xfId="963" xr:uid="{00000000-0005-0000-0000-0000B2030000}"/>
    <cellStyle name="Moneda 19 8" xfId="964" xr:uid="{00000000-0005-0000-0000-0000B3030000}"/>
    <cellStyle name="Moneda 2" xfId="10" xr:uid="{00000000-0005-0000-0000-0000B4030000}"/>
    <cellStyle name="Moneda 2 2" xfId="11" xr:uid="{00000000-0005-0000-0000-0000B5030000}"/>
    <cellStyle name="Moneda 2 2 2" xfId="12" xr:uid="{00000000-0005-0000-0000-0000B6030000}"/>
    <cellStyle name="Moneda 2 2 3" xfId="965" xr:uid="{00000000-0005-0000-0000-0000B7030000}"/>
    <cellStyle name="Moneda 2 2 3 2" xfId="966" xr:uid="{00000000-0005-0000-0000-0000B8030000}"/>
    <cellStyle name="Moneda 2 3" xfId="13" xr:uid="{00000000-0005-0000-0000-0000B9030000}"/>
    <cellStyle name="Moneda 2 3 10" xfId="967" xr:uid="{00000000-0005-0000-0000-0000BA030000}"/>
    <cellStyle name="Moneda 2 3 10 2" xfId="968" xr:uid="{00000000-0005-0000-0000-0000BB030000}"/>
    <cellStyle name="Moneda 2 3 10 2 2" xfId="969" xr:uid="{00000000-0005-0000-0000-0000BC030000}"/>
    <cellStyle name="Moneda 2 3 10 3" xfId="970" xr:uid="{00000000-0005-0000-0000-0000BD030000}"/>
    <cellStyle name="Moneda 2 3 11" xfId="971" xr:uid="{00000000-0005-0000-0000-0000BE030000}"/>
    <cellStyle name="Moneda 2 3 11 2" xfId="972" xr:uid="{00000000-0005-0000-0000-0000BF030000}"/>
    <cellStyle name="Moneda 2 3 11 3" xfId="973" xr:uid="{00000000-0005-0000-0000-0000C0030000}"/>
    <cellStyle name="Moneda 2 3 12" xfId="974" xr:uid="{00000000-0005-0000-0000-0000C1030000}"/>
    <cellStyle name="Moneda 2 3 2" xfId="975" xr:uid="{00000000-0005-0000-0000-0000C2030000}"/>
    <cellStyle name="Moneda 2 3 2 10" xfId="976" xr:uid="{00000000-0005-0000-0000-0000C3030000}"/>
    <cellStyle name="Moneda 2 3 2 11" xfId="977" xr:uid="{00000000-0005-0000-0000-0000C4030000}"/>
    <cellStyle name="Moneda 2 3 2 2" xfId="978" xr:uid="{00000000-0005-0000-0000-0000C5030000}"/>
    <cellStyle name="Moneda 2 3 2 2 2" xfId="979" xr:uid="{00000000-0005-0000-0000-0000C6030000}"/>
    <cellStyle name="Moneda 2 3 2 2 2 2" xfId="980" xr:uid="{00000000-0005-0000-0000-0000C7030000}"/>
    <cellStyle name="Moneda 2 3 2 2 2 2 2" xfId="981" xr:uid="{00000000-0005-0000-0000-0000C8030000}"/>
    <cellStyle name="Moneda 2 3 2 2 2 2 2 2" xfId="982" xr:uid="{00000000-0005-0000-0000-0000C9030000}"/>
    <cellStyle name="Moneda 2 3 2 2 2 2 2 2 2" xfId="983" xr:uid="{00000000-0005-0000-0000-0000CA030000}"/>
    <cellStyle name="Moneda 2 3 2 2 2 2 2 3" xfId="984" xr:uid="{00000000-0005-0000-0000-0000CB030000}"/>
    <cellStyle name="Moneda 2 3 2 2 2 2 3" xfId="985" xr:uid="{00000000-0005-0000-0000-0000CC030000}"/>
    <cellStyle name="Moneda 2 3 2 2 2 2 3 2" xfId="986" xr:uid="{00000000-0005-0000-0000-0000CD030000}"/>
    <cellStyle name="Moneda 2 3 2 2 2 2 3 3" xfId="987" xr:uid="{00000000-0005-0000-0000-0000CE030000}"/>
    <cellStyle name="Moneda 2 3 2 2 2 2 4" xfId="988" xr:uid="{00000000-0005-0000-0000-0000CF030000}"/>
    <cellStyle name="Moneda 2 3 2 2 2 2 4 2" xfId="989" xr:uid="{00000000-0005-0000-0000-0000D0030000}"/>
    <cellStyle name="Moneda 2 3 2 2 2 2 5" xfId="990" xr:uid="{00000000-0005-0000-0000-0000D1030000}"/>
    <cellStyle name="Moneda 2 3 2 2 2 2 6" xfId="991" xr:uid="{00000000-0005-0000-0000-0000D2030000}"/>
    <cellStyle name="Moneda 2 3 2 2 2 3" xfId="992" xr:uid="{00000000-0005-0000-0000-0000D3030000}"/>
    <cellStyle name="Moneda 2 3 2 2 2 3 2" xfId="993" xr:uid="{00000000-0005-0000-0000-0000D4030000}"/>
    <cellStyle name="Moneda 2 3 2 2 2 3 2 2" xfId="994" xr:uid="{00000000-0005-0000-0000-0000D5030000}"/>
    <cellStyle name="Moneda 2 3 2 2 2 3 3" xfId="995" xr:uid="{00000000-0005-0000-0000-0000D6030000}"/>
    <cellStyle name="Moneda 2 3 2 2 2 4" xfId="996" xr:uid="{00000000-0005-0000-0000-0000D7030000}"/>
    <cellStyle name="Moneda 2 3 2 2 2 4 2" xfId="997" xr:uid="{00000000-0005-0000-0000-0000D8030000}"/>
    <cellStyle name="Moneda 2 3 2 2 2 4 3" xfId="998" xr:uid="{00000000-0005-0000-0000-0000D9030000}"/>
    <cellStyle name="Moneda 2 3 2 2 2 5" xfId="999" xr:uid="{00000000-0005-0000-0000-0000DA030000}"/>
    <cellStyle name="Moneda 2 3 2 2 2 5 2" xfId="1000" xr:uid="{00000000-0005-0000-0000-0000DB030000}"/>
    <cellStyle name="Moneda 2 3 2 2 2 6" xfId="1001" xr:uid="{00000000-0005-0000-0000-0000DC030000}"/>
    <cellStyle name="Moneda 2 3 2 2 2 7" xfId="1002" xr:uid="{00000000-0005-0000-0000-0000DD030000}"/>
    <cellStyle name="Moneda 2 3 2 2 3" xfId="1003" xr:uid="{00000000-0005-0000-0000-0000DE030000}"/>
    <cellStyle name="Moneda 2 3 2 2 3 2" xfId="1004" xr:uid="{00000000-0005-0000-0000-0000DF030000}"/>
    <cellStyle name="Moneda 2 3 2 2 3 2 2" xfId="1005" xr:uid="{00000000-0005-0000-0000-0000E0030000}"/>
    <cellStyle name="Moneda 2 3 2 2 3 2 2 2" xfId="1006" xr:uid="{00000000-0005-0000-0000-0000E1030000}"/>
    <cellStyle name="Moneda 2 3 2 2 3 2 2 3" xfId="1007" xr:uid="{00000000-0005-0000-0000-0000E2030000}"/>
    <cellStyle name="Moneda 2 3 2 2 3 2 3" xfId="1008" xr:uid="{00000000-0005-0000-0000-0000E3030000}"/>
    <cellStyle name="Moneda 2 3 2 2 3 2 4" xfId="1009" xr:uid="{00000000-0005-0000-0000-0000E4030000}"/>
    <cellStyle name="Moneda 2 3 2 2 3 3" xfId="1010" xr:uid="{00000000-0005-0000-0000-0000E5030000}"/>
    <cellStyle name="Moneda 2 3 2 2 3 3 2" xfId="1011" xr:uid="{00000000-0005-0000-0000-0000E6030000}"/>
    <cellStyle name="Moneda 2 3 2 2 3 3 2 2" xfId="1012" xr:uid="{00000000-0005-0000-0000-0000E7030000}"/>
    <cellStyle name="Moneda 2 3 2 2 3 3 3" xfId="1013" xr:uid="{00000000-0005-0000-0000-0000E8030000}"/>
    <cellStyle name="Moneda 2 3 2 2 3 4" xfId="1014" xr:uid="{00000000-0005-0000-0000-0000E9030000}"/>
    <cellStyle name="Moneda 2 3 2 2 3 4 2" xfId="1015" xr:uid="{00000000-0005-0000-0000-0000EA030000}"/>
    <cellStyle name="Moneda 2 3 2 2 3 4 3" xfId="1016" xr:uid="{00000000-0005-0000-0000-0000EB030000}"/>
    <cellStyle name="Moneda 2 3 2 2 3 5" xfId="1017" xr:uid="{00000000-0005-0000-0000-0000EC030000}"/>
    <cellStyle name="Moneda 2 3 2 2 3 6" xfId="1018" xr:uid="{00000000-0005-0000-0000-0000ED030000}"/>
    <cellStyle name="Moneda 2 3 2 2 4" xfId="1019" xr:uid="{00000000-0005-0000-0000-0000EE030000}"/>
    <cellStyle name="Moneda 2 3 2 2 4 2" xfId="1020" xr:uid="{00000000-0005-0000-0000-0000EF030000}"/>
    <cellStyle name="Moneda 2 3 2 2 4 2 2" xfId="1021" xr:uid="{00000000-0005-0000-0000-0000F0030000}"/>
    <cellStyle name="Moneda 2 3 2 2 4 2 2 2" xfId="1022" xr:uid="{00000000-0005-0000-0000-0000F1030000}"/>
    <cellStyle name="Moneda 2 3 2 2 4 2 3" xfId="1023" xr:uid="{00000000-0005-0000-0000-0000F2030000}"/>
    <cellStyle name="Moneda 2 3 2 2 4 2 4" xfId="1024" xr:uid="{00000000-0005-0000-0000-0000F3030000}"/>
    <cellStyle name="Moneda 2 3 2 2 4 3" xfId="1025" xr:uid="{00000000-0005-0000-0000-0000F4030000}"/>
    <cellStyle name="Moneda 2 3 2 2 4 3 2" xfId="1026" xr:uid="{00000000-0005-0000-0000-0000F5030000}"/>
    <cellStyle name="Moneda 2 3 2 2 4 4" xfId="1027" xr:uid="{00000000-0005-0000-0000-0000F6030000}"/>
    <cellStyle name="Moneda 2 3 2 2 4 5" xfId="1028" xr:uid="{00000000-0005-0000-0000-0000F7030000}"/>
    <cellStyle name="Moneda 2 3 2 2 5" xfId="1029" xr:uid="{00000000-0005-0000-0000-0000F8030000}"/>
    <cellStyle name="Moneda 2 3 2 2 5 2" xfId="1030" xr:uid="{00000000-0005-0000-0000-0000F9030000}"/>
    <cellStyle name="Moneda 2 3 2 2 5 2 2" xfId="1031" xr:uid="{00000000-0005-0000-0000-0000FA030000}"/>
    <cellStyle name="Moneda 2 3 2 2 5 2 3" xfId="1032" xr:uid="{00000000-0005-0000-0000-0000FB030000}"/>
    <cellStyle name="Moneda 2 3 2 2 5 3" xfId="1033" xr:uid="{00000000-0005-0000-0000-0000FC030000}"/>
    <cellStyle name="Moneda 2 3 2 2 5 4" xfId="1034" xr:uid="{00000000-0005-0000-0000-0000FD030000}"/>
    <cellStyle name="Moneda 2 3 2 2 6" xfId="1035" xr:uid="{00000000-0005-0000-0000-0000FE030000}"/>
    <cellStyle name="Moneda 2 3 2 2 6 2" xfId="1036" xr:uid="{00000000-0005-0000-0000-0000FF030000}"/>
    <cellStyle name="Moneda 2 3 2 2 6 2 2" xfId="1037" xr:uid="{00000000-0005-0000-0000-000000040000}"/>
    <cellStyle name="Moneda 2 3 2 2 6 3" xfId="1038" xr:uid="{00000000-0005-0000-0000-000001040000}"/>
    <cellStyle name="Moneda 2 3 2 2 7" xfId="1039" xr:uid="{00000000-0005-0000-0000-000002040000}"/>
    <cellStyle name="Moneda 2 3 2 2 7 2" xfId="1040" xr:uid="{00000000-0005-0000-0000-000003040000}"/>
    <cellStyle name="Moneda 2 3 2 2 8" xfId="1041" xr:uid="{00000000-0005-0000-0000-000004040000}"/>
    <cellStyle name="Moneda 2 3 2 3" xfId="1042" xr:uid="{00000000-0005-0000-0000-000005040000}"/>
    <cellStyle name="Moneda 2 3 2 3 2" xfId="1043" xr:uid="{00000000-0005-0000-0000-000006040000}"/>
    <cellStyle name="Moneda 2 3 2 3 2 2" xfId="1044" xr:uid="{00000000-0005-0000-0000-000007040000}"/>
    <cellStyle name="Moneda 2 3 2 3 2 2 2" xfId="1045" xr:uid="{00000000-0005-0000-0000-000008040000}"/>
    <cellStyle name="Moneda 2 3 2 3 2 2 2 2" xfId="1046" xr:uid="{00000000-0005-0000-0000-000009040000}"/>
    <cellStyle name="Moneda 2 3 2 3 2 2 2 3" xfId="1047" xr:uid="{00000000-0005-0000-0000-00000A040000}"/>
    <cellStyle name="Moneda 2 3 2 3 2 2 3" xfId="1048" xr:uid="{00000000-0005-0000-0000-00000B040000}"/>
    <cellStyle name="Moneda 2 3 2 3 2 2 3 2" xfId="1049" xr:uid="{00000000-0005-0000-0000-00000C040000}"/>
    <cellStyle name="Moneda 2 3 2 3 2 2 4" xfId="1050" xr:uid="{00000000-0005-0000-0000-00000D040000}"/>
    <cellStyle name="Moneda 2 3 2 3 2 2 4 2" xfId="1051" xr:uid="{00000000-0005-0000-0000-00000E040000}"/>
    <cellStyle name="Moneda 2 3 2 3 2 2 5" xfId="1052" xr:uid="{00000000-0005-0000-0000-00000F040000}"/>
    <cellStyle name="Moneda 2 3 2 3 2 2 6" xfId="1053" xr:uid="{00000000-0005-0000-0000-000010040000}"/>
    <cellStyle name="Moneda 2 3 2 3 2 3" xfId="1054" xr:uid="{00000000-0005-0000-0000-000011040000}"/>
    <cellStyle name="Moneda 2 3 2 3 2 3 2" xfId="1055" xr:uid="{00000000-0005-0000-0000-000012040000}"/>
    <cellStyle name="Moneda 2 3 2 3 2 3 3" xfId="1056" xr:uid="{00000000-0005-0000-0000-000013040000}"/>
    <cellStyle name="Moneda 2 3 2 3 2 4" xfId="1057" xr:uid="{00000000-0005-0000-0000-000014040000}"/>
    <cellStyle name="Moneda 2 3 2 3 2 4 2" xfId="1058" xr:uid="{00000000-0005-0000-0000-000015040000}"/>
    <cellStyle name="Moneda 2 3 2 3 2 5" xfId="1059" xr:uid="{00000000-0005-0000-0000-000016040000}"/>
    <cellStyle name="Moneda 2 3 2 3 2 5 2" xfId="1060" xr:uid="{00000000-0005-0000-0000-000017040000}"/>
    <cellStyle name="Moneda 2 3 2 3 2 6" xfId="1061" xr:uid="{00000000-0005-0000-0000-000018040000}"/>
    <cellStyle name="Moneda 2 3 2 3 2 7" xfId="1062" xr:uid="{00000000-0005-0000-0000-000019040000}"/>
    <cellStyle name="Moneda 2 3 2 3 3" xfId="1063" xr:uid="{00000000-0005-0000-0000-00001A040000}"/>
    <cellStyle name="Moneda 2 3 2 3 3 2" xfId="1064" xr:uid="{00000000-0005-0000-0000-00001B040000}"/>
    <cellStyle name="Moneda 2 3 2 3 3 2 2" xfId="1065" xr:uid="{00000000-0005-0000-0000-00001C040000}"/>
    <cellStyle name="Moneda 2 3 2 3 3 2 3" xfId="1066" xr:uid="{00000000-0005-0000-0000-00001D040000}"/>
    <cellStyle name="Moneda 2 3 2 3 3 3" xfId="1067" xr:uid="{00000000-0005-0000-0000-00001E040000}"/>
    <cellStyle name="Moneda 2 3 2 3 3 3 2" xfId="1068" xr:uid="{00000000-0005-0000-0000-00001F040000}"/>
    <cellStyle name="Moneda 2 3 2 3 3 4" xfId="1069" xr:uid="{00000000-0005-0000-0000-000020040000}"/>
    <cellStyle name="Moneda 2 3 2 3 3 4 2" xfId="1070" xr:uid="{00000000-0005-0000-0000-000021040000}"/>
    <cellStyle name="Moneda 2 3 2 3 3 5" xfId="1071" xr:uid="{00000000-0005-0000-0000-000022040000}"/>
    <cellStyle name="Moneda 2 3 2 3 3 6" xfId="1072" xr:uid="{00000000-0005-0000-0000-000023040000}"/>
    <cellStyle name="Moneda 2 3 2 3 4" xfId="1073" xr:uid="{00000000-0005-0000-0000-000024040000}"/>
    <cellStyle name="Moneda 2 3 2 3 4 2" xfId="1074" xr:uid="{00000000-0005-0000-0000-000025040000}"/>
    <cellStyle name="Moneda 2 3 2 3 4 3" xfId="1075" xr:uid="{00000000-0005-0000-0000-000026040000}"/>
    <cellStyle name="Moneda 2 3 2 3 5" xfId="1076" xr:uid="{00000000-0005-0000-0000-000027040000}"/>
    <cellStyle name="Moneda 2 3 2 3 5 2" xfId="1077" xr:uid="{00000000-0005-0000-0000-000028040000}"/>
    <cellStyle name="Moneda 2 3 2 3 6" xfId="1078" xr:uid="{00000000-0005-0000-0000-000029040000}"/>
    <cellStyle name="Moneda 2 3 2 3 6 2" xfId="1079" xr:uid="{00000000-0005-0000-0000-00002A040000}"/>
    <cellStyle name="Moneda 2 3 2 3 7" xfId="1080" xr:uid="{00000000-0005-0000-0000-00002B040000}"/>
    <cellStyle name="Moneda 2 3 2 3 8" xfId="1081" xr:uid="{00000000-0005-0000-0000-00002C040000}"/>
    <cellStyle name="Moneda 2 3 2 4" xfId="1082" xr:uid="{00000000-0005-0000-0000-00002D040000}"/>
    <cellStyle name="Moneda 2 3 2 4 2" xfId="1083" xr:uid="{00000000-0005-0000-0000-00002E040000}"/>
    <cellStyle name="Moneda 2 3 2 4 2 2" xfId="1084" xr:uid="{00000000-0005-0000-0000-00002F040000}"/>
    <cellStyle name="Moneda 2 3 2 4 2 2 2" xfId="1085" xr:uid="{00000000-0005-0000-0000-000030040000}"/>
    <cellStyle name="Moneda 2 3 2 4 2 2 2 2" xfId="1086" xr:uid="{00000000-0005-0000-0000-000031040000}"/>
    <cellStyle name="Moneda 2 3 2 4 2 2 2 3" xfId="1087" xr:uid="{00000000-0005-0000-0000-000032040000}"/>
    <cellStyle name="Moneda 2 3 2 4 2 2 3" xfId="1088" xr:uid="{00000000-0005-0000-0000-000033040000}"/>
    <cellStyle name="Moneda 2 3 2 4 2 2 3 2" xfId="1089" xr:uid="{00000000-0005-0000-0000-000034040000}"/>
    <cellStyle name="Moneda 2 3 2 4 2 2 4" xfId="1090" xr:uid="{00000000-0005-0000-0000-000035040000}"/>
    <cellStyle name="Moneda 2 3 2 4 2 2 4 2" xfId="1091" xr:uid="{00000000-0005-0000-0000-000036040000}"/>
    <cellStyle name="Moneda 2 3 2 4 2 2 5" xfId="1092" xr:uid="{00000000-0005-0000-0000-000037040000}"/>
    <cellStyle name="Moneda 2 3 2 4 2 2 6" xfId="1093" xr:uid="{00000000-0005-0000-0000-000038040000}"/>
    <cellStyle name="Moneda 2 3 2 4 2 3" xfId="1094" xr:uid="{00000000-0005-0000-0000-000039040000}"/>
    <cellStyle name="Moneda 2 3 2 4 2 3 2" xfId="1095" xr:uid="{00000000-0005-0000-0000-00003A040000}"/>
    <cellStyle name="Moneda 2 3 2 4 2 3 3" xfId="1096" xr:uid="{00000000-0005-0000-0000-00003B040000}"/>
    <cellStyle name="Moneda 2 3 2 4 2 4" xfId="1097" xr:uid="{00000000-0005-0000-0000-00003C040000}"/>
    <cellStyle name="Moneda 2 3 2 4 2 4 2" xfId="1098" xr:uid="{00000000-0005-0000-0000-00003D040000}"/>
    <cellStyle name="Moneda 2 3 2 4 2 5" xfId="1099" xr:uid="{00000000-0005-0000-0000-00003E040000}"/>
    <cellStyle name="Moneda 2 3 2 4 2 5 2" xfId="1100" xr:uid="{00000000-0005-0000-0000-00003F040000}"/>
    <cellStyle name="Moneda 2 3 2 4 2 6" xfId="1101" xr:uid="{00000000-0005-0000-0000-000040040000}"/>
    <cellStyle name="Moneda 2 3 2 4 2 7" xfId="1102" xr:uid="{00000000-0005-0000-0000-000041040000}"/>
    <cellStyle name="Moneda 2 3 2 4 3" xfId="1103" xr:uid="{00000000-0005-0000-0000-000042040000}"/>
    <cellStyle name="Moneda 2 3 2 4 3 2" xfId="1104" xr:uid="{00000000-0005-0000-0000-000043040000}"/>
    <cellStyle name="Moneda 2 3 2 4 3 2 2" xfId="1105" xr:uid="{00000000-0005-0000-0000-000044040000}"/>
    <cellStyle name="Moneda 2 3 2 4 3 2 3" xfId="1106" xr:uid="{00000000-0005-0000-0000-000045040000}"/>
    <cellStyle name="Moneda 2 3 2 4 3 3" xfId="1107" xr:uid="{00000000-0005-0000-0000-000046040000}"/>
    <cellStyle name="Moneda 2 3 2 4 3 3 2" xfId="1108" xr:uid="{00000000-0005-0000-0000-000047040000}"/>
    <cellStyle name="Moneda 2 3 2 4 3 4" xfId="1109" xr:uid="{00000000-0005-0000-0000-000048040000}"/>
    <cellStyle name="Moneda 2 3 2 4 3 4 2" xfId="1110" xr:uid="{00000000-0005-0000-0000-000049040000}"/>
    <cellStyle name="Moneda 2 3 2 4 3 5" xfId="1111" xr:uid="{00000000-0005-0000-0000-00004A040000}"/>
    <cellStyle name="Moneda 2 3 2 4 3 6" xfId="1112" xr:uid="{00000000-0005-0000-0000-00004B040000}"/>
    <cellStyle name="Moneda 2 3 2 4 4" xfId="1113" xr:uid="{00000000-0005-0000-0000-00004C040000}"/>
    <cellStyle name="Moneda 2 3 2 4 4 2" xfId="1114" xr:uid="{00000000-0005-0000-0000-00004D040000}"/>
    <cellStyle name="Moneda 2 3 2 4 4 3" xfId="1115" xr:uid="{00000000-0005-0000-0000-00004E040000}"/>
    <cellStyle name="Moneda 2 3 2 4 5" xfId="1116" xr:uid="{00000000-0005-0000-0000-00004F040000}"/>
    <cellStyle name="Moneda 2 3 2 4 5 2" xfId="1117" xr:uid="{00000000-0005-0000-0000-000050040000}"/>
    <cellStyle name="Moneda 2 3 2 4 6" xfId="1118" xr:uid="{00000000-0005-0000-0000-000051040000}"/>
    <cellStyle name="Moneda 2 3 2 4 6 2" xfId="1119" xr:uid="{00000000-0005-0000-0000-000052040000}"/>
    <cellStyle name="Moneda 2 3 2 4 7" xfId="1120" xr:uid="{00000000-0005-0000-0000-000053040000}"/>
    <cellStyle name="Moneda 2 3 2 4 8" xfId="1121" xr:uid="{00000000-0005-0000-0000-000054040000}"/>
    <cellStyle name="Moneda 2 3 2 5" xfId="1122" xr:uid="{00000000-0005-0000-0000-000055040000}"/>
    <cellStyle name="Moneda 2 3 2 5 2" xfId="1123" xr:uid="{00000000-0005-0000-0000-000056040000}"/>
    <cellStyle name="Moneda 2 3 2 5 2 2" xfId="1124" xr:uid="{00000000-0005-0000-0000-000057040000}"/>
    <cellStyle name="Moneda 2 3 2 5 2 2 2" xfId="1125" xr:uid="{00000000-0005-0000-0000-000058040000}"/>
    <cellStyle name="Moneda 2 3 2 5 2 2 2 2" xfId="1126" xr:uid="{00000000-0005-0000-0000-000059040000}"/>
    <cellStyle name="Moneda 2 3 2 5 2 2 3" xfId="1127" xr:uid="{00000000-0005-0000-0000-00005A040000}"/>
    <cellStyle name="Moneda 2 3 2 5 2 3" xfId="1128" xr:uid="{00000000-0005-0000-0000-00005B040000}"/>
    <cellStyle name="Moneda 2 3 2 5 2 3 2" xfId="1129" xr:uid="{00000000-0005-0000-0000-00005C040000}"/>
    <cellStyle name="Moneda 2 3 2 5 2 3 3" xfId="1130" xr:uid="{00000000-0005-0000-0000-00005D040000}"/>
    <cellStyle name="Moneda 2 3 2 5 2 4" xfId="1131" xr:uid="{00000000-0005-0000-0000-00005E040000}"/>
    <cellStyle name="Moneda 2 3 2 5 2 4 2" xfId="1132" xr:uid="{00000000-0005-0000-0000-00005F040000}"/>
    <cellStyle name="Moneda 2 3 2 5 2 5" xfId="1133" xr:uid="{00000000-0005-0000-0000-000060040000}"/>
    <cellStyle name="Moneda 2 3 2 5 2 6" xfId="1134" xr:uid="{00000000-0005-0000-0000-000061040000}"/>
    <cellStyle name="Moneda 2 3 2 5 3" xfId="1135" xr:uid="{00000000-0005-0000-0000-000062040000}"/>
    <cellStyle name="Moneda 2 3 2 5 3 2" xfId="1136" xr:uid="{00000000-0005-0000-0000-000063040000}"/>
    <cellStyle name="Moneda 2 3 2 5 3 2 2" xfId="1137" xr:uid="{00000000-0005-0000-0000-000064040000}"/>
    <cellStyle name="Moneda 2 3 2 5 3 3" xfId="1138" xr:uid="{00000000-0005-0000-0000-000065040000}"/>
    <cellStyle name="Moneda 2 3 2 5 4" xfId="1139" xr:uid="{00000000-0005-0000-0000-000066040000}"/>
    <cellStyle name="Moneda 2 3 2 5 4 2" xfId="1140" xr:uid="{00000000-0005-0000-0000-000067040000}"/>
    <cellStyle name="Moneda 2 3 2 5 4 3" xfId="1141" xr:uid="{00000000-0005-0000-0000-000068040000}"/>
    <cellStyle name="Moneda 2 3 2 5 5" xfId="1142" xr:uid="{00000000-0005-0000-0000-000069040000}"/>
    <cellStyle name="Moneda 2 3 2 5 5 2" xfId="1143" xr:uid="{00000000-0005-0000-0000-00006A040000}"/>
    <cellStyle name="Moneda 2 3 2 5 6" xfId="1144" xr:uid="{00000000-0005-0000-0000-00006B040000}"/>
    <cellStyle name="Moneda 2 3 2 5 7" xfId="1145" xr:uid="{00000000-0005-0000-0000-00006C040000}"/>
    <cellStyle name="Moneda 2 3 2 6" xfId="1146" xr:uid="{00000000-0005-0000-0000-00006D040000}"/>
    <cellStyle name="Moneda 2 3 2 6 2" xfId="1147" xr:uid="{00000000-0005-0000-0000-00006E040000}"/>
    <cellStyle name="Moneda 2 3 2 6 2 2" xfId="1148" xr:uid="{00000000-0005-0000-0000-00006F040000}"/>
    <cellStyle name="Moneda 2 3 2 6 2 2 2" xfId="1149" xr:uid="{00000000-0005-0000-0000-000070040000}"/>
    <cellStyle name="Moneda 2 3 2 6 2 3" xfId="1150" xr:uid="{00000000-0005-0000-0000-000071040000}"/>
    <cellStyle name="Moneda 2 3 2 6 3" xfId="1151" xr:uid="{00000000-0005-0000-0000-000072040000}"/>
    <cellStyle name="Moneda 2 3 2 6 3 2" xfId="1152" xr:uid="{00000000-0005-0000-0000-000073040000}"/>
    <cellStyle name="Moneda 2 3 2 6 3 3" xfId="1153" xr:uid="{00000000-0005-0000-0000-000074040000}"/>
    <cellStyle name="Moneda 2 3 2 6 4" xfId="1154" xr:uid="{00000000-0005-0000-0000-000075040000}"/>
    <cellStyle name="Moneda 2 3 2 6 4 2" xfId="1155" xr:uid="{00000000-0005-0000-0000-000076040000}"/>
    <cellStyle name="Moneda 2 3 2 6 5" xfId="1156" xr:uid="{00000000-0005-0000-0000-000077040000}"/>
    <cellStyle name="Moneda 2 3 2 6 6" xfId="1157" xr:uid="{00000000-0005-0000-0000-000078040000}"/>
    <cellStyle name="Moneda 2 3 2 7" xfId="1158" xr:uid="{00000000-0005-0000-0000-000079040000}"/>
    <cellStyle name="Moneda 2 3 2 7 2" xfId="1159" xr:uid="{00000000-0005-0000-0000-00007A040000}"/>
    <cellStyle name="Moneda 2 3 2 7 2 2" xfId="1160" xr:uid="{00000000-0005-0000-0000-00007B040000}"/>
    <cellStyle name="Moneda 2 3 2 7 3" xfId="1161" xr:uid="{00000000-0005-0000-0000-00007C040000}"/>
    <cellStyle name="Moneda 2 3 2 8" xfId="1162" xr:uid="{00000000-0005-0000-0000-00007D040000}"/>
    <cellStyle name="Moneda 2 3 2 8 2" xfId="1163" xr:uid="{00000000-0005-0000-0000-00007E040000}"/>
    <cellStyle name="Moneda 2 3 2 8 3" xfId="1164" xr:uid="{00000000-0005-0000-0000-00007F040000}"/>
    <cellStyle name="Moneda 2 3 2 9" xfId="1165" xr:uid="{00000000-0005-0000-0000-000080040000}"/>
    <cellStyle name="Moneda 2 3 2 9 2" xfId="1166" xr:uid="{00000000-0005-0000-0000-000081040000}"/>
    <cellStyle name="Moneda 2 3 3" xfId="1167" xr:uid="{00000000-0005-0000-0000-000082040000}"/>
    <cellStyle name="Moneda 2 3 3 2" xfId="1168" xr:uid="{00000000-0005-0000-0000-000083040000}"/>
    <cellStyle name="Moneda 2 3 3 2 2" xfId="1169" xr:uid="{00000000-0005-0000-0000-000084040000}"/>
    <cellStyle name="Moneda 2 3 3 2 2 2" xfId="1170" xr:uid="{00000000-0005-0000-0000-000085040000}"/>
    <cellStyle name="Moneda 2 3 3 2 2 2 2" xfId="1171" xr:uid="{00000000-0005-0000-0000-000086040000}"/>
    <cellStyle name="Moneda 2 3 3 2 2 2 2 2" xfId="1172" xr:uid="{00000000-0005-0000-0000-000087040000}"/>
    <cellStyle name="Moneda 2 3 3 2 2 2 3" xfId="1173" xr:uid="{00000000-0005-0000-0000-000088040000}"/>
    <cellStyle name="Moneda 2 3 3 2 2 3" xfId="1174" xr:uid="{00000000-0005-0000-0000-000089040000}"/>
    <cellStyle name="Moneda 2 3 3 2 2 3 2" xfId="1175" xr:uid="{00000000-0005-0000-0000-00008A040000}"/>
    <cellStyle name="Moneda 2 3 3 2 2 3 3" xfId="1176" xr:uid="{00000000-0005-0000-0000-00008B040000}"/>
    <cellStyle name="Moneda 2 3 3 2 2 4" xfId="1177" xr:uid="{00000000-0005-0000-0000-00008C040000}"/>
    <cellStyle name="Moneda 2 3 3 2 2 4 2" xfId="1178" xr:uid="{00000000-0005-0000-0000-00008D040000}"/>
    <cellStyle name="Moneda 2 3 3 2 2 5" xfId="1179" xr:uid="{00000000-0005-0000-0000-00008E040000}"/>
    <cellStyle name="Moneda 2 3 3 2 2 6" xfId="1180" xr:uid="{00000000-0005-0000-0000-00008F040000}"/>
    <cellStyle name="Moneda 2 3 3 2 3" xfId="1181" xr:uid="{00000000-0005-0000-0000-000090040000}"/>
    <cellStyle name="Moneda 2 3 3 2 3 2" xfId="1182" xr:uid="{00000000-0005-0000-0000-000091040000}"/>
    <cellStyle name="Moneda 2 3 3 2 3 2 2" xfId="1183" xr:uid="{00000000-0005-0000-0000-000092040000}"/>
    <cellStyle name="Moneda 2 3 3 2 3 3" xfId="1184" xr:uid="{00000000-0005-0000-0000-000093040000}"/>
    <cellStyle name="Moneda 2 3 3 2 4" xfId="1185" xr:uid="{00000000-0005-0000-0000-000094040000}"/>
    <cellStyle name="Moneda 2 3 3 2 4 2" xfId="1186" xr:uid="{00000000-0005-0000-0000-000095040000}"/>
    <cellStyle name="Moneda 2 3 3 2 4 3" xfId="1187" xr:uid="{00000000-0005-0000-0000-000096040000}"/>
    <cellStyle name="Moneda 2 3 3 2 5" xfId="1188" xr:uid="{00000000-0005-0000-0000-000097040000}"/>
    <cellStyle name="Moneda 2 3 3 2 5 2" xfId="1189" xr:uid="{00000000-0005-0000-0000-000098040000}"/>
    <cellStyle name="Moneda 2 3 3 2 6" xfId="1190" xr:uid="{00000000-0005-0000-0000-000099040000}"/>
    <cellStyle name="Moneda 2 3 3 2 7" xfId="1191" xr:uid="{00000000-0005-0000-0000-00009A040000}"/>
    <cellStyle name="Moneda 2 3 3 3" xfId="1192" xr:uid="{00000000-0005-0000-0000-00009B040000}"/>
    <cellStyle name="Moneda 2 3 3 3 2" xfId="1193" xr:uid="{00000000-0005-0000-0000-00009C040000}"/>
    <cellStyle name="Moneda 2 3 3 3 2 2" xfId="1194" xr:uid="{00000000-0005-0000-0000-00009D040000}"/>
    <cellStyle name="Moneda 2 3 3 3 2 2 2" xfId="1195" xr:uid="{00000000-0005-0000-0000-00009E040000}"/>
    <cellStyle name="Moneda 2 3 3 3 2 2 3" xfId="1196" xr:uid="{00000000-0005-0000-0000-00009F040000}"/>
    <cellStyle name="Moneda 2 3 3 3 2 3" xfId="1197" xr:uid="{00000000-0005-0000-0000-0000A0040000}"/>
    <cellStyle name="Moneda 2 3 3 3 2 4" xfId="1198" xr:uid="{00000000-0005-0000-0000-0000A1040000}"/>
    <cellStyle name="Moneda 2 3 3 3 3" xfId="1199" xr:uid="{00000000-0005-0000-0000-0000A2040000}"/>
    <cellStyle name="Moneda 2 3 3 3 3 2" xfId="1200" xr:uid="{00000000-0005-0000-0000-0000A3040000}"/>
    <cellStyle name="Moneda 2 3 3 3 3 2 2" xfId="1201" xr:uid="{00000000-0005-0000-0000-0000A4040000}"/>
    <cellStyle name="Moneda 2 3 3 3 3 3" xfId="1202" xr:uid="{00000000-0005-0000-0000-0000A5040000}"/>
    <cellStyle name="Moneda 2 3 3 3 4" xfId="1203" xr:uid="{00000000-0005-0000-0000-0000A6040000}"/>
    <cellStyle name="Moneda 2 3 3 3 4 2" xfId="1204" xr:uid="{00000000-0005-0000-0000-0000A7040000}"/>
    <cellStyle name="Moneda 2 3 3 3 4 3" xfId="1205" xr:uid="{00000000-0005-0000-0000-0000A8040000}"/>
    <cellStyle name="Moneda 2 3 3 3 5" xfId="1206" xr:uid="{00000000-0005-0000-0000-0000A9040000}"/>
    <cellStyle name="Moneda 2 3 3 3 6" xfId="1207" xr:uid="{00000000-0005-0000-0000-0000AA040000}"/>
    <cellStyle name="Moneda 2 3 3 4" xfId="1208" xr:uid="{00000000-0005-0000-0000-0000AB040000}"/>
    <cellStyle name="Moneda 2 3 3 4 2" xfId="1209" xr:uid="{00000000-0005-0000-0000-0000AC040000}"/>
    <cellStyle name="Moneda 2 3 3 4 2 2" xfId="1210" xr:uid="{00000000-0005-0000-0000-0000AD040000}"/>
    <cellStyle name="Moneda 2 3 3 4 2 2 2" xfId="1211" xr:uid="{00000000-0005-0000-0000-0000AE040000}"/>
    <cellStyle name="Moneda 2 3 3 4 2 3" xfId="1212" xr:uid="{00000000-0005-0000-0000-0000AF040000}"/>
    <cellStyle name="Moneda 2 3 3 4 2 4" xfId="1213" xr:uid="{00000000-0005-0000-0000-0000B0040000}"/>
    <cellStyle name="Moneda 2 3 3 4 3" xfId="1214" xr:uid="{00000000-0005-0000-0000-0000B1040000}"/>
    <cellStyle name="Moneda 2 3 3 4 3 2" xfId="1215" xr:uid="{00000000-0005-0000-0000-0000B2040000}"/>
    <cellStyle name="Moneda 2 3 3 4 4" xfId="1216" xr:uid="{00000000-0005-0000-0000-0000B3040000}"/>
    <cellStyle name="Moneda 2 3 3 4 5" xfId="1217" xr:uid="{00000000-0005-0000-0000-0000B4040000}"/>
    <cellStyle name="Moneda 2 3 3 5" xfId="1218" xr:uid="{00000000-0005-0000-0000-0000B5040000}"/>
    <cellStyle name="Moneda 2 3 3 5 2" xfId="1219" xr:uid="{00000000-0005-0000-0000-0000B6040000}"/>
    <cellStyle name="Moneda 2 3 3 5 2 2" xfId="1220" xr:uid="{00000000-0005-0000-0000-0000B7040000}"/>
    <cellStyle name="Moneda 2 3 3 5 2 3" xfId="1221" xr:uid="{00000000-0005-0000-0000-0000B8040000}"/>
    <cellStyle name="Moneda 2 3 3 5 3" xfId="1222" xr:uid="{00000000-0005-0000-0000-0000B9040000}"/>
    <cellStyle name="Moneda 2 3 3 5 4" xfId="1223" xr:uid="{00000000-0005-0000-0000-0000BA040000}"/>
    <cellStyle name="Moneda 2 3 3 6" xfId="1224" xr:uid="{00000000-0005-0000-0000-0000BB040000}"/>
    <cellStyle name="Moneda 2 3 3 6 2" xfId="1225" xr:uid="{00000000-0005-0000-0000-0000BC040000}"/>
    <cellStyle name="Moneda 2 3 3 6 2 2" xfId="1226" xr:uid="{00000000-0005-0000-0000-0000BD040000}"/>
    <cellStyle name="Moneda 2 3 3 6 3" xfId="1227" xr:uid="{00000000-0005-0000-0000-0000BE040000}"/>
    <cellStyle name="Moneda 2 3 3 7" xfId="1228" xr:uid="{00000000-0005-0000-0000-0000BF040000}"/>
    <cellStyle name="Moneda 2 3 3 7 2" xfId="1229" xr:uid="{00000000-0005-0000-0000-0000C0040000}"/>
    <cellStyle name="Moneda 2 3 3 8" xfId="1230" xr:uid="{00000000-0005-0000-0000-0000C1040000}"/>
    <cellStyle name="Moneda 2 3 4" xfId="1231" xr:uid="{00000000-0005-0000-0000-0000C2040000}"/>
    <cellStyle name="Moneda 2 3 4 2" xfId="1232" xr:uid="{00000000-0005-0000-0000-0000C3040000}"/>
    <cellStyle name="Moneda 2 3 4 2 2" xfId="1233" xr:uid="{00000000-0005-0000-0000-0000C4040000}"/>
    <cellStyle name="Moneda 2 3 4 2 2 2" xfId="1234" xr:uid="{00000000-0005-0000-0000-0000C5040000}"/>
    <cellStyle name="Moneda 2 3 4 2 2 2 2" xfId="1235" xr:uid="{00000000-0005-0000-0000-0000C6040000}"/>
    <cellStyle name="Moneda 2 3 4 2 2 2 2 2" xfId="1236" xr:uid="{00000000-0005-0000-0000-0000C7040000}"/>
    <cellStyle name="Moneda 2 3 4 2 2 2 3" xfId="1237" xr:uid="{00000000-0005-0000-0000-0000C8040000}"/>
    <cellStyle name="Moneda 2 3 4 2 2 3" xfId="1238" xr:uid="{00000000-0005-0000-0000-0000C9040000}"/>
    <cellStyle name="Moneda 2 3 4 2 2 3 2" xfId="1239" xr:uid="{00000000-0005-0000-0000-0000CA040000}"/>
    <cellStyle name="Moneda 2 3 4 2 2 3 3" xfId="1240" xr:uid="{00000000-0005-0000-0000-0000CB040000}"/>
    <cellStyle name="Moneda 2 3 4 2 2 4" xfId="1241" xr:uid="{00000000-0005-0000-0000-0000CC040000}"/>
    <cellStyle name="Moneda 2 3 4 2 2 4 2" xfId="1242" xr:uid="{00000000-0005-0000-0000-0000CD040000}"/>
    <cellStyle name="Moneda 2 3 4 2 2 5" xfId="1243" xr:uid="{00000000-0005-0000-0000-0000CE040000}"/>
    <cellStyle name="Moneda 2 3 4 2 2 6" xfId="1244" xr:uid="{00000000-0005-0000-0000-0000CF040000}"/>
    <cellStyle name="Moneda 2 3 4 2 3" xfId="1245" xr:uid="{00000000-0005-0000-0000-0000D0040000}"/>
    <cellStyle name="Moneda 2 3 4 2 3 2" xfId="1246" xr:uid="{00000000-0005-0000-0000-0000D1040000}"/>
    <cellStyle name="Moneda 2 3 4 2 3 2 2" xfId="1247" xr:uid="{00000000-0005-0000-0000-0000D2040000}"/>
    <cellStyle name="Moneda 2 3 4 2 3 3" xfId="1248" xr:uid="{00000000-0005-0000-0000-0000D3040000}"/>
    <cellStyle name="Moneda 2 3 4 2 4" xfId="1249" xr:uid="{00000000-0005-0000-0000-0000D4040000}"/>
    <cellStyle name="Moneda 2 3 4 2 4 2" xfId="1250" xr:uid="{00000000-0005-0000-0000-0000D5040000}"/>
    <cellStyle name="Moneda 2 3 4 2 4 3" xfId="1251" xr:uid="{00000000-0005-0000-0000-0000D6040000}"/>
    <cellStyle name="Moneda 2 3 4 2 5" xfId="1252" xr:uid="{00000000-0005-0000-0000-0000D7040000}"/>
    <cellStyle name="Moneda 2 3 4 2 5 2" xfId="1253" xr:uid="{00000000-0005-0000-0000-0000D8040000}"/>
    <cellStyle name="Moneda 2 3 4 2 6" xfId="1254" xr:uid="{00000000-0005-0000-0000-0000D9040000}"/>
    <cellStyle name="Moneda 2 3 4 2 7" xfId="1255" xr:uid="{00000000-0005-0000-0000-0000DA040000}"/>
    <cellStyle name="Moneda 2 3 4 3" xfId="1256" xr:uid="{00000000-0005-0000-0000-0000DB040000}"/>
    <cellStyle name="Moneda 2 3 4 3 2" xfId="1257" xr:uid="{00000000-0005-0000-0000-0000DC040000}"/>
    <cellStyle name="Moneda 2 3 4 3 2 2" xfId="1258" xr:uid="{00000000-0005-0000-0000-0000DD040000}"/>
    <cellStyle name="Moneda 2 3 4 3 2 2 2" xfId="1259" xr:uid="{00000000-0005-0000-0000-0000DE040000}"/>
    <cellStyle name="Moneda 2 3 4 3 2 2 3" xfId="1260" xr:uid="{00000000-0005-0000-0000-0000DF040000}"/>
    <cellStyle name="Moneda 2 3 4 3 2 3" xfId="1261" xr:uid="{00000000-0005-0000-0000-0000E0040000}"/>
    <cellStyle name="Moneda 2 3 4 3 2 4" xfId="1262" xr:uid="{00000000-0005-0000-0000-0000E1040000}"/>
    <cellStyle name="Moneda 2 3 4 3 3" xfId="1263" xr:uid="{00000000-0005-0000-0000-0000E2040000}"/>
    <cellStyle name="Moneda 2 3 4 3 3 2" xfId="1264" xr:uid="{00000000-0005-0000-0000-0000E3040000}"/>
    <cellStyle name="Moneda 2 3 4 3 3 2 2" xfId="1265" xr:uid="{00000000-0005-0000-0000-0000E4040000}"/>
    <cellStyle name="Moneda 2 3 4 3 3 3" xfId="1266" xr:uid="{00000000-0005-0000-0000-0000E5040000}"/>
    <cellStyle name="Moneda 2 3 4 3 4" xfId="1267" xr:uid="{00000000-0005-0000-0000-0000E6040000}"/>
    <cellStyle name="Moneda 2 3 4 3 4 2" xfId="1268" xr:uid="{00000000-0005-0000-0000-0000E7040000}"/>
    <cellStyle name="Moneda 2 3 4 3 4 3" xfId="1269" xr:uid="{00000000-0005-0000-0000-0000E8040000}"/>
    <cellStyle name="Moneda 2 3 4 3 5" xfId="1270" xr:uid="{00000000-0005-0000-0000-0000E9040000}"/>
    <cellStyle name="Moneda 2 3 4 3 6" xfId="1271" xr:uid="{00000000-0005-0000-0000-0000EA040000}"/>
    <cellStyle name="Moneda 2 3 4 4" xfId="1272" xr:uid="{00000000-0005-0000-0000-0000EB040000}"/>
    <cellStyle name="Moneda 2 3 4 4 2" xfId="1273" xr:uid="{00000000-0005-0000-0000-0000EC040000}"/>
    <cellStyle name="Moneda 2 3 4 4 2 2" xfId="1274" xr:uid="{00000000-0005-0000-0000-0000ED040000}"/>
    <cellStyle name="Moneda 2 3 4 4 2 2 2" xfId="1275" xr:uid="{00000000-0005-0000-0000-0000EE040000}"/>
    <cellStyle name="Moneda 2 3 4 4 2 3" xfId="1276" xr:uid="{00000000-0005-0000-0000-0000EF040000}"/>
    <cellStyle name="Moneda 2 3 4 4 2 4" xfId="1277" xr:uid="{00000000-0005-0000-0000-0000F0040000}"/>
    <cellStyle name="Moneda 2 3 4 4 3" xfId="1278" xr:uid="{00000000-0005-0000-0000-0000F1040000}"/>
    <cellStyle name="Moneda 2 3 4 4 3 2" xfId="1279" xr:uid="{00000000-0005-0000-0000-0000F2040000}"/>
    <cellStyle name="Moneda 2 3 4 4 4" xfId="1280" xr:uid="{00000000-0005-0000-0000-0000F3040000}"/>
    <cellStyle name="Moneda 2 3 4 4 5" xfId="1281" xr:uid="{00000000-0005-0000-0000-0000F4040000}"/>
    <cellStyle name="Moneda 2 3 4 5" xfId="1282" xr:uid="{00000000-0005-0000-0000-0000F5040000}"/>
    <cellStyle name="Moneda 2 3 4 5 2" xfId="1283" xr:uid="{00000000-0005-0000-0000-0000F6040000}"/>
    <cellStyle name="Moneda 2 3 4 5 2 2" xfId="1284" xr:uid="{00000000-0005-0000-0000-0000F7040000}"/>
    <cellStyle name="Moneda 2 3 4 5 2 3" xfId="1285" xr:uid="{00000000-0005-0000-0000-0000F8040000}"/>
    <cellStyle name="Moneda 2 3 4 5 3" xfId="1286" xr:uid="{00000000-0005-0000-0000-0000F9040000}"/>
    <cellStyle name="Moneda 2 3 4 5 4" xfId="1287" xr:uid="{00000000-0005-0000-0000-0000FA040000}"/>
    <cellStyle name="Moneda 2 3 4 6" xfId="1288" xr:uid="{00000000-0005-0000-0000-0000FB040000}"/>
    <cellStyle name="Moneda 2 3 4 6 2" xfId="1289" xr:uid="{00000000-0005-0000-0000-0000FC040000}"/>
    <cellStyle name="Moneda 2 3 4 6 2 2" xfId="1290" xr:uid="{00000000-0005-0000-0000-0000FD040000}"/>
    <cellStyle name="Moneda 2 3 4 6 3" xfId="1291" xr:uid="{00000000-0005-0000-0000-0000FE040000}"/>
    <cellStyle name="Moneda 2 3 4 7" xfId="1292" xr:uid="{00000000-0005-0000-0000-0000FF040000}"/>
    <cellStyle name="Moneda 2 3 4 7 2" xfId="1293" xr:uid="{00000000-0005-0000-0000-000000050000}"/>
    <cellStyle name="Moneda 2 3 4 8" xfId="1294" xr:uid="{00000000-0005-0000-0000-000001050000}"/>
    <cellStyle name="Moneda 2 3 5" xfId="1295" xr:uid="{00000000-0005-0000-0000-000002050000}"/>
    <cellStyle name="Moneda 2 3 5 2" xfId="1296" xr:uid="{00000000-0005-0000-0000-000003050000}"/>
    <cellStyle name="Moneda 2 3 5 2 2" xfId="1297" xr:uid="{00000000-0005-0000-0000-000004050000}"/>
    <cellStyle name="Moneda 2 3 5 2 2 2" xfId="1298" xr:uid="{00000000-0005-0000-0000-000005050000}"/>
    <cellStyle name="Moneda 2 3 5 2 2 2 2" xfId="1299" xr:uid="{00000000-0005-0000-0000-000006050000}"/>
    <cellStyle name="Moneda 2 3 5 2 2 2 3" xfId="1300" xr:uid="{00000000-0005-0000-0000-000007050000}"/>
    <cellStyle name="Moneda 2 3 5 2 2 3" xfId="1301" xr:uid="{00000000-0005-0000-0000-000008050000}"/>
    <cellStyle name="Moneda 2 3 5 2 2 3 2" xfId="1302" xr:uid="{00000000-0005-0000-0000-000009050000}"/>
    <cellStyle name="Moneda 2 3 5 2 2 4" xfId="1303" xr:uid="{00000000-0005-0000-0000-00000A050000}"/>
    <cellStyle name="Moneda 2 3 5 2 2 4 2" xfId="1304" xr:uid="{00000000-0005-0000-0000-00000B050000}"/>
    <cellStyle name="Moneda 2 3 5 2 2 5" xfId="1305" xr:uid="{00000000-0005-0000-0000-00000C050000}"/>
    <cellStyle name="Moneda 2 3 5 2 2 6" xfId="1306" xr:uid="{00000000-0005-0000-0000-00000D050000}"/>
    <cellStyle name="Moneda 2 3 5 2 3" xfId="1307" xr:uid="{00000000-0005-0000-0000-00000E050000}"/>
    <cellStyle name="Moneda 2 3 5 2 3 2" xfId="1308" xr:uid="{00000000-0005-0000-0000-00000F050000}"/>
    <cellStyle name="Moneda 2 3 5 2 3 3" xfId="1309" xr:uid="{00000000-0005-0000-0000-000010050000}"/>
    <cellStyle name="Moneda 2 3 5 2 4" xfId="1310" xr:uid="{00000000-0005-0000-0000-000011050000}"/>
    <cellStyle name="Moneda 2 3 5 2 4 2" xfId="1311" xr:uid="{00000000-0005-0000-0000-000012050000}"/>
    <cellStyle name="Moneda 2 3 5 2 5" xfId="1312" xr:uid="{00000000-0005-0000-0000-000013050000}"/>
    <cellStyle name="Moneda 2 3 5 2 5 2" xfId="1313" xr:uid="{00000000-0005-0000-0000-000014050000}"/>
    <cellStyle name="Moneda 2 3 5 2 6" xfId="1314" xr:uid="{00000000-0005-0000-0000-000015050000}"/>
    <cellStyle name="Moneda 2 3 5 2 7" xfId="1315" xr:uid="{00000000-0005-0000-0000-000016050000}"/>
    <cellStyle name="Moneda 2 3 5 3" xfId="1316" xr:uid="{00000000-0005-0000-0000-000017050000}"/>
    <cellStyle name="Moneda 2 3 5 3 2" xfId="1317" xr:uid="{00000000-0005-0000-0000-000018050000}"/>
    <cellStyle name="Moneda 2 3 5 3 2 2" xfId="1318" xr:uid="{00000000-0005-0000-0000-000019050000}"/>
    <cellStyle name="Moneda 2 3 5 3 2 3" xfId="1319" xr:uid="{00000000-0005-0000-0000-00001A050000}"/>
    <cellStyle name="Moneda 2 3 5 3 3" xfId="1320" xr:uid="{00000000-0005-0000-0000-00001B050000}"/>
    <cellStyle name="Moneda 2 3 5 3 3 2" xfId="1321" xr:uid="{00000000-0005-0000-0000-00001C050000}"/>
    <cellStyle name="Moneda 2 3 5 3 4" xfId="1322" xr:uid="{00000000-0005-0000-0000-00001D050000}"/>
    <cellStyle name="Moneda 2 3 5 3 4 2" xfId="1323" xr:uid="{00000000-0005-0000-0000-00001E050000}"/>
    <cellStyle name="Moneda 2 3 5 3 5" xfId="1324" xr:uid="{00000000-0005-0000-0000-00001F050000}"/>
    <cellStyle name="Moneda 2 3 5 3 6" xfId="1325" xr:uid="{00000000-0005-0000-0000-000020050000}"/>
    <cellStyle name="Moneda 2 3 5 4" xfId="1326" xr:uid="{00000000-0005-0000-0000-000021050000}"/>
    <cellStyle name="Moneda 2 3 5 4 2" xfId="1327" xr:uid="{00000000-0005-0000-0000-000022050000}"/>
    <cellStyle name="Moneda 2 3 5 4 3" xfId="1328" xr:uid="{00000000-0005-0000-0000-000023050000}"/>
    <cellStyle name="Moneda 2 3 5 5" xfId="1329" xr:uid="{00000000-0005-0000-0000-000024050000}"/>
    <cellStyle name="Moneda 2 3 5 5 2" xfId="1330" xr:uid="{00000000-0005-0000-0000-000025050000}"/>
    <cellStyle name="Moneda 2 3 5 6" xfId="1331" xr:uid="{00000000-0005-0000-0000-000026050000}"/>
    <cellStyle name="Moneda 2 3 5 6 2" xfId="1332" xr:uid="{00000000-0005-0000-0000-000027050000}"/>
    <cellStyle name="Moneda 2 3 5 7" xfId="1333" xr:uid="{00000000-0005-0000-0000-000028050000}"/>
    <cellStyle name="Moneda 2 3 5 8" xfId="1334" xr:uid="{00000000-0005-0000-0000-000029050000}"/>
    <cellStyle name="Moneda 2 3 6" xfId="1335" xr:uid="{00000000-0005-0000-0000-00002A050000}"/>
    <cellStyle name="Moneda 2 3 6 2" xfId="1336" xr:uid="{00000000-0005-0000-0000-00002B050000}"/>
    <cellStyle name="Moneda 2 3 6 2 2" xfId="1337" xr:uid="{00000000-0005-0000-0000-00002C050000}"/>
    <cellStyle name="Moneda 2 3 6 2 2 2" xfId="1338" xr:uid="{00000000-0005-0000-0000-00002D050000}"/>
    <cellStyle name="Moneda 2 3 6 2 2 2 2" xfId="1339" xr:uid="{00000000-0005-0000-0000-00002E050000}"/>
    <cellStyle name="Moneda 2 3 6 2 2 3" xfId="1340" xr:uid="{00000000-0005-0000-0000-00002F050000}"/>
    <cellStyle name="Moneda 2 3 6 2 3" xfId="1341" xr:uid="{00000000-0005-0000-0000-000030050000}"/>
    <cellStyle name="Moneda 2 3 6 2 3 2" xfId="1342" xr:uid="{00000000-0005-0000-0000-000031050000}"/>
    <cellStyle name="Moneda 2 3 6 2 3 3" xfId="1343" xr:uid="{00000000-0005-0000-0000-000032050000}"/>
    <cellStyle name="Moneda 2 3 6 2 4" xfId="1344" xr:uid="{00000000-0005-0000-0000-000033050000}"/>
    <cellStyle name="Moneda 2 3 6 2 4 2" xfId="1345" xr:uid="{00000000-0005-0000-0000-000034050000}"/>
    <cellStyle name="Moneda 2 3 6 2 5" xfId="1346" xr:uid="{00000000-0005-0000-0000-000035050000}"/>
    <cellStyle name="Moneda 2 3 6 2 6" xfId="1347" xr:uid="{00000000-0005-0000-0000-000036050000}"/>
    <cellStyle name="Moneda 2 3 6 3" xfId="1348" xr:uid="{00000000-0005-0000-0000-000037050000}"/>
    <cellStyle name="Moneda 2 3 6 3 2" xfId="1349" xr:uid="{00000000-0005-0000-0000-000038050000}"/>
    <cellStyle name="Moneda 2 3 6 3 2 2" xfId="1350" xr:uid="{00000000-0005-0000-0000-000039050000}"/>
    <cellStyle name="Moneda 2 3 6 3 3" xfId="1351" xr:uid="{00000000-0005-0000-0000-00003A050000}"/>
    <cellStyle name="Moneda 2 3 6 4" xfId="1352" xr:uid="{00000000-0005-0000-0000-00003B050000}"/>
    <cellStyle name="Moneda 2 3 6 4 2" xfId="1353" xr:uid="{00000000-0005-0000-0000-00003C050000}"/>
    <cellStyle name="Moneda 2 3 6 4 3" xfId="1354" xr:uid="{00000000-0005-0000-0000-00003D050000}"/>
    <cellStyle name="Moneda 2 3 6 5" xfId="1355" xr:uid="{00000000-0005-0000-0000-00003E050000}"/>
    <cellStyle name="Moneda 2 3 6 5 2" xfId="1356" xr:uid="{00000000-0005-0000-0000-00003F050000}"/>
    <cellStyle name="Moneda 2 3 6 6" xfId="1357" xr:uid="{00000000-0005-0000-0000-000040050000}"/>
    <cellStyle name="Moneda 2 3 6 7" xfId="1358" xr:uid="{00000000-0005-0000-0000-000041050000}"/>
    <cellStyle name="Moneda 2 3 7" xfId="1359" xr:uid="{00000000-0005-0000-0000-000042050000}"/>
    <cellStyle name="Moneda 2 3 7 2" xfId="1360" xr:uid="{00000000-0005-0000-0000-000043050000}"/>
    <cellStyle name="Moneda 2 3 7 2 2" xfId="1361" xr:uid="{00000000-0005-0000-0000-000044050000}"/>
    <cellStyle name="Moneda 2 3 7 2 2 2" xfId="1362" xr:uid="{00000000-0005-0000-0000-000045050000}"/>
    <cellStyle name="Moneda 2 3 7 2 2 3" xfId="1363" xr:uid="{00000000-0005-0000-0000-000046050000}"/>
    <cellStyle name="Moneda 2 3 7 2 3" xfId="1364" xr:uid="{00000000-0005-0000-0000-000047050000}"/>
    <cellStyle name="Moneda 2 3 7 2 4" xfId="1365" xr:uid="{00000000-0005-0000-0000-000048050000}"/>
    <cellStyle name="Moneda 2 3 7 3" xfId="1366" xr:uid="{00000000-0005-0000-0000-000049050000}"/>
    <cellStyle name="Moneda 2 3 7 3 2" xfId="1367" xr:uid="{00000000-0005-0000-0000-00004A050000}"/>
    <cellStyle name="Moneda 2 3 7 3 2 2" xfId="1368" xr:uid="{00000000-0005-0000-0000-00004B050000}"/>
    <cellStyle name="Moneda 2 3 7 3 3" xfId="1369" xr:uid="{00000000-0005-0000-0000-00004C050000}"/>
    <cellStyle name="Moneda 2 3 7 4" xfId="1370" xr:uid="{00000000-0005-0000-0000-00004D050000}"/>
    <cellStyle name="Moneda 2 3 7 4 2" xfId="1371" xr:uid="{00000000-0005-0000-0000-00004E050000}"/>
    <cellStyle name="Moneda 2 3 7 4 3" xfId="1372" xr:uid="{00000000-0005-0000-0000-00004F050000}"/>
    <cellStyle name="Moneda 2 3 7 5" xfId="1373" xr:uid="{00000000-0005-0000-0000-000050050000}"/>
    <cellStyle name="Moneda 2 3 7 6" xfId="1374" xr:uid="{00000000-0005-0000-0000-000051050000}"/>
    <cellStyle name="Moneda 2 3 8" xfId="1375" xr:uid="{00000000-0005-0000-0000-000052050000}"/>
    <cellStyle name="Moneda 2 3 8 2" xfId="1376" xr:uid="{00000000-0005-0000-0000-000053050000}"/>
    <cellStyle name="Moneda 2 3 8 2 2" xfId="1377" xr:uid="{00000000-0005-0000-0000-000054050000}"/>
    <cellStyle name="Moneda 2 3 8 2 3" xfId="1378" xr:uid="{00000000-0005-0000-0000-000055050000}"/>
    <cellStyle name="Moneda 2 3 8 3" xfId="1379" xr:uid="{00000000-0005-0000-0000-000056050000}"/>
    <cellStyle name="Moneda 2 3 8 4" xfId="1380" xr:uid="{00000000-0005-0000-0000-000057050000}"/>
    <cellStyle name="Moneda 2 3 9" xfId="1381" xr:uid="{00000000-0005-0000-0000-000058050000}"/>
    <cellStyle name="Moneda 2 3 9 2" xfId="1382" xr:uid="{00000000-0005-0000-0000-000059050000}"/>
    <cellStyle name="Moneda 2 3 9 2 2" xfId="1383" xr:uid="{00000000-0005-0000-0000-00005A050000}"/>
    <cellStyle name="Moneda 2 3 9 3" xfId="1384" xr:uid="{00000000-0005-0000-0000-00005B050000}"/>
    <cellStyle name="Moneda 2 4" xfId="1385" xr:uid="{00000000-0005-0000-0000-00005C050000}"/>
    <cellStyle name="Moneda 2 4 2" xfId="1386" xr:uid="{00000000-0005-0000-0000-00005D050000}"/>
    <cellStyle name="Moneda 2 5" xfId="1387" xr:uid="{00000000-0005-0000-0000-00005E050000}"/>
    <cellStyle name="Moneda 2 5 2" xfId="1388" xr:uid="{00000000-0005-0000-0000-00005F050000}"/>
    <cellStyle name="Moneda 2 5 2 2" xfId="1389" xr:uid="{00000000-0005-0000-0000-000060050000}"/>
    <cellStyle name="Moneda 2 5 3" xfId="1390" xr:uid="{00000000-0005-0000-0000-000061050000}"/>
    <cellStyle name="Moneda 2 5 3 2" xfId="1391" xr:uid="{00000000-0005-0000-0000-000062050000}"/>
    <cellStyle name="Moneda 2 5 4" xfId="1392" xr:uid="{00000000-0005-0000-0000-000063050000}"/>
    <cellStyle name="Moneda 2 5 4 2" xfId="1393" xr:uid="{00000000-0005-0000-0000-000064050000}"/>
    <cellStyle name="Moneda 2 5 5" xfId="1394" xr:uid="{00000000-0005-0000-0000-000065050000}"/>
    <cellStyle name="Moneda 2 6" xfId="1395" xr:uid="{00000000-0005-0000-0000-000066050000}"/>
    <cellStyle name="Moneda 20" xfId="1396" xr:uid="{00000000-0005-0000-0000-000067050000}"/>
    <cellStyle name="Moneda 20 2" xfId="1397" xr:uid="{00000000-0005-0000-0000-000068050000}"/>
    <cellStyle name="Moneda 20 2 2" xfId="1398" xr:uid="{00000000-0005-0000-0000-000069050000}"/>
    <cellStyle name="Moneda 20 2 2 2" xfId="1399" xr:uid="{00000000-0005-0000-0000-00006A050000}"/>
    <cellStyle name="Moneda 20 2 2 2 2" xfId="1400" xr:uid="{00000000-0005-0000-0000-00006B050000}"/>
    <cellStyle name="Moneda 20 2 2 3" xfId="1401" xr:uid="{00000000-0005-0000-0000-00006C050000}"/>
    <cellStyle name="Moneda 20 2 2 3 2" xfId="1402" xr:uid="{00000000-0005-0000-0000-00006D050000}"/>
    <cellStyle name="Moneda 20 2 2 4" xfId="1403" xr:uid="{00000000-0005-0000-0000-00006E050000}"/>
    <cellStyle name="Moneda 20 2 2 4 2" xfId="1404" xr:uid="{00000000-0005-0000-0000-00006F050000}"/>
    <cellStyle name="Moneda 20 2 2 5" xfId="1405" xr:uid="{00000000-0005-0000-0000-000070050000}"/>
    <cellStyle name="Moneda 20 2 3" xfId="1406" xr:uid="{00000000-0005-0000-0000-000071050000}"/>
    <cellStyle name="Moneda 20 2 3 2" xfId="1407" xr:uid="{00000000-0005-0000-0000-000072050000}"/>
    <cellStyle name="Moneda 20 2 4" xfId="1408" xr:uid="{00000000-0005-0000-0000-000073050000}"/>
    <cellStyle name="Moneda 20 2 4 2" xfId="1409" xr:uid="{00000000-0005-0000-0000-000074050000}"/>
    <cellStyle name="Moneda 20 2 5" xfId="1410" xr:uid="{00000000-0005-0000-0000-000075050000}"/>
    <cellStyle name="Moneda 20 2 5 2" xfId="1411" xr:uid="{00000000-0005-0000-0000-000076050000}"/>
    <cellStyle name="Moneda 20 2 6" xfId="1412" xr:uid="{00000000-0005-0000-0000-000077050000}"/>
    <cellStyle name="Moneda 20 2 7" xfId="1413" xr:uid="{00000000-0005-0000-0000-000078050000}"/>
    <cellStyle name="Moneda 20 3" xfId="1414" xr:uid="{00000000-0005-0000-0000-000079050000}"/>
    <cellStyle name="Moneda 20 3 2" xfId="1415" xr:uid="{00000000-0005-0000-0000-00007A050000}"/>
    <cellStyle name="Moneda 20 3 2 2" xfId="1416" xr:uid="{00000000-0005-0000-0000-00007B050000}"/>
    <cellStyle name="Moneda 20 3 3" xfId="1417" xr:uid="{00000000-0005-0000-0000-00007C050000}"/>
    <cellStyle name="Moneda 20 3 3 2" xfId="1418" xr:uid="{00000000-0005-0000-0000-00007D050000}"/>
    <cellStyle name="Moneda 20 3 4" xfId="1419" xr:uid="{00000000-0005-0000-0000-00007E050000}"/>
    <cellStyle name="Moneda 20 3 4 2" xfId="1420" xr:uid="{00000000-0005-0000-0000-00007F050000}"/>
    <cellStyle name="Moneda 20 3 5" xfId="1421" xr:uid="{00000000-0005-0000-0000-000080050000}"/>
    <cellStyle name="Moneda 20 4" xfId="1422" xr:uid="{00000000-0005-0000-0000-000081050000}"/>
    <cellStyle name="Moneda 20 4 2" xfId="1423" xr:uid="{00000000-0005-0000-0000-000082050000}"/>
    <cellStyle name="Moneda 20 5" xfId="1424" xr:uid="{00000000-0005-0000-0000-000083050000}"/>
    <cellStyle name="Moneda 20 5 2" xfId="1425" xr:uid="{00000000-0005-0000-0000-000084050000}"/>
    <cellStyle name="Moneda 20 6" xfId="1426" xr:uid="{00000000-0005-0000-0000-000085050000}"/>
    <cellStyle name="Moneda 20 6 2" xfId="1427" xr:uid="{00000000-0005-0000-0000-000086050000}"/>
    <cellStyle name="Moneda 20 7" xfId="1428" xr:uid="{00000000-0005-0000-0000-000087050000}"/>
    <cellStyle name="Moneda 20 8" xfId="1429" xr:uid="{00000000-0005-0000-0000-000088050000}"/>
    <cellStyle name="Moneda 21" xfId="1430" xr:uid="{00000000-0005-0000-0000-000089050000}"/>
    <cellStyle name="Moneda 21 2" xfId="1431" xr:uid="{00000000-0005-0000-0000-00008A050000}"/>
    <cellStyle name="Moneda 21 2 2" xfId="1432" xr:uid="{00000000-0005-0000-0000-00008B050000}"/>
    <cellStyle name="Moneda 21 2 2 2" xfId="1433" xr:uid="{00000000-0005-0000-0000-00008C050000}"/>
    <cellStyle name="Moneda 21 2 2 2 2" xfId="1434" xr:uid="{00000000-0005-0000-0000-00008D050000}"/>
    <cellStyle name="Moneda 21 2 2 3" xfId="1435" xr:uid="{00000000-0005-0000-0000-00008E050000}"/>
    <cellStyle name="Moneda 21 2 2 3 2" xfId="1436" xr:uid="{00000000-0005-0000-0000-00008F050000}"/>
    <cellStyle name="Moneda 21 2 2 4" xfId="1437" xr:uid="{00000000-0005-0000-0000-000090050000}"/>
    <cellStyle name="Moneda 21 2 2 4 2" xfId="1438" xr:uid="{00000000-0005-0000-0000-000091050000}"/>
    <cellStyle name="Moneda 21 2 2 5" xfId="1439" xr:uid="{00000000-0005-0000-0000-000092050000}"/>
    <cellStyle name="Moneda 21 2 3" xfId="1440" xr:uid="{00000000-0005-0000-0000-000093050000}"/>
    <cellStyle name="Moneda 21 2 3 2" xfId="1441" xr:uid="{00000000-0005-0000-0000-000094050000}"/>
    <cellStyle name="Moneda 21 2 4" xfId="1442" xr:uid="{00000000-0005-0000-0000-000095050000}"/>
    <cellStyle name="Moneda 21 2 4 2" xfId="1443" xr:uid="{00000000-0005-0000-0000-000096050000}"/>
    <cellStyle name="Moneda 21 2 5" xfId="1444" xr:uid="{00000000-0005-0000-0000-000097050000}"/>
    <cellStyle name="Moneda 21 2 5 2" xfId="1445" xr:uid="{00000000-0005-0000-0000-000098050000}"/>
    <cellStyle name="Moneda 21 2 6" xfId="1446" xr:uid="{00000000-0005-0000-0000-000099050000}"/>
    <cellStyle name="Moneda 21 2 7" xfId="1447" xr:uid="{00000000-0005-0000-0000-00009A050000}"/>
    <cellStyle name="Moneda 21 3" xfId="1448" xr:uid="{00000000-0005-0000-0000-00009B050000}"/>
    <cellStyle name="Moneda 21 3 2" xfId="1449" xr:uid="{00000000-0005-0000-0000-00009C050000}"/>
    <cellStyle name="Moneda 21 3 2 2" xfId="1450" xr:uid="{00000000-0005-0000-0000-00009D050000}"/>
    <cellStyle name="Moneda 21 3 3" xfId="1451" xr:uid="{00000000-0005-0000-0000-00009E050000}"/>
    <cellStyle name="Moneda 21 3 3 2" xfId="1452" xr:uid="{00000000-0005-0000-0000-00009F050000}"/>
    <cellStyle name="Moneda 21 3 4" xfId="1453" xr:uid="{00000000-0005-0000-0000-0000A0050000}"/>
    <cellStyle name="Moneda 21 3 4 2" xfId="1454" xr:uid="{00000000-0005-0000-0000-0000A1050000}"/>
    <cellStyle name="Moneda 21 3 5" xfId="1455" xr:uid="{00000000-0005-0000-0000-0000A2050000}"/>
    <cellStyle name="Moneda 21 4" xfId="1456" xr:uid="{00000000-0005-0000-0000-0000A3050000}"/>
    <cellStyle name="Moneda 21 4 2" xfId="1457" xr:uid="{00000000-0005-0000-0000-0000A4050000}"/>
    <cellStyle name="Moneda 21 5" xfId="1458" xr:uid="{00000000-0005-0000-0000-0000A5050000}"/>
    <cellStyle name="Moneda 21 5 2" xfId="1459" xr:uid="{00000000-0005-0000-0000-0000A6050000}"/>
    <cellStyle name="Moneda 21 6" xfId="1460" xr:uid="{00000000-0005-0000-0000-0000A7050000}"/>
    <cellStyle name="Moneda 21 6 2" xfId="1461" xr:uid="{00000000-0005-0000-0000-0000A8050000}"/>
    <cellStyle name="Moneda 21 7" xfId="1462" xr:uid="{00000000-0005-0000-0000-0000A9050000}"/>
    <cellStyle name="Moneda 21 8" xfId="1463" xr:uid="{00000000-0005-0000-0000-0000AA050000}"/>
    <cellStyle name="Moneda 22" xfId="1464" xr:uid="{00000000-0005-0000-0000-0000AB050000}"/>
    <cellStyle name="Moneda 22 2" xfId="1465" xr:uid="{00000000-0005-0000-0000-0000AC050000}"/>
    <cellStyle name="Moneda 22 2 2" xfId="1466" xr:uid="{00000000-0005-0000-0000-0000AD050000}"/>
    <cellStyle name="Moneda 22 2 2 2" xfId="1467" xr:uid="{00000000-0005-0000-0000-0000AE050000}"/>
    <cellStyle name="Moneda 22 2 2 2 2" xfId="1468" xr:uid="{00000000-0005-0000-0000-0000AF050000}"/>
    <cellStyle name="Moneda 22 2 2 3" xfId="1469" xr:uid="{00000000-0005-0000-0000-0000B0050000}"/>
    <cellStyle name="Moneda 22 2 2 3 2" xfId="1470" xr:uid="{00000000-0005-0000-0000-0000B1050000}"/>
    <cellStyle name="Moneda 22 2 2 4" xfId="1471" xr:uid="{00000000-0005-0000-0000-0000B2050000}"/>
    <cellStyle name="Moneda 22 2 2 4 2" xfId="1472" xr:uid="{00000000-0005-0000-0000-0000B3050000}"/>
    <cellStyle name="Moneda 22 2 2 5" xfId="1473" xr:uid="{00000000-0005-0000-0000-0000B4050000}"/>
    <cellStyle name="Moneda 22 2 3" xfId="1474" xr:uid="{00000000-0005-0000-0000-0000B5050000}"/>
    <cellStyle name="Moneda 22 2 3 2" xfId="1475" xr:uid="{00000000-0005-0000-0000-0000B6050000}"/>
    <cellStyle name="Moneda 22 2 4" xfId="1476" xr:uid="{00000000-0005-0000-0000-0000B7050000}"/>
    <cellStyle name="Moneda 22 2 4 2" xfId="1477" xr:uid="{00000000-0005-0000-0000-0000B8050000}"/>
    <cellStyle name="Moneda 22 2 5" xfId="1478" xr:uid="{00000000-0005-0000-0000-0000B9050000}"/>
    <cellStyle name="Moneda 22 2 5 2" xfId="1479" xr:uid="{00000000-0005-0000-0000-0000BA050000}"/>
    <cellStyle name="Moneda 22 2 6" xfId="1480" xr:uid="{00000000-0005-0000-0000-0000BB050000}"/>
    <cellStyle name="Moneda 22 3" xfId="1481" xr:uid="{00000000-0005-0000-0000-0000BC050000}"/>
    <cellStyle name="Moneda 22 3 2" xfId="1482" xr:uid="{00000000-0005-0000-0000-0000BD050000}"/>
    <cellStyle name="Moneda 22 3 2 2" xfId="1483" xr:uid="{00000000-0005-0000-0000-0000BE050000}"/>
    <cellStyle name="Moneda 22 3 3" xfId="1484" xr:uid="{00000000-0005-0000-0000-0000BF050000}"/>
    <cellStyle name="Moneda 22 3 3 2" xfId="1485" xr:uid="{00000000-0005-0000-0000-0000C0050000}"/>
    <cellStyle name="Moneda 22 3 4" xfId="1486" xr:uid="{00000000-0005-0000-0000-0000C1050000}"/>
    <cellStyle name="Moneda 22 3 4 2" xfId="1487" xr:uid="{00000000-0005-0000-0000-0000C2050000}"/>
    <cellStyle name="Moneda 22 3 5" xfId="1488" xr:uid="{00000000-0005-0000-0000-0000C3050000}"/>
    <cellStyle name="Moneda 22 4" xfId="1489" xr:uid="{00000000-0005-0000-0000-0000C4050000}"/>
    <cellStyle name="Moneda 22 4 2" xfId="1490" xr:uid="{00000000-0005-0000-0000-0000C5050000}"/>
    <cellStyle name="Moneda 22 5" xfId="1491" xr:uid="{00000000-0005-0000-0000-0000C6050000}"/>
    <cellStyle name="Moneda 22 5 2" xfId="1492" xr:uid="{00000000-0005-0000-0000-0000C7050000}"/>
    <cellStyle name="Moneda 22 6" xfId="1493" xr:uid="{00000000-0005-0000-0000-0000C8050000}"/>
    <cellStyle name="Moneda 22 6 2" xfId="1494" xr:uid="{00000000-0005-0000-0000-0000C9050000}"/>
    <cellStyle name="Moneda 22 7" xfId="1495" xr:uid="{00000000-0005-0000-0000-0000CA050000}"/>
    <cellStyle name="Moneda 22 8" xfId="1496" xr:uid="{00000000-0005-0000-0000-0000CB050000}"/>
    <cellStyle name="Moneda 23" xfId="1497" xr:uid="{00000000-0005-0000-0000-0000CC050000}"/>
    <cellStyle name="Moneda 23 2" xfId="1498" xr:uid="{00000000-0005-0000-0000-0000CD050000}"/>
    <cellStyle name="Moneda 23 2 2" xfId="1499" xr:uid="{00000000-0005-0000-0000-0000CE050000}"/>
    <cellStyle name="Moneda 23 2 2 2" xfId="1500" xr:uid="{00000000-0005-0000-0000-0000CF050000}"/>
    <cellStyle name="Moneda 23 2 3" xfId="1501" xr:uid="{00000000-0005-0000-0000-0000D0050000}"/>
    <cellStyle name="Moneda 23 2 3 2" xfId="1502" xr:uid="{00000000-0005-0000-0000-0000D1050000}"/>
    <cellStyle name="Moneda 23 2 4" xfId="1503" xr:uid="{00000000-0005-0000-0000-0000D2050000}"/>
    <cellStyle name="Moneda 23 2 4 2" xfId="1504" xr:uid="{00000000-0005-0000-0000-0000D3050000}"/>
    <cellStyle name="Moneda 23 2 5" xfId="1505" xr:uid="{00000000-0005-0000-0000-0000D4050000}"/>
    <cellStyle name="Moneda 23 3" xfId="1506" xr:uid="{00000000-0005-0000-0000-0000D5050000}"/>
    <cellStyle name="Moneda 23 3 2" xfId="1507" xr:uid="{00000000-0005-0000-0000-0000D6050000}"/>
    <cellStyle name="Moneda 23 4" xfId="1508" xr:uid="{00000000-0005-0000-0000-0000D7050000}"/>
    <cellStyle name="Moneda 23 4 2" xfId="1509" xr:uid="{00000000-0005-0000-0000-0000D8050000}"/>
    <cellStyle name="Moneda 23 5" xfId="1510" xr:uid="{00000000-0005-0000-0000-0000D9050000}"/>
    <cellStyle name="Moneda 23 5 2" xfId="1511" xr:uid="{00000000-0005-0000-0000-0000DA050000}"/>
    <cellStyle name="Moneda 23 6" xfId="1512" xr:uid="{00000000-0005-0000-0000-0000DB050000}"/>
    <cellStyle name="Moneda 23 7" xfId="1513" xr:uid="{00000000-0005-0000-0000-0000DC050000}"/>
    <cellStyle name="Moneda 24" xfId="1514" xr:uid="{00000000-0005-0000-0000-0000DD050000}"/>
    <cellStyle name="Moneda 24 2" xfId="1515" xr:uid="{00000000-0005-0000-0000-0000DE050000}"/>
    <cellStyle name="Moneda 24 2 2" xfId="1516" xr:uid="{00000000-0005-0000-0000-0000DF050000}"/>
    <cellStyle name="Moneda 24 2 2 2" xfId="1517" xr:uid="{00000000-0005-0000-0000-0000E0050000}"/>
    <cellStyle name="Moneda 24 2 3" xfId="1518" xr:uid="{00000000-0005-0000-0000-0000E1050000}"/>
    <cellStyle name="Moneda 24 2 3 2" xfId="1519" xr:uid="{00000000-0005-0000-0000-0000E2050000}"/>
    <cellStyle name="Moneda 24 2 4" xfId="1520" xr:uid="{00000000-0005-0000-0000-0000E3050000}"/>
    <cellStyle name="Moneda 24 2 4 2" xfId="1521" xr:uid="{00000000-0005-0000-0000-0000E4050000}"/>
    <cellStyle name="Moneda 24 2 5" xfId="1522" xr:uid="{00000000-0005-0000-0000-0000E5050000}"/>
    <cellStyle name="Moneda 24 3" xfId="1523" xr:uid="{00000000-0005-0000-0000-0000E6050000}"/>
    <cellStyle name="Moneda 24 3 2" xfId="1524" xr:uid="{00000000-0005-0000-0000-0000E7050000}"/>
    <cellStyle name="Moneda 24 4" xfId="1525" xr:uid="{00000000-0005-0000-0000-0000E8050000}"/>
    <cellStyle name="Moneda 24 4 2" xfId="1526" xr:uid="{00000000-0005-0000-0000-0000E9050000}"/>
    <cellStyle name="Moneda 24 5" xfId="1527" xr:uid="{00000000-0005-0000-0000-0000EA050000}"/>
    <cellStyle name="Moneda 24 5 2" xfId="1528" xr:uid="{00000000-0005-0000-0000-0000EB050000}"/>
    <cellStyle name="Moneda 24 6" xfId="1529" xr:uid="{00000000-0005-0000-0000-0000EC050000}"/>
    <cellStyle name="Moneda 24 7" xfId="1530" xr:uid="{00000000-0005-0000-0000-0000ED050000}"/>
    <cellStyle name="Moneda 25" xfId="1531" xr:uid="{00000000-0005-0000-0000-0000EE050000}"/>
    <cellStyle name="Moneda 25 2" xfId="1532" xr:uid="{00000000-0005-0000-0000-0000EF050000}"/>
    <cellStyle name="Moneda 25 2 2" xfId="1533" xr:uid="{00000000-0005-0000-0000-0000F0050000}"/>
    <cellStyle name="Moneda 25 3" xfId="1534" xr:uid="{00000000-0005-0000-0000-0000F1050000}"/>
    <cellStyle name="Moneda 25 3 2" xfId="1535" xr:uid="{00000000-0005-0000-0000-0000F2050000}"/>
    <cellStyle name="Moneda 25 4" xfId="1536" xr:uid="{00000000-0005-0000-0000-0000F3050000}"/>
    <cellStyle name="Moneda 25 4 2" xfId="1537" xr:uid="{00000000-0005-0000-0000-0000F4050000}"/>
    <cellStyle name="Moneda 25 5" xfId="1538" xr:uid="{00000000-0005-0000-0000-0000F5050000}"/>
    <cellStyle name="Moneda 26" xfId="1539" xr:uid="{00000000-0005-0000-0000-0000F6050000}"/>
    <cellStyle name="Moneda 26 2" xfId="1540" xr:uid="{00000000-0005-0000-0000-0000F7050000}"/>
    <cellStyle name="Moneda 26 2 2" xfId="1541" xr:uid="{00000000-0005-0000-0000-0000F8050000}"/>
    <cellStyle name="Moneda 26 3" xfId="1542" xr:uid="{00000000-0005-0000-0000-0000F9050000}"/>
    <cellStyle name="Moneda 26 3 2" xfId="1543" xr:uid="{00000000-0005-0000-0000-0000FA050000}"/>
    <cellStyle name="Moneda 26 4" xfId="1544" xr:uid="{00000000-0005-0000-0000-0000FB050000}"/>
    <cellStyle name="Moneda 26 4 2" xfId="1545" xr:uid="{00000000-0005-0000-0000-0000FC050000}"/>
    <cellStyle name="Moneda 26 5" xfId="1546" xr:uid="{00000000-0005-0000-0000-0000FD050000}"/>
    <cellStyle name="Moneda 27" xfId="1547" xr:uid="{00000000-0005-0000-0000-0000FE050000}"/>
    <cellStyle name="Moneda 27 2" xfId="1548" xr:uid="{00000000-0005-0000-0000-0000FF050000}"/>
    <cellStyle name="Moneda 27 2 2" xfId="1549" xr:uid="{00000000-0005-0000-0000-000000060000}"/>
    <cellStyle name="Moneda 27 3" xfId="1550" xr:uid="{00000000-0005-0000-0000-000001060000}"/>
    <cellStyle name="Moneda 27 3 2" xfId="1551" xr:uid="{00000000-0005-0000-0000-000002060000}"/>
    <cellStyle name="Moneda 27 4" xfId="1552" xr:uid="{00000000-0005-0000-0000-000003060000}"/>
    <cellStyle name="Moneda 27 4 2" xfId="1553" xr:uid="{00000000-0005-0000-0000-000004060000}"/>
    <cellStyle name="Moneda 27 5" xfId="1554" xr:uid="{00000000-0005-0000-0000-000005060000}"/>
    <cellStyle name="Moneda 28" xfId="1555" xr:uid="{00000000-0005-0000-0000-000006060000}"/>
    <cellStyle name="Moneda 28 2" xfId="1556" xr:uid="{00000000-0005-0000-0000-000007060000}"/>
    <cellStyle name="Moneda 28 2 2" xfId="1557" xr:uid="{00000000-0005-0000-0000-000008060000}"/>
    <cellStyle name="Moneda 28 3" xfId="1558" xr:uid="{00000000-0005-0000-0000-000009060000}"/>
    <cellStyle name="Moneda 28 3 2" xfId="1559" xr:uid="{00000000-0005-0000-0000-00000A060000}"/>
    <cellStyle name="Moneda 28 4" xfId="1560" xr:uid="{00000000-0005-0000-0000-00000B060000}"/>
    <cellStyle name="Moneda 28 4 2" xfId="1561" xr:uid="{00000000-0005-0000-0000-00000C060000}"/>
    <cellStyle name="Moneda 28 5" xfId="1562" xr:uid="{00000000-0005-0000-0000-00000D060000}"/>
    <cellStyle name="Moneda 29" xfId="1563" xr:uid="{00000000-0005-0000-0000-00000E060000}"/>
    <cellStyle name="Moneda 29 2" xfId="1564" xr:uid="{00000000-0005-0000-0000-00000F060000}"/>
    <cellStyle name="Moneda 29 2 2" xfId="1565" xr:uid="{00000000-0005-0000-0000-000010060000}"/>
    <cellStyle name="Moneda 29 3" xfId="1566" xr:uid="{00000000-0005-0000-0000-000011060000}"/>
    <cellStyle name="Moneda 29 3 2" xfId="1567" xr:uid="{00000000-0005-0000-0000-000012060000}"/>
    <cellStyle name="Moneda 29 4" xfId="1568" xr:uid="{00000000-0005-0000-0000-000013060000}"/>
    <cellStyle name="Moneda 29 4 2" xfId="1569" xr:uid="{00000000-0005-0000-0000-000014060000}"/>
    <cellStyle name="Moneda 29 5" xfId="1570" xr:uid="{00000000-0005-0000-0000-000015060000}"/>
    <cellStyle name="Moneda 3" xfId="14" xr:uid="{00000000-0005-0000-0000-000016060000}"/>
    <cellStyle name="Moneda 3 10" xfId="1571" xr:uid="{00000000-0005-0000-0000-000017060000}"/>
    <cellStyle name="Moneda 3 10 2" xfId="1572" xr:uid="{00000000-0005-0000-0000-000018060000}"/>
    <cellStyle name="Moneda 3 10 2 2" xfId="1573" xr:uid="{00000000-0005-0000-0000-000019060000}"/>
    <cellStyle name="Moneda 3 10 3" xfId="1574" xr:uid="{00000000-0005-0000-0000-00001A060000}"/>
    <cellStyle name="Moneda 3 10 3 2" xfId="1575" xr:uid="{00000000-0005-0000-0000-00001B060000}"/>
    <cellStyle name="Moneda 3 10 4" xfId="1576" xr:uid="{00000000-0005-0000-0000-00001C060000}"/>
    <cellStyle name="Moneda 3 10 4 2" xfId="1577" xr:uid="{00000000-0005-0000-0000-00001D060000}"/>
    <cellStyle name="Moneda 3 10 5" xfId="1578" xr:uid="{00000000-0005-0000-0000-00001E060000}"/>
    <cellStyle name="Moneda 3 11" xfId="1579" xr:uid="{00000000-0005-0000-0000-00001F060000}"/>
    <cellStyle name="Moneda 3 11 2" xfId="1580" xr:uid="{00000000-0005-0000-0000-000020060000}"/>
    <cellStyle name="Moneda 3 12" xfId="1581" xr:uid="{00000000-0005-0000-0000-000021060000}"/>
    <cellStyle name="Moneda 3 12 2" xfId="1582" xr:uid="{00000000-0005-0000-0000-000022060000}"/>
    <cellStyle name="Moneda 3 13" xfId="1583" xr:uid="{00000000-0005-0000-0000-000023060000}"/>
    <cellStyle name="Moneda 3 13 2" xfId="1584" xr:uid="{00000000-0005-0000-0000-000024060000}"/>
    <cellStyle name="Moneda 3 14" xfId="1585" xr:uid="{00000000-0005-0000-0000-000025060000}"/>
    <cellStyle name="Moneda 3 14 2" xfId="1586" xr:uid="{00000000-0005-0000-0000-000026060000}"/>
    <cellStyle name="Moneda 3 15" xfId="1587" xr:uid="{00000000-0005-0000-0000-000027060000}"/>
    <cellStyle name="Moneda 3 15 2" xfId="1588" xr:uid="{00000000-0005-0000-0000-000028060000}"/>
    <cellStyle name="Moneda 3 15 3" xfId="1589" xr:uid="{00000000-0005-0000-0000-000029060000}"/>
    <cellStyle name="Moneda 3 16" xfId="1590" xr:uid="{00000000-0005-0000-0000-00002A060000}"/>
    <cellStyle name="Moneda 3 2" xfId="1591" xr:uid="{00000000-0005-0000-0000-00002B060000}"/>
    <cellStyle name="Moneda 3 2 10" xfId="1592" xr:uid="{00000000-0005-0000-0000-00002C060000}"/>
    <cellStyle name="Moneda 3 2 10 2" xfId="1593" xr:uid="{00000000-0005-0000-0000-00002D060000}"/>
    <cellStyle name="Moneda 3 2 11" xfId="1594" xr:uid="{00000000-0005-0000-0000-00002E060000}"/>
    <cellStyle name="Moneda 3 2 2" xfId="1595" xr:uid="{00000000-0005-0000-0000-00002F060000}"/>
    <cellStyle name="Moneda 3 2 2 2" xfId="1596" xr:uid="{00000000-0005-0000-0000-000030060000}"/>
    <cellStyle name="Moneda 3 2 2 2 2" xfId="1597" xr:uid="{00000000-0005-0000-0000-000031060000}"/>
    <cellStyle name="Moneda 3 2 2 2 2 2" xfId="1598" xr:uid="{00000000-0005-0000-0000-000032060000}"/>
    <cellStyle name="Moneda 3 2 2 2 2 2 2" xfId="1599" xr:uid="{00000000-0005-0000-0000-000033060000}"/>
    <cellStyle name="Moneda 3 2 2 2 2 3" xfId="1600" xr:uid="{00000000-0005-0000-0000-000034060000}"/>
    <cellStyle name="Moneda 3 2 2 2 2 3 2" xfId="1601" xr:uid="{00000000-0005-0000-0000-000035060000}"/>
    <cellStyle name="Moneda 3 2 2 2 2 4" xfId="1602" xr:uid="{00000000-0005-0000-0000-000036060000}"/>
    <cellStyle name="Moneda 3 2 2 2 2 4 2" xfId="1603" xr:uid="{00000000-0005-0000-0000-000037060000}"/>
    <cellStyle name="Moneda 3 2 2 2 2 5" xfId="1604" xr:uid="{00000000-0005-0000-0000-000038060000}"/>
    <cellStyle name="Moneda 3 2 2 2 3" xfId="1605" xr:uid="{00000000-0005-0000-0000-000039060000}"/>
    <cellStyle name="Moneda 3 2 2 2 3 2" xfId="1606" xr:uid="{00000000-0005-0000-0000-00003A060000}"/>
    <cellStyle name="Moneda 3 2 2 2 4" xfId="1607" xr:uid="{00000000-0005-0000-0000-00003B060000}"/>
    <cellStyle name="Moneda 3 2 2 2 4 2" xfId="1608" xr:uid="{00000000-0005-0000-0000-00003C060000}"/>
    <cellStyle name="Moneda 3 2 2 2 5" xfId="1609" xr:uid="{00000000-0005-0000-0000-00003D060000}"/>
    <cellStyle name="Moneda 3 2 2 2 5 2" xfId="1610" xr:uid="{00000000-0005-0000-0000-00003E060000}"/>
    <cellStyle name="Moneda 3 2 2 2 6" xfId="1611" xr:uid="{00000000-0005-0000-0000-00003F060000}"/>
    <cellStyle name="Moneda 3 2 2 3" xfId="1612" xr:uid="{00000000-0005-0000-0000-000040060000}"/>
    <cellStyle name="Moneda 3 2 2 3 2" xfId="1613" xr:uid="{00000000-0005-0000-0000-000041060000}"/>
    <cellStyle name="Moneda 3 2 2 3 2 2" xfId="1614" xr:uid="{00000000-0005-0000-0000-000042060000}"/>
    <cellStyle name="Moneda 3 2 2 3 2 2 2" xfId="1615" xr:uid="{00000000-0005-0000-0000-000043060000}"/>
    <cellStyle name="Moneda 3 2 2 3 2 3" xfId="1616" xr:uid="{00000000-0005-0000-0000-000044060000}"/>
    <cellStyle name="Moneda 3 2 2 3 3" xfId="1617" xr:uid="{00000000-0005-0000-0000-000045060000}"/>
    <cellStyle name="Moneda 3 2 2 3 3 2" xfId="1618" xr:uid="{00000000-0005-0000-0000-000046060000}"/>
    <cellStyle name="Moneda 3 2 2 3 4" xfId="1619" xr:uid="{00000000-0005-0000-0000-000047060000}"/>
    <cellStyle name="Moneda 3 2 2 3 4 2" xfId="1620" xr:uid="{00000000-0005-0000-0000-000048060000}"/>
    <cellStyle name="Moneda 3 2 2 3 5" xfId="1621" xr:uid="{00000000-0005-0000-0000-000049060000}"/>
    <cellStyle name="Moneda 3 2 2 4" xfId="1622" xr:uid="{00000000-0005-0000-0000-00004A060000}"/>
    <cellStyle name="Moneda 3 2 2 4 2" xfId="1623" xr:uid="{00000000-0005-0000-0000-00004B060000}"/>
    <cellStyle name="Moneda 3 2 2 4 2 2" xfId="1624" xr:uid="{00000000-0005-0000-0000-00004C060000}"/>
    <cellStyle name="Moneda 3 2 2 4 2 2 2" xfId="1625" xr:uid="{00000000-0005-0000-0000-00004D060000}"/>
    <cellStyle name="Moneda 3 2 2 4 2 3" xfId="1626" xr:uid="{00000000-0005-0000-0000-00004E060000}"/>
    <cellStyle name="Moneda 3 2 2 4 3" xfId="1627" xr:uid="{00000000-0005-0000-0000-00004F060000}"/>
    <cellStyle name="Moneda 3 2 2 4 3 2" xfId="1628" xr:uid="{00000000-0005-0000-0000-000050060000}"/>
    <cellStyle name="Moneda 3 2 2 4 4" xfId="1629" xr:uid="{00000000-0005-0000-0000-000051060000}"/>
    <cellStyle name="Moneda 3 2 2 5" xfId="1630" xr:uid="{00000000-0005-0000-0000-000052060000}"/>
    <cellStyle name="Moneda 3 2 2 5 2" xfId="1631" xr:uid="{00000000-0005-0000-0000-000053060000}"/>
    <cellStyle name="Moneda 3 2 2 5 2 2" xfId="1632" xr:uid="{00000000-0005-0000-0000-000054060000}"/>
    <cellStyle name="Moneda 3 2 2 5 3" xfId="1633" xr:uid="{00000000-0005-0000-0000-000055060000}"/>
    <cellStyle name="Moneda 3 2 2 6" xfId="1634" xr:uid="{00000000-0005-0000-0000-000056060000}"/>
    <cellStyle name="Moneda 3 2 2 6 2" xfId="1635" xr:uid="{00000000-0005-0000-0000-000057060000}"/>
    <cellStyle name="Moneda 3 2 2 7" xfId="1636" xr:uid="{00000000-0005-0000-0000-000058060000}"/>
    <cellStyle name="Moneda 3 2 3" xfId="1637" xr:uid="{00000000-0005-0000-0000-000059060000}"/>
    <cellStyle name="Moneda 3 2 3 2" xfId="1638" xr:uid="{00000000-0005-0000-0000-00005A060000}"/>
    <cellStyle name="Moneda 3 2 3 2 2" xfId="1639" xr:uid="{00000000-0005-0000-0000-00005B060000}"/>
    <cellStyle name="Moneda 3 2 3 2 2 2" xfId="1640" xr:uid="{00000000-0005-0000-0000-00005C060000}"/>
    <cellStyle name="Moneda 3 2 3 2 2 2 2" xfId="1641" xr:uid="{00000000-0005-0000-0000-00005D060000}"/>
    <cellStyle name="Moneda 3 2 3 2 2 3" xfId="1642" xr:uid="{00000000-0005-0000-0000-00005E060000}"/>
    <cellStyle name="Moneda 3 2 3 2 2 3 2" xfId="1643" xr:uid="{00000000-0005-0000-0000-00005F060000}"/>
    <cellStyle name="Moneda 3 2 3 2 2 4" xfId="1644" xr:uid="{00000000-0005-0000-0000-000060060000}"/>
    <cellStyle name="Moneda 3 2 3 2 2 4 2" xfId="1645" xr:uid="{00000000-0005-0000-0000-000061060000}"/>
    <cellStyle name="Moneda 3 2 3 2 2 5" xfId="1646" xr:uid="{00000000-0005-0000-0000-000062060000}"/>
    <cellStyle name="Moneda 3 2 3 2 3" xfId="1647" xr:uid="{00000000-0005-0000-0000-000063060000}"/>
    <cellStyle name="Moneda 3 2 3 2 3 2" xfId="1648" xr:uid="{00000000-0005-0000-0000-000064060000}"/>
    <cellStyle name="Moneda 3 2 3 2 4" xfId="1649" xr:uid="{00000000-0005-0000-0000-000065060000}"/>
    <cellStyle name="Moneda 3 2 3 2 4 2" xfId="1650" xr:uid="{00000000-0005-0000-0000-000066060000}"/>
    <cellStyle name="Moneda 3 2 3 2 5" xfId="1651" xr:uid="{00000000-0005-0000-0000-000067060000}"/>
    <cellStyle name="Moneda 3 2 3 2 5 2" xfId="1652" xr:uid="{00000000-0005-0000-0000-000068060000}"/>
    <cellStyle name="Moneda 3 2 3 2 6" xfId="1653" xr:uid="{00000000-0005-0000-0000-000069060000}"/>
    <cellStyle name="Moneda 3 2 3 3" xfId="1654" xr:uid="{00000000-0005-0000-0000-00006A060000}"/>
    <cellStyle name="Moneda 3 2 3 3 2" xfId="1655" xr:uid="{00000000-0005-0000-0000-00006B060000}"/>
    <cellStyle name="Moneda 3 2 3 3 2 2" xfId="1656" xr:uid="{00000000-0005-0000-0000-00006C060000}"/>
    <cellStyle name="Moneda 3 2 3 3 3" xfId="1657" xr:uid="{00000000-0005-0000-0000-00006D060000}"/>
    <cellStyle name="Moneda 3 2 3 3 3 2" xfId="1658" xr:uid="{00000000-0005-0000-0000-00006E060000}"/>
    <cellStyle name="Moneda 3 2 3 3 4" xfId="1659" xr:uid="{00000000-0005-0000-0000-00006F060000}"/>
    <cellStyle name="Moneda 3 2 3 3 4 2" xfId="1660" xr:uid="{00000000-0005-0000-0000-000070060000}"/>
    <cellStyle name="Moneda 3 2 3 3 5" xfId="1661" xr:uid="{00000000-0005-0000-0000-000071060000}"/>
    <cellStyle name="Moneda 3 2 3 4" xfId="1662" xr:uid="{00000000-0005-0000-0000-000072060000}"/>
    <cellStyle name="Moneda 3 2 3 4 2" xfId="1663" xr:uid="{00000000-0005-0000-0000-000073060000}"/>
    <cellStyle name="Moneda 3 2 3 5" xfId="1664" xr:uid="{00000000-0005-0000-0000-000074060000}"/>
    <cellStyle name="Moneda 3 2 3 5 2" xfId="1665" xr:uid="{00000000-0005-0000-0000-000075060000}"/>
    <cellStyle name="Moneda 3 2 3 6" xfId="1666" xr:uid="{00000000-0005-0000-0000-000076060000}"/>
    <cellStyle name="Moneda 3 2 3 6 2" xfId="1667" xr:uid="{00000000-0005-0000-0000-000077060000}"/>
    <cellStyle name="Moneda 3 2 3 7" xfId="1668" xr:uid="{00000000-0005-0000-0000-000078060000}"/>
    <cellStyle name="Moneda 3 2 4" xfId="1669" xr:uid="{00000000-0005-0000-0000-000079060000}"/>
    <cellStyle name="Moneda 3 2 4 2" xfId="1670" xr:uid="{00000000-0005-0000-0000-00007A060000}"/>
    <cellStyle name="Moneda 3 2 4 2 2" xfId="1671" xr:uid="{00000000-0005-0000-0000-00007B060000}"/>
    <cellStyle name="Moneda 3 2 4 2 2 2" xfId="1672" xr:uid="{00000000-0005-0000-0000-00007C060000}"/>
    <cellStyle name="Moneda 3 2 4 2 2 2 2" xfId="1673" xr:uid="{00000000-0005-0000-0000-00007D060000}"/>
    <cellStyle name="Moneda 3 2 4 2 2 3" xfId="1674" xr:uid="{00000000-0005-0000-0000-00007E060000}"/>
    <cellStyle name="Moneda 3 2 4 2 2 3 2" xfId="1675" xr:uid="{00000000-0005-0000-0000-00007F060000}"/>
    <cellStyle name="Moneda 3 2 4 2 2 4" xfId="1676" xr:uid="{00000000-0005-0000-0000-000080060000}"/>
    <cellStyle name="Moneda 3 2 4 2 2 4 2" xfId="1677" xr:uid="{00000000-0005-0000-0000-000081060000}"/>
    <cellStyle name="Moneda 3 2 4 2 2 5" xfId="1678" xr:uid="{00000000-0005-0000-0000-000082060000}"/>
    <cellStyle name="Moneda 3 2 4 2 3" xfId="1679" xr:uid="{00000000-0005-0000-0000-000083060000}"/>
    <cellStyle name="Moneda 3 2 4 2 3 2" xfId="1680" xr:uid="{00000000-0005-0000-0000-000084060000}"/>
    <cellStyle name="Moneda 3 2 4 2 4" xfId="1681" xr:uid="{00000000-0005-0000-0000-000085060000}"/>
    <cellStyle name="Moneda 3 2 4 2 4 2" xfId="1682" xr:uid="{00000000-0005-0000-0000-000086060000}"/>
    <cellStyle name="Moneda 3 2 4 2 5" xfId="1683" xr:uid="{00000000-0005-0000-0000-000087060000}"/>
    <cellStyle name="Moneda 3 2 4 2 5 2" xfId="1684" xr:uid="{00000000-0005-0000-0000-000088060000}"/>
    <cellStyle name="Moneda 3 2 4 2 6" xfId="1685" xr:uid="{00000000-0005-0000-0000-000089060000}"/>
    <cellStyle name="Moneda 3 2 4 3" xfId="1686" xr:uid="{00000000-0005-0000-0000-00008A060000}"/>
    <cellStyle name="Moneda 3 2 4 3 2" xfId="1687" xr:uid="{00000000-0005-0000-0000-00008B060000}"/>
    <cellStyle name="Moneda 3 2 4 3 2 2" xfId="1688" xr:uid="{00000000-0005-0000-0000-00008C060000}"/>
    <cellStyle name="Moneda 3 2 4 3 3" xfId="1689" xr:uid="{00000000-0005-0000-0000-00008D060000}"/>
    <cellStyle name="Moneda 3 2 4 3 3 2" xfId="1690" xr:uid="{00000000-0005-0000-0000-00008E060000}"/>
    <cellStyle name="Moneda 3 2 4 3 4" xfId="1691" xr:uid="{00000000-0005-0000-0000-00008F060000}"/>
    <cellStyle name="Moneda 3 2 4 3 4 2" xfId="1692" xr:uid="{00000000-0005-0000-0000-000090060000}"/>
    <cellStyle name="Moneda 3 2 4 3 5" xfId="1693" xr:uid="{00000000-0005-0000-0000-000091060000}"/>
    <cellStyle name="Moneda 3 2 4 4" xfId="1694" xr:uid="{00000000-0005-0000-0000-000092060000}"/>
    <cellStyle name="Moneda 3 2 4 4 2" xfId="1695" xr:uid="{00000000-0005-0000-0000-000093060000}"/>
    <cellStyle name="Moneda 3 2 4 5" xfId="1696" xr:uid="{00000000-0005-0000-0000-000094060000}"/>
    <cellStyle name="Moneda 3 2 4 5 2" xfId="1697" xr:uid="{00000000-0005-0000-0000-000095060000}"/>
    <cellStyle name="Moneda 3 2 4 6" xfId="1698" xr:uid="{00000000-0005-0000-0000-000096060000}"/>
    <cellStyle name="Moneda 3 2 4 6 2" xfId="1699" xr:uid="{00000000-0005-0000-0000-000097060000}"/>
    <cellStyle name="Moneda 3 2 4 7" xfId="1700" xr:uid="{00000000-0005-0000-0000-000098060000}"/>
    <cellStyle name="Moneda 3 2 5" xfId="1701" xr:uid="{00000000-0005-0000-0000-000099060000}"/>
    <cellStyle name="Moneda 3 2 5 2" xfId="1702" xr:uid="{00000000-0005-0000-0000-00009A060000}"/>
    <cellStyle name="Moneda 3 2 5 2 2" xfId="1703" xr:uid="{00000000-0005-0000-0000-00009B060000}"/>
    <cellStyle name="Moneda 3 2 5 2 2 2" xfId="1704" xr:uid="{00000000-0005-0000-0000-00009C060000}"/>
    <cellStyle name="Moneda 3 2 5 2 3" xfId="1705" xr:uid="{00000000-0005-0000-0000-00009D060000}"/>
    <cellStyle name="Moneda 3 2 5 2 3 2" xfId="1706" xr:uid="{00000000-0005-0000-0000-00009E060000}"/>
    <cellStyle name="Moneda 3 2 5 2 4" xfId="1707" xr:uid="{00000000-0005-0000-0000-00009F060000}"/>
    <cellStyle name="Moneda 3 2 5 2 4 2" xfId="1708" xr:uid="{00000000-0005-0000-0000-0000A0060000}"/>
    <cellStyle name="Moneda 3 2 5 2 5" xfId="1709" xr:uid="{00000000-0005-0000-0000-0000A1060000}"/>
    <cellStyle name="Moneda 3 2 5 3" xfId="1710" xr:uid="{00000000-0005-0000-0000-0000A2060000}"/>
    <cellStyle name="Moneda 3 2 5 3 2" xfId="1711" xr:uid="{00000000-0005-0000-0000-0000A3060000}"/>
    <cellStyle name="Moneda 3 2 5 4" xfId="1712" xr:uid="{00000000-0005-0000-0000-0000A4060000}"/>
    <cellStyle name="Moneda 3 2 5 4 2" xfId="1713" xr:uid="{00000000-0005-0000-0000-0000A5060000}"/>
    <cellStyle name="Moneda 3 2 5 5" xfId="1714" xr:uid="{00000000-0005-0000-0000-0000A6060000}"/>
    <cellStyle name="Moneda 3 2 5 5 2" xfId="1715" xr:uid="{00000000-0005-0000-0000-0000A7060000}"/>
    <cellStyle name="Moneda 3 2 5 6" xfId="1716" xr:uid="{00000000-0005-0000-0000-0000A8060000}"/>
    <cellStyle name="Moneda 3 2 6" xfId="1717" xr:uid="{00000000-0005-0000-0000-0000A9060000}"/>
    <cellStyle name="Moneda 3 2 6 2" xfId="1718" xr:uid="{00000000-0005-0000-0000-0000AA060000}"/>
    <cellStyle name="Moneda 3 2 6 2 2" xfId="1719" xr:uid="{00000000-0005-0000-0000-0000AB060000}"/>
    <cellStyle name="Moneda 3 2 6 2 3" xfId="1720" xr:uid="{00000000-0005-0000-0000-0000AC060000}"/>
    <cellStyle name="Moneda 3 2 6 3" xfId="1721" xr:uid="{00000000-0005-0000-0000-0000AD060000}"/>
    <cellStyle name="Moneda 3 2 6 4" xfId="1722" xr:uid="{00000000-0005-0000-0000-0000AE060000}"/>
    <cellStyle name="Moneda 3 2 7" xfId="1723" xr:uid="{00000000-0005-0000-0000-0000AF060000}"/>
    <cellStyle name="Moneda 3 2 7 2" xfId="1724" xr:uid="{00000000-0005-0000-0000-0000B0060000}"/>
    <cellStyle name="Moneda 3 2 7 2 2" xfId="1725" xr:uid="{00000000-0005-0000-0000-0000B1060000}"/>
    <cellStyle name="Moneda 3 2 7 3" xfId="1726" xr:uid="{00000000-0005-0000-0000-0000B2060000}"/>
    <cellStyle name="Moneda 3 2 7 3 2" xfId="1727" xr:uid="{00000000-0005-0000-0000-0000B3060000}"/>
    <cellStyle name="Moneda 3 2 7 4" xfId="1728" xr:uid="{00000000-0005-0000-0000-0000B4060000}"/>
    <cellStyle name="Moneda 3 2 7 4 2" xfId="1729" xr:uid="{00000000-0005-0000-0000-0000B5060000}"/>
    <cellStyle name="Moneda 3 2 7 5" xfId="1730" xr:uid="{00000000-0005-0000-0000-0000B6060000}"/>
    <cellStyle name="Moneda 3 2 8" xfId="1731" xr:uid="{00000000-0005-0000-0000-0000B7060000}"/>
    <cellStyle name="Moneda 3 2 8 2" xfId="1732" xr:uid="{00000000-0005-0000-0000-0000B8060000}"/>
    <cellStyle name="Moneda 3 2 8 3" xfId="1733" xr:uid="{00000000-0005-0000-0000-0000B9060000}"/>
    <cellStyle name="Moneda 3 2 9" xfId="1734" xr:uid="{00000000-0005-0000-0000-0000BA060000}"/>
    <cellStyle name="Moneda 3 2 9 2" xfId="1735" xr:uid="{00000000-0005-0000-0000-0000BB060000}"/>
    <cellStyle name="Moneda 3 3" xfId="1736" xr:uid="{00000000-0005-0000-0000-0000BC060000}"/>
    <cellStyle name="Moneda 3 3 2" xfId="1737" xr:uid="{00000000-0005-0000-0000-0000BD060000}"/>
    <cellStyle name="Moneda 3 3 2 2" xfId="1738" xr:uid="{00000000-0005-0000-0000-0000BE060000}"/>
    <cellStyle name="Moneda 3 3 2 2 2" xfId="1739" xr:uid="{00000000-0005-0000-0000-0000BF060000}"/>
    <cellStyle name="Moneda 3 3 2 2 2 2" xfId="1740" xr:uid="{00000000-0005-0000-0000-0000C0060000}"/>
    <cellStyle name="Moneda 3 3 2 2 3" xfId="1741" xr:uid="{00000000-0005-0000-0000-0000C1060000}"/>
    <cellStyle name="Moneda 3 3 2 2 3 2" xfId="1742" xr:uid="{00000000-0005-0000-0000-0000C2060000}"/>
    <cellStyle name="Moneda 3 3 2 2 4" xfId="1743" xr:uid="{00000000-0005-0000-0000-0000C3060000}"/>
    <cellStyle name="Moneda 3 3 2 2 4 2" xfId="1744" xr:uid="{00000000-0005-0000-0000-0000C4060000}"/>
    <cellStyle name="Moneda 3 3 2 2 5" xfId="1745" xr:uid="{00000000-0005-0000-0000-0000C5060000}"/>
    <cellStyle name="Moneda 3 3 2 3" xfId="1746" xr:uid="{00000000-0005-0000-0000-0000C6060000}"/>
    <cellStyle name="Moneda 3 3 2 3 2" xfId="1747" xr:uid="{00000000-0005-0000-0000-0000C7060000}"/>
    <cellStyle name="Moneda 3 3 2 4" xfId="1748" xr:uid="{00000000-0005-0000-0000-0000C8060000}"/>
    <cellStyle name="Moneda 3 3 2 4 2" xfId="1749" xr:uid="{00000000-0005-0000-0000-0000C9060000}"/>
    <cellStyle name="Moneda 3 3 2 5" xfId="1750" xr:uid="{00000000-0005-0000-0000-0000CA060000}"/>
    <cellStyle name="Moneda 3 3 2 5 2" xfId="1751" xr:uid="{00000000-0005-0000-0000-0000CB060000}"/>
    <cellStyle name="Moneda 3 3 2 6" xfId="1752" xr:uid="{00000000-0005-0000-0000-0000CC060000}"/>
    <cellStyle name="Moneda 3 3 2 7" xfId="1753" xr:uid="{00000000-0005-0000-0000-0000CD060000}"/>
    <cellStyle name="Moneda 3 3 3" xfId="1754" xr:uid="{00000000-0005-0000-0000-0000CE060000}"/>
    <cellStyle name="Moneda 3 3 3 2" xfId="1755" xr:uid="{00000000-0005-0000-0000-0000CF060000}"/>
    <cellStyle name="Moneda 3 3 3 2 2" xfId="1756" xr:uid="{00000000-0005-0000-0000-0000D0060000}"/>
    <cellStyle name="Moneda 3 3 3 3" xfId="1757" xr:uid="{00000000-0005-0000-0000-0000D1060000}"/>
    <cellStyle name="Moneda 3 3 3 3 2" xfId="1758" xr:uid="{00000000-0005-0000-0000-0000D2060000}"/>
    <cellStyle name="Moneda 3 3 3 4" xfId="1759" xr:uid="{00000000-0005-0000-0000-0000D3060000}"/>
    <cellStyle name="Moneda 3 3 3 4 2" xfId="1760" xr:uid="{00000000-0005-0000-0000-0000D4060000}"/>
    <cellStyle name="Moneda 3 3 3 5" xfId="1761" xr:uid="{00000000-0005-0000-0000-0000D5060000}"/>
    <cellStyle name="Moneda 3 3 4" xfId="1762" xr:uid="{00000000-0005-0000-0000-0000D6060000}"/>
    <cellStyle name="Moneda 3 3 4 2" xfId="1763" xr:uid="{00000000-0005-0000-0000-0000D7060000}"/>
    <cellStyle name="Moneda 3 3 5" xfId="1764" xr:uid="{00000000-0005-0000-0000-0000D8060000}"/>
    <cellStyle name="Moneda 3 3 5 2" xfId="1765" xr:uid="{00000000-0005-0000-0000-0000D9060000}"/>
    <cellStyle name="Moneda 3 3 6" xfId="1766" xr:uid="{00000000-0005-0000-0000-0000DA060000}"/>
    <cellStyle name="Moneda 3 3 6 2" xfId="1767" xr:uid="{00000000-0005-0000-0000-0000DB060000}"/>
    <cellStyle name="Moneda 3 3 7" xfId="1768" xr:uid="{00000000-0005-0000-0000-0000DC060000}"/>
    <cellStyle name="Moneda 3 3 8" xfId="1769" xr:uid="{00000000-0005-0000-0000-0000DD060000}"/>
    <cellStyle name="Moneda 3 4" xfId="1770" xr:uid="{00000000-0005-0000-0000-0000DE060000}"/>
    <cellStyle name="Moneda 3 4 2" xfId="1771" xr:uid="{00000000-0005-0000-0000-0000DF060000}"/>
    <cellStyle name="Moneda 3 4 2 2" xfId="1772" xr:uid="{00000000-0005-0000-0000-0000E0060000}"/>
    <cellStyle name="Moneda 3 4 2 2 2" xfId="1773" xr:uid="{00000000-0005-0000-0000-0000E1060000}"/>
    <cellStyle name="Moneda 3 4 2 2 2 2" xfId="1774" xr:uid="{00000000-0005-0000-0000-0000E2060000}"/>
    <cellStyle name="Moneda 3 4 2 2 3" xfId="1775" xr:uid="{00000000-0005-0000-0000-0000E3060000}"/>
    <cellStyle name="Moneda 3 4 2 2 3 2" xfId="1776" xr:uid="{00000000-0005-0000-0000-0000E4060000}"/>
    <cellStyle name="Moneda 3 4 2 2 4" xfId="1777" xr:uid="{00000000-0005-0000-0000-0000E5060000}"/>
    <cellStyle name="Moneda 3 4 2 2 4 2" xfId="1778" xr:uid="{00000000-0005-0000-0000-0000E6060000}"/>
    <cellStyle name="Moneda 3 4 2 2 5" xfId="1779" xr:uid="{00000000-0005-0000-0000-0000E7060000}"/>
    <cellStyle name="Moneda 3 4 2 3" xfId="1780" xr:uid="{00000000-0005-0000-0000-0000E8060000}"/>
    <cellStyle name="Moneda 3 4 2 3 2" xfId="1781" xr:uid="{00000000-0005-0000-0000-0000E9060000}"/>
    <cellStyle name="Moneda 3 4 2 4" xfId="1782" xr:uid="{00000000-0005-0000-0000-0000EA060000}"/>
    <cellStyle name="Moneda 3 4 2 4 2" xfId="1783" xr:uid="{00000000-0005-0000-0000-0000EB060000}"/>
    <cellStyle name="Moneda 3 4 2 5" xfId="1784" xr:uid="{00000000-0005-0000-0000-0000EC060000}"/>
    <cellStyle name="Moneda 3 4 2 5 2" xfId="1785" xr:uid="{00000000-0005-0000-0000-0000ED060000}"/>
    <cellStyle name="Moneda 3 4 2 6" xfId="1786" xr:uid="{00000000-0005-0000-0000-0000EE060000}"/>
    <cellStyle name="Moneda 3 4 3" xfId="1787" xr:uid="{00000000-0005-0000-0000-0000EF060000}"/>
    <cellStyle name="Moneda 3 4 3 2" xfId="1788" xr:uid="{00000000-0005-0000-0000-0000F0060000}"/>
    <cellStyle name="Moneda 3 4 3 2 2" xfId="1789" xr:uid="{00000000-0005-0000-0000-0000F1060000}"/>
    <cellStyle name="Moneda 3 4 3 3" xfId="1790" xr:uid="{00000000-0005-0000-0000-0000F2060000}"/>
    <cellStyle name="Moneda 3 4 3 3 2" xfId="1791" xr:uid="{00000000-0005-0000-0000-0000F3060000}"/>
    <cellStyle name="Moneda 3 4 3 4" xfId="1792" xr:uid="{00000000-0005-0000-0000-0000F4060000}"/>
    <cellStyle name="Moneda 3 4 3 4 2" xfId="1793" xr:uid="{00000000-0005-0000-0000-0000F5060000}"/>
    <cellStyle name="Moneda 3 4 3 5" xfId="1794" xr:uid="{00000000-0005-0000-0000-0000F6060000}"/>
    <cellStyle name="Moneda 3 4 4" xfId="1795" xr:uid="{00000000-0005-0000-0000-0000F7060000}"/>
    <cellStyle name="Moneda 3 4 4 2" xfId="1796" xr:uid="{00000000-0005-0000-0000-0000F8060000}"/>
    <cellStyle name="Moneda 3 4 5" xfId="1797" xr:uid="{00000000-0005-0000-0000-0000F9060000}"/>
    <cellStyle name="Moneda 3 4 5 2" xfId="1798" xr:uid="{00000000-0005-0000-0000-0000FA060000}"/>
    <cellStyle name="Moneda 3 4 6" xfId="1799" xr:uid="{00000000-0005-0000-0000-0000FB060000}"/>
    <cellStyle name="Moneda 3 4 6 2" xfId="1800" xr:uid="{00000000-0005-0000-0000-0000FC060000}"/>
    <cellStyle name="Moneda 3 4 7" xfId="1801" xr:uid="{00000000-0005-0000-0000-0000FD060000}"/>
    <cellStyle name="Moneda 3 5" xfId="1802" xr:uid="{00000000-0005-0000-0000-0000FE060000}"/>
    <cellStyle name="Moneda 3 5 2" xfId="1803" xr:uid="{00000000-0005-0000-0000-0000FF060000}"/>
    <cellStyle name="Moneda 3 5 2 2" xfId="1804" xr:uid="{00000000-0005-0000-0000-000000070000}"/>
    <cellStyle name="Moneda 3 5 2 2 2" xfId="1805" xr:uid="{00000000-0005-0000-0000-000001070000}"/>
    <cellStyle name="Moneda 3 5 2 2 2 2" xfId="1806" xr:uid="{00000000-0005-0000-0000-000002070000}"/>
    <cellStyle name="Moneda 3 5 2 2 3" xfId="1807" xr:uid="{00000000-0005-0000-0000-000003070000}"/>
    <cellStyle name="Moneda 3 5 2 2 3 2" xfId="1808" xr:uid="{00000000-0005-0000-0000-000004070000}"/>
    <cellStyle name="Moneda 3 5 2 2 4" xfId="1809" xr:uid="{00000000-0005-0000-0000-000005070000}"/>
    <cellStyle name="Moneda 3 5 2 2 4 2" xfId="1810" xr:uid="{00000000-0005-0000-0000-000006070000}"/>
    <cellStyle name="Moneda 3 5 2 2 5" xfId="1811" xr:uid="{00000000-0005-0000-0000-000007070000}"/>
    <cellStyle name="Moneda 3 5 2 3" xfId="1812" xr:uid="{00000000-0005-0000-0000-000008070000}"/>
    <cellStyle name="Moneda 3 5 2 3 2" xfId="1813" xr:uid="{00000000-0005-0000-0000-000009070000}"/>
    <cellStyle name="Moneda 3 5 2 4" xfId="1814" xr:uid="{00000000-0005-0000-0000-00000A070000}"/>
    <cellStyle name="Moneda 3 5 2 4 2" xfId="1815" xr:uid="{00000000-0005-0000-0000-00000B070000}"/>
    <cellStyle name="Moneda 3 5 2 5" xfId="1816" xr:uid="{00000000-0005-0000-0000-00000C070000}"/>
    <cellStyle name="Moneda 3 5 2 5 2" xfId="1817" xr:uid="{00000000-0005-0000-0000-00000D070000}"/>
    <cellStyle name="Moneda 3 5 2 6" xfId="1818" xr:uid="{00000000-0005-0000-0000-00000E070000}"/>
    <cellStyle name="Moneda 3 5 3" xfId="1819" xr:uid="{00000000-0005-0000-0000-00000F070000}"/>
    <cellStyle name="Moneda 3 5 3 2" xfId="1820" xr:uid="{00000000-0005-0000-0000-000010070000}"/>
    <cellStyle name="Moneda 3 5 3 2 2" xfId="1821" xr:uid="{00000000-0005-0000-0000-000011070000}"/>
    <cellStyle name="Moneda 3 5 3 3" xfId="1822" xr:uid="{00000000-0005-0000-0000-000012070000}"/>
    <cellStyle name="Moneda 3 5 3 3 2" xfId="1823" xr:uid="{00000000-0005-0000-0000-000013070000}"/>
    <cellStyle name="Moneda 3 5 3 4" xfId="1824" xr:uid="{00000000-0005-0000-0000-000014070000}"/>
    <cellStyle name="Moneda 3 5 3 4 2" xfId="1825" xr:uid="{00000000-0005-0000-0000-000015070000}"/>
    <cellStyle name="Moneda 3 5 3 5" xfId="1826" xr:uid="{00000000-0005-0000-0000-000016070000}"/>
    <cellStyle name="Moneda 3 5 4" xfId="1827" xr:uid="{00000000-0005-0000-0000-000017070000}"/>
    <cellStyle name="Moneda 3 5 4 2" xfId="1828" xr:uid="{00000000-0005-0000-0000-000018070000}"/>
    <cellStyle name="Moneda 3 5 5" xfId="1829" xr:uid="{00000000-0005-0000-0000-000019070000}"/>
    <cellStyle name="Moneda 3 5 5 2" xfId="1830" xr:uid="{00000000-0005-0000-0000-00001A070000}"/>
    <cellStyle name="Moneda 3 5 6" xfId="1831" xr:uid="{00000000-0005-0000-0000-00001B070000}"/>
    <cellStyle name="Moneda 3 5 6 2" xfId="1832" xr:uid="{00000000-0005-0000-0000-00001C070000}"/>
    <cellStyle name="Moneda 3 5 7" xfId="1833" xr:uid="{00000000-0005-0000-0000-00001D070000}"/>
    <cellStyle name="Moneda 3 5 8" xfId="1834" xr:uid="{00000000-0005-0000-0000-00001E070000}"/>
    <cellStyle name="Moneda 3 6" xfId="1835" xr:uid="{00000000-0005-0000-0000-00001F070000}"/>
    <cellStyle name="Moneda 3 6 2" xfId="1836" xr:uid="{00000000-0005-0000-0000-000020070000}"/>
    <cellStyle name="Moneda 3 6 2 2" xfId="1837" xr:uid="{00000000-0005-0000-0000-000021070000}"/>
    <cellStyle name="Moneda 3 6 2 2 2" xfId="1838" xr:uid="{00000000-0005-0000-0000-000022070000}"/>
    <cellStyle name="Moneda 3 6 2 3" xfId="1839" xr:uid="{00000000-0005-0000-0000-000023070000}"/>
    <cellStyle name="Moneda 3 6 3" xfId="1840" xr:uid="{00000000-0005-0000-0000-000024070000}"/>
    <cellStyle name="Moneda 3 7" xfId="1841" xr:uid="{00000000-0005-0000-0000-000025070000}"/>
    <cellStyle name="Moneda 3 7 2" xfId="1842" xr:uid="{00000000-0005-0000-0000-000026070000}"/>
    <cellStyle name="Moneda 3 7 2 2" xfId="1843" xr:uid="{00000000-0005-0000-0000-000027070000}"/>
    <cellStyle name="Moneda 3 7 3" xfId="1844" xr:uid="{00000000-0005-0000-0000-000028070000}"/>
    <cellStyle name="Moneda 3 8" xfId="1845" xr:uid="{00000000-0005-0000-0000-000029070000}"/>
    <cellStyle name="Moneda 3 8 2" xfId="1846" xr:uid="{00000000-0005-0000-0000-00002A070000}"/>
    <cellStyle name="Moneda 3 8 2 2" xfId="1847" xr:uid="{00000000-0005-0000-0000-00002B070000}"/>
    <cellStyle name="Moneda 3 8 2 2 2" xfId="1848" xr:uid="{00000000-0005-0000-0000-00002C070000}"/>
    <cellStyle name="Moneda 3 8 2 3" xfId="1849" xr:uid="{00000000-0005-0000-0000-00002D070000}"/>
    <cellStyle name="Moneda 3 8 2 3 2" xfId="1850" xr:uid="{00000000-0005-0000-0000-00002E070000}"/>
    <cellStyle name="Moneda 3 8 2 4" xfId="1851" xr:uid="{00000000-0005-0000-0000-00002F070000}"/>
    <cellStyle name="Moneda 3 8 2 4 2" xfId="1852" xr:uid="{00000000-0005-0000-0000-000030070000}"/>
    <cellStyle name="Moneda 3 8 2 5" xfId="1853" xr:uid="{00000000-0005-0000-0000-000031070000}"/>
    <cellStyle name="Moneda 3 8 3" xfId="1854" xr:uid="{00000000-0005-0000-0000-000032070000}"/>
    <cellStyle name="Moneda 3 8 3 2" xfId="1855" xr:uid="{00000000-0005-0000-0000-000033070000}"/>
    <cellStyle name="Moneda 3 8 4" xfId="1856" xr:uid="{00000000-0005-0000-0000-000034070000}"/>
    <cellStyle name="Moneda 3 8 4 2" xfId="1857" xr:uid="{00000000-0005-0000-0000-000035070000}"/>
    <cellStyle name="Moneda 3 8 5" xfId="1858" xr:uid="{00000000-0005-0000-0000-000036070000}"/>
    <cellStyle name="Moneda 3 8 5 2" xfId="1859" xr:uid="{00000000-0005-0000-0000-000037070000}"/>
    <cellStyle name="Moneda 3 8 6" xfId="1860" xr:uid="{00000000-0005-0000-0000-000038070000}"/>
    <cellStyle name="Moneda 3 9" xfId="1861" xr:uid="{00000000-0005-0000-0000-000039070000}"/>
    <cellStyle name="Moneda 3 9 2" xfId="1862" xr:uid="{00000000-0005-0000-0000-00003A070000}"/>
    <cellStyle name="Moneda 30" xfId="1863" xr:uid="{00000000-0005-0000-0000-00003B070000}"/>
    <cellStyle name="Moneda 30 2" xfId="1864" xr:uid="{00000000-0005-0000-0000-00003C070000}"/>
    <cellStyle name="Moneda 30 2 2" xfId="1865" xr:uid="{00000000-0005-0000-0000-00003D070000}"/>
    <cellStyle name="Moneda 30 3" xfId="1866" xr:uid="{00000000-0005-0000-0000-00003E070000}"/>
    <cellStyle name="Moneda 30 3 2" xfId="1867" xr:uid="{00000000-0005-0000-0000-00003F070000}"/>
    <cellStyle name="Moneda 30 4" xfId="1868" xr:uid="{00000000-0005-0000-0000-000040070000}"/>
    <cellStyle name="Moneda 30 4 2" xfId="1869" xr:uid="{00000000-0005-0000-0000-000041070000}"/>
    <cellStyle name="Moneda 30 5" xfId="1870" xr:uid="{00000000-0005-0000-0000-000042070000}"/>
    <cellStyle name="Moneda 31" xfId="1871" xr:uid="{00000000-0005-0000-0000-000043070000}"/>
    <cellStyle name="Moneda 31 2" xfId="1872" xr:uid="{00000000-0005-0000-0000-000044070000}"/>
    <cellStyle name="Moneda 32" xfId="1873" xr:uid="{00000000-0005-0000-0000-000045070000}"/>
    <cellStyle name="Moneda 32 2" xfId="1874" xr:uid="{00000000-0005-0000-0000-000046070000}"/>
    <cellStyle name="Moneda 33" xfId="1875" xr:uid="{00000000-0005-0000-0000-000047070000}"/>
    <cellStyle name="Moneda 33 2" xfId="1876" xr:uid="{00000000-0005-0000-0000-000048070000}"/>
    <cellStyle name="Moneda 34" xfId="1877" xr:uid="{00000000-0005-0000-0000-000049070000}"/>
    <cellStyle name="Moneda 34 2" xfId="1878" xr:uid="{00000000-0005-0000-0000-00004A070000}"/>
    <cellStyle name="Moneda 35" xfId="1879" xr:uid="{00000000-0005-0000-0000-00004B070000}"/>
    <cellStyle name="Moneda 35 2" xfId="1880" xr:uid="{00000000-0005-0000-0000-00004C070000}"/>
    <cellStyle name="Moneda 36" xfId="1881" xr:uid="{00000000-0005-0000-0000-00004D070000}"/>
    <cellStyle name="Moneda 36 2" xfId="1882" xr:uid="{00000000-0005-0000-0000-00004E070000}"/>
    <cellStyle name="Moneda 37" xfId="1883" xr:uid="{00000000-0005-0000-0000-00004F070000}"/>
    <cellStyle name="Moneda 37 2" xfId="1884" xr:uid="{00000000-0005-0000-0000-000050070000}"/>
    <cellStyle name="Moneda 38" xfId="1885" xr:uid="{00000000-0005-0000-0000-000051070000}"/>
    <cellStyle name="Moneda 38 2" xfId="1886" xr:uid="{00000000-0005-0000-0000-000052070000}"/>
    <cellStyle name="Moneda 39" xfId="1887" xr:uid="{00000000-0005-0000-0000-000053070000}"/>
    <cellStyle name="Moneda 39 2" xfId="1888" xr:uid="{00000000-0005-0000-0000-000054070000}"/>
    <cellStyle name="Moneda 4" xfId="15" xr:uid="{00000000-0005-0000-0000-000055070000}"/>
    <cellStyle name="Moneda 4 2" xfId="1889" xr:uid="{00000000-0005-0000-0000-000056070000}"/>
    <cellStyle name="Moneda 4 3" xfId="1890" xr:uid="{00000000-0005-0000-0000-000057070000}"/>
    <cellStyle name="Moneda 4 4" xfId="1891" xr:uid="{00000000-0005-0000-0000-000058070000}"/>
    <cellStyle name="Moneda 40" xfId="1892" xr:uid="{00000000-0005-0000-0000-000059070000}"/>
    <cellStyle name="Moneda 40 2" xfId="1893" xr:uid="{00000000-0005-0000-0000-00005A070000}"/>
    <cellStyle name="Moneda 41" xfId="1894" xr:uid="{00000000-0005-0000-0000-00005B070000}"/>
    <cellStyle name="Moneda 41 2" xfId="1895" xr:uid="{00000000-0005-0000-0000-00005C070000}"/>
    <cellStyle name="Moneda 42" xfId="1896" xr:uid="{00000000-0005-0000-0000-00005D070000}"/>
    <cellStyle name="Moneda 42 2" xfId="1897" xr:uid="{00000000-0005-0000-0000-00005E070000}"/>
    <cellStyle name="Moneda 43" xfId="1898" xr:uid="{00000000-0005-0000-0000-00005F070000}"/>
    <cellStyle name="Moneda 43 2" xfId="1899" xr:uid="{00000000-0005-0000-0000-000060070000}"/>
    <cellStyle name="Moneda 44" xfId="1900" xr:uid="{00000000-0005-0000-0000-000061070000}"/>
    <cellStyle name="Moneda 44 2" xfId="1901" xr:uid="{00000000-0005-0000-0000-000062070000}"/>
    <cellStyle name="Moneda 45" xfId="1902" xr:uid="{00000000-0005-0000-0000-000063070000}"/>
    <cellStyle name="Moneda 45 2" xfId="1903" xr:uid="{00000000-0005-0000-0000-000064070000}"/>
    <cellStyle name="Moneda 46" xfId="1904" xr:uid="{00000000-0005-0000-0000-000065070000}"/>
    <cellStyle name="Moneda 46 2" xfId="1905" xr:uid="{00000000-0005-0000-0000-000066070000}"/>
    <cellStyle name="Moneda 47" xfId="1906" xr:uid="{00000000-0005-0000-0000-000067070000}"/>
    <cellStyle name="Moneda 47 2" xfId="1907" xr:uid="{00000000-0005-0000-0000-000068070000}"/>
    <cellStyle name="Moneda 48" xfId="1908" xr:uid="{00000000-0005-0000-0000-000069070000}"/>
    <cellStyle name="Moneda 48 2" xfId="1909" xr:uid="{00000000-0005-0000-0000-00006A070000}"/>
    <cellStyle name="Moneda 49" xfId="1910" xr:uid="{00000000-0005-0000-0000-00006B070000}"/>
    <cellStyle name="Moneda 5" xfId="1911" xr:uid="{00000000-0005-0000-0000-00006C070000}"/>
    <cellStyle name="Moneda 5 2" xfId="1912" xr:uid="{00000000-0005-0000-0000-00006D070000}"/>
    <cellStyle name="Moneda 5 3" xfId="1913" xr:uid="{00000000-0005-0000-0000-00006E070000}"/>
    <cellStyle name="Moneda 5 4" xfId="1914" xr:uid="{00000000-0005-0000-0000-00006F070000}"/>
    <cellStyle name="Moneda 5 5" xfId="1915" xr:uid="{00000000-0005-0000-0000-000070070000}"/>
    <cellStyle name="Moneda 50" xfId="1916" xr:uid="{00000000-0005-0000-0000-000071070000}"/>
    <cellStyle name="Moneda 51" xfId="1917" xr:uid="{00000000-0005-0000-0000-000072070000}"/>
    <cellStyle name="Moneda 52" xfId="1918" xr:uid="{00000000-0005-0000-0000-000073070000}"/>
    <cellStyle name="Moneda 6" xfId="1919" xr:uid="{00000000-0005-0000-0000-000074070000}"/>
    <cellStyle name="Moneda 6 10" xfId="1920" xr:uid="{00000000-0005-0000-0000-000075070000}"/>
    <cellStyle name="Moneda 6 10 2" xfId="1921" xr:uid="{00000000-0005-0000-0000-000076070000}"/>
    <cellStyle name="Moneda 6 11" xfId="1922" xr:uid="{00000000-0005-0000-0000-000077070000}"/>
    <cellStyle name="Moneda 6 11 2" xfId="1923" xr:uid="{00000000-0005-0000-0000-000078070000}"/>
    <cellStyle name="Moneda 6 12" xfId="1924" xr:uid="{00000000-0005-0000-0000-000079070000}"/>
    <cellStyle name="Moneda 6 2" xfId="1925" xr:uid="{00000000-0005-0000-0000-00007A070000}"/>
    <cellStyle name="Moneda 6 2 10" xfId="1926" xr:uid="{00000000-0005-0000-0000-00007B070000}"/>
    <cellStyle name="Moneda 6 2 11" xfId="1927" xr:uid="{00000000-0005-0000-0000-00007C070000}"/>
    <cellStyle name="Moneda 6 2 2" xfId="1928" xr:uid="{00000000-0005-0000-0000-00007D070000}"/>
    <cellStyle name="Moneda 6 2 2 2" xfId="1929" xr:uid="{00000000-0005-0000-0000-00007E070000}"/>
    <cellStyle name="Moneda 6 2 2 2 2" xfId="1930" xr:uid="{00000000-0005-0000-0000-00007F070000}"/>
    <cellStyle name="Moneda 6 2 2 2 2 2" xfId="1931" xr:uid="{00000000-0005-0000-0000-000080070000}"/>
    <cellStyle name="Moneda 6 2 2 2 2 2 2" xfId="1932" xr:uid="{00000000-0005-0000-0000-000081070000}"/>
    <cellStyle name="Moneda 6 2 2 2 2 3" xfId="1933" xr:uid="{00000000-0005-0000-0000-000082070000}"/>
    <cellStyle name="Moneda 6 2 2 2 2 3 2" xfId="1934" xr:uid="{00000000-0005-0000-0000-000083070000}"/>
    <cellStyle name="Moneda 6 2 2 2 2 4" xfId="1935" xr:uid="{00000000-0005-0000-0000-000084070000}"/>
    <cellStyle name="Moneda 6 2 2 2 2 4 2" xfId="1936" xr:uid="{00000000-0005-0000-0000-000085070000}"/>
    <cellStyle name="Moneda 6 2 2 2 2 5" xfId="1937" xr:uid="{00000000-0005-0000-0000-000086070000}"/>
    <cellStyle name="Moneda 6 2 2 2 3" xfId="1938" xr:uid="{00000000-0005-0000-0000-000087070000}"/>
    <cellStyle name="Moneda 6 2 2 2 3 2" xfId="1939" xr:uid="{00000000-0005-0000-0000-000088070000}"/>
    <cellStyle name="Moneda 6 2 2 2 4" xfId="1940" xr:uid="{00000000-0005-0000-0000-000089070000}"/>
    <cellStyle name="Moneda 6 2 2 2 4 2" xfId="1941" xr:uid="{00000000-0005-0000-0000-00008A070000}"/>
    <cellStyle name="Moneda 6 2 2 2 5" xfId="1942" xr:uid="{00000000-0005-0000-0000-00008B070000}"/>
    <cellStyle name="Moneda 6 2 2 2 5 2" xfId="1943" xr:uid="{00000000-0005-0000-0000-00008C070000}"/>
    <cellStyle name="Moneda 6 2 2 2 6" xfId="1944" xr:uid="{00000000-0005-0000-0000-00008D070000}"/>
    <cellStyle name="Moneda 6 2 2 3" xfId="1945" xr:uid="{00000000-0005-0000-0000-00008E070000}"/>
    <cellStyle name="Moneda 6 2 2 3 2" xfId="1946" xr:uid="{00000000-0005-0000-0000-00008F070000}"/>
    <cellStyle name="Moneda 6 2 2 3 2 2" xfId="1947" xr:uid="{00000000-0005-0000-0000-000090070000}"/>
    <cellStyle name="Moneda 6 2 2 3 3" xfId="1948" xr:uid="{00000000-0005-0000-0000-000091070000}"/>
    <cellStyle name="Moneda 6 2 2 3 3 2" xfId="1949" xr:uid="{00000000-0005-0000-0000-000092070000}"/>
    <cellStyle name="Moneda 6 2 2 3 4" xfId="1950" xr:uid="{00000000-0005-0000-0000-000093070000}"/>
    <cellStyle name="Moneda 6 2 2 3 4 2" xfId="1951" xr:uid="{00000000-0005-0000-0000-000094070000}"/>
    <cellStyle name="Moneda 6 2 2 3 5" xfId="1952" xr:uid="{00000000-0005-0000-0000-000095070000}"/>
    <cellStyle name="Moneda 6 2 2 4" xfId="1953" xr:uid="{00000000-0005-0000-0000-000096070000}"/>
    <cellStyle name="Moneda 6 2 2 4 2" xfId="1954" xr:uid="{00000000-0005-0000-0000-000097070000}"/>
    <cellStyle name="Moneda 6 2 2 5" xfId="1955" xr:uid="{00000000-0005-0000-0000-000098070000}"/>
    <cellStyle name="Moneda 6 2 2 5 2" xfId="1956" xr:uid="{00000000-0005-0000-0000-000099070000}"/>
    <cellStyle name="Moneda 6 2 2 6" xfId="1957" xr:uid="{00000000-0005-0000-0000-00009A070000}"/>
    <cellStyle name="Moneda 6 2 2 6 2" xfId="1958" xr:uid="{00000000-0005-0000-0000-00009B070000}"/>
    <cellStyle name="Moneda 6 2 2 7" xfId="1959" xr:uid="{00000000-0005-0000-0000-00009C070000}"/>
    <cellStyle name="Moneda 6 2 3" xfId="1960" xr:uid="{00000000-0005-0000-0000-00009D070000}"/>
    <cellStyle name="Moneda 6 2 3 2" xfId="1961" xr:uid="{00000000-0005-0000-0000-00009E070000}"/>
    <cellStyle name="Moneda 6 2 3 2 2" xfId="1962" xr:uid="{00000000-0005-0000-0000-00009F070000}"/>
    <cellStyle name="Moneda 6 2 3 2 2 2" xfId="1963" xr:uid="{00000000-0005-0000-0000-0000A0070000}"/>
    <cellStyle name="Moneda 6 2 3 2 2 2 2" xfId="1964" xr:uid="{00000000-0005-0000-0000-0000A1070000}"/>
    <cellStyle name="Moneda 6 2 3 2 2 3" xfId="1965" xr:uid="{00000000-0005-0000-0000-0000A2070000}"/>
    <cellStyle name="Moneda 6 2 3 2 2 3 2" xfId="1966" xr:uid="{00000000-0005-0000-0000-0000A3070000}"/>
    <cellStyle name="Moneda 6 2 3 2 2 4" xfId="1967" xr:uid="{00000000-0005-0000-0000-0000A4070000}"/>
    <cellStyle name="Moneda 6 2 3 2 2 4 2" xfId="1968" xr:uid="{00000000-0005-0000-0000-0000A5070000}"/>
    <cellStyle name="Moneda 6 2 3 2 2 5" xfId="1969" xr:uid="{00000000-0005-0000-0000-0000A6070000}"/>
    <cellStyle name="Moneda 6 2 3 2 3" xfId="1970" xr:uid="{00000000-0005-0000-0000-0000A7070000}"/>
    <cellStyle name="Moneda 6 2 3 2 3 2" xfId="1971" xr:uid="{00000000-0005-0000-0000-0000A8070000}"/>
    <cellStyle name="Moneda 6 2 3 2 4" xfId="1972" xr:uid="{00000000-0005-0000-0000-0000A9070000}"/>
    <cellStyle name="Moneda 6 2 3 2 4 2" xfId="1973" xr:uid="{00000000-0005-0000-0000-0000AA070000}"/>
    <cellStyle name="Moneda 6 2 3 2 5" xfId="1974" xr:uid="{00000000-0005-0000-0000-0000AB070000}"/>
    <cellStyle name="Moneda 6 2 3 2 5 2" xfId="1975" xr:uid="{00000000-0005-0000-0000-0000AC070000}"/>
    <cellStyle name="Moneda 6 2 3 2 6" xfId="1976" xr:uid="{00000000-0005-0000-0000-0000AD070000}"/>
    <cellStyle name="Moneda 6 2 3 3" xfId="1977" xr:uid="{00000000-0005-0000-0000-0000AE070000}"/>
    <cellStyle name="Moneda 6 2 3 3 2" xfId="1978" xr:uid="{00000000-0005-0000-0000-0000AF070000}"/>
    <cellStyle name="Moneda 6 2 3 3 2 2" xfId="1979" xr:uid="{00000000-0005-0000-0000-0000B0070000}"/>
    <cellStyle name="Moneda 6 2 3 3 3" xfId="1980" xr:uid="{00000000-0005-0000-0000-0000B1070000}"/>
    <cellStyle name="Moneda 6 2 3 3 3 2" xfId="1981" xr:uid="{00000000-0005-0000-0000-0000B2070000}"/>
    <cellStyle name="Moneda 6 2 3 3 4" xfId="1982" xr:uid="{00000000-0005-0000-0000-0000B3070000}"/>
    <cellStyle name="Moneda 6 2 3 3 4 2" xfId="1983" xr:uid="{00000000-0005-0000-0000-0000B4070000}"/>
    <cellStyle name="Moneda 6 2 3 3 5" xfId="1984" xr:uid="{00000000-0005-0000-0000-0000B5070000}"/>
    <cellStyle name="Moneda 6 2 3 4" xfId="1985" xr:uid="{00000000-0005-0000-0000-0000B6070000}"/>
    <cellStyle name="Moneda 6 2 3 4 2" xfId="1986" xr:uid="{00000000-0005-0000-0000-0000B7070000}"/>
    <cellStyle name="Moneda 6 2 3 5" xfId="1987" xr:uid="{00000000-0005-0000-0000-0000B8070000}"/>
    <cellStyle name="Moneda 6 2 3 5 2" xfId="1988" xr:uid="{00000000-0005-0000-0000-0000B9070000}"/>
    <cellStyle name="Moneda 6 2 3 6" xfId="1989" xr:uid="{00000000-0005-0000-0000-0000BA070000}"/>
    <cellStyle name="Moneda 6 2 3 6 2" xfId="1990" xr:uid="{00000000-0005-0000-0000-0000BB070000}"/>
    <cellStyle name="Moneda 6 2 3 7" xfId="1991" xr:uid="{00000000-0005-0000-0000-0000BC070000}"/>
    <cellStyle name="Moneda 6 2 4" xfId="1992" xr:uid="{00000000-0005-0000-0000-0000BD070000}"/>
    <cellStyle name="Moneda 6 2 4 2" xfId="1993" xr:uid="{00000000-0005-0000-0000-0000BE070000}"/>
    <cellStyle name="Moneda 6 2 4 2 2" xfId="1994" xr:uid="{00000000-0005-0000-0000-0000BF070000}"/>
    <cellStyle name="Moneda 6 2 4 2 2 2" xfId="1995" xr:uid="{00000000-0005-0000-0000-0000C0070000}"/>
    <cellStyle name="Moneda 6 2 4 2 2 2 2" xfId="1996" xr:uid="{00000000-0005-0000-0000-0000C1070000}"/>
    <cellStyle name="Moneda 6 2 4 2 2 3" xfId="1997" xr:uid="{00000000-0005-0000-0000-0000C2070000}"/>
    <cellStyle name="Moneda 6 2 4 2 2 3 2" xfId="1998" xr:uid="{00000000-0005-0000-0000-0000C3070000}"/>
    <cellStyle name="Moneda 6 2 4 2 2 4" xfId="1999" xr:uid="{00000000-0005-0000-0000-0000C4070000}"/>
    <cellStyle name="Moneda 6 2 4 2 2 4 2" xfId="2000" xr:uid="{00000000-0005-0000-0000-0000C5070000}"/>
    <cellStyle name="Moneda 6 2 4 2 2 5" xfId="2001" xr:uid="{00000000-0005-0000-0000-0000C6070000}"/>
    <cellStyle name="Moneda 6 2 4 2 3" xfId="2002" xr:uid="{00000000-0005-0000-0000-0000C7070000}"/>
    <cellStyle name="Moneda 6 2 4 2 3 2" xfId="2003" xr:uid="{00000000-0005-0000-0000-0000C8070000}"/>
    <cellStyle name="Moneda 6 2 4 2 4" xfId="2004" xr:uid="{00000000-0005-0000-0000-0000C9070000}"/>
    <cellStyle name="Moneda 6 2 4 2 4 2" xfId="2005" xr:uid="{00000000-0005-0000-0000-0000CA070000}"/>
    <cellStyle name="Moneda 6 2 4 2 5" xfId="2006" xr:uid="{00000000-0005-0000-0000-0000CB070000}"/>
    <cellStyle name="Moneda 6 2 4 2 5 2" xfId="2007" xr:uid="{00000000-0005-0000-0000-0000CC070000}"/>
    <cellStyle name="Moneda 6 2 4 2 6" xfId="2008" xr:uid="{00000000-0005-0000-0000-0000CD070000}"/>
    <cellStyle name="Moneda 6 2 4 3" xfId="2009" xr:uid="{00000000-0005-0000-0000-0000CE070000}"/>
    <cellStyle name="Moneda 6 2 4 3 2" xfId="2010" xr:uid="{00000000-0005-0000-0000-0000CF070000}"/>
    <cellStyle name="Moneda 6 2 4 3 2 2" xfId="2011" xr:uid="{00000000-0005-0000-0000-0000D0070000}"/>
    <cellStyle name="Moneda 6 2 4 3 3" xfId="2012" xr:uid="{00000000-0005-0000-0000-0000D1070000}"/>
    <cellStyle name="Moneda 6 2 4 3 3 2" xfId="2013" xr:uid="{00000000-0005-0000-0000-0000D2070000}"/>
    <cellStyle name="Moneda 6 2 4 3 4" xfId="2014" xr:uid="{00000000-0005-0000-0000-0000D3070000}"/>
    <cellStyle name="Moneda 6 2 4 3 4 2" xfId="2015" xr:uid="{00000000-0005-0000-0000-0000D4070000}"/>
    <cellStyle name="Moneda 6 2 4 3 5" xfId="2016" xr:uid="{00000000-0005-0000-0000-0000D5070000}"/>
    <cellStyle name="Moneda 6 2 4 4" xfId="2017" xr:uid="{00000000-0005-0000-0000-0000D6070000}"/>
    <cellStyle name="Moneda 6 2 4 4 2" xfId="2018" xr:uid="{00000000-0005-0000-0000-0000D7070000}"/>
    <cellStyle name="Moneda 6 2 4 5" xfId="2019" xr:uid="{00000000-0005-0000-0000-0000D8070000}"/>
    <cellStyle name="Moneda 6 2 4 5 2" xfId="2020" xr:uid="{00000000-0005-0000-0000-0000D9070000}"/>
    <cellStyle name="Moneda 6 2 4 6" xfId="2021" xr:uid="{00000000-0005-0000-0000-0000DA070000}"/>
    <cellStyle name="Moneda 6 2 4 6 2" xfId="2022" xr:uid="{00000000-0005-0000-0000-0000DB070000}"/>
    <cellStyle name="Moneda 6 2 4 7" xfId="2023" xr:uid="{00000000-0005-0000-0000-0000DC070000}"/>
    <cellStyle name="Moneda 6 2 5" xfId="2024" xr:uid="{00000000-0005-0000-0000-0000DD070000}"/>
    <cellStyle name="Moneda 6 2 5 2" xfId="2025" xr:uid="{00000000-0005-0000-0000-0000DE070000}"/>
    <cellStyle name="Moneda 6 2 5 2 2" xfId="2026" xr:uid="{00000000-0005-0000-0000-0000DF070000}"/>
    <cellStyle name="Moneda 6 2 5 2 2 2" xfId="2027" xr:uid="{00000000-0005-0000-0000-0000E0070000}"/>
    <cellStyle name="Moneda 6 2 5 2 3" xfId="2028" xr:uid="{00000000-0005-0000-0000-0000E1070000}"/>
    <cellStyle name="Moneda 6 2 5 2 3 2" xfId="2029" xr:uid="{00000000-0005-0000-0000-0000E2070000}"/>
    <cellStyle name="Moneda 6 2 5 2 4" xfId="2030" xr:uid="{00000000-0005-0000-0000-0000E3070000}"/>
    <cellStyle name="Moneda 6 2 5 2 4 2" xfId="2031" xr:uid="{00000000-0005-0000-0000-0000E4070000}"/>
    <cellStyle name="Moneda 6 2 5 2 5" xfId="2032" xr:uid="{00000000-0005-0000-0000-0000E5070000}"/>
    <cellStyle name="Moneda 6 2 5 3" xfId="2033" xr:uid="{00000000-0005-0000-0000-0000E6070000}"/>
    <cellStyle name="Moneda 6 2 5 3 2" xfId="2034" xr:uid="{00000000-0005-0000-0000-0000E7070000}"/>
    <cellStyle name="Moneda 6 2 5 4" xfId="2035" xr:uid="{00000000-0005-0000-0000-0000E8070000}"/>
    <cellStyle name="Moneda 6 2 5 4 2" xfId="2036" xr:uid="{00000000-0005-0000-0000-0000E9070000}"/>
    <cellStyle name="Moneda 6 2 5 5" xfId="2037" xr:uid="{00000000-0005-0000-0000-0000EA070000}"/>
    <cellStyle name="Moneda 6 2 5 5 2" xfId="2038" xr:uid="{00000000-0005-0000-0000-0000EB070000}"/>
    <cellStyle name="Moneda 6 2 5 6" xfId="2039" xr:uid="{00000000-0005-0000-0000-0000EC070000}"/>
    <cellStyle name="Moneda 6 2 6" xfId="2040" xr:uid="{00000000-0005-0000-0000-0000ED070000}"/>
    <cellStyle name="Moneda 6 2 6 2" xfId="2041" xr:uid="{00000000-0005-0000-0000-0000EE070000}"/>
    <cellStyle name="Moneda 6 2 6 2 2" xfId="2042" xr:uid="{00000000-0005-0000-0000-0000EF070000}"/>
    <cellStyle name="Moneda 6 2 6 3" xfId="2043" xr:uid="{00000000-0005-0000-0000-0000F0070000}"/>
    <cellStyle name="Moneda 6 2 6 3 2" xfId="2044" xr:uid="{00000000-0005-0000-0000-0000F1070000}"/>
    <cellStyle name="Moneda 6 2 6 4" xfId="2045" xr:uid="{00000000-0005-0000-0000-0000F2070000}"/>
    <cellStyle name="Moneda 6 2 6 4 2" xfId="2046" xr:uid="{00000000-0005-0000-0000-0000F3070000}"/>
    <cellStyle name="Moneda 6 2 6 5" xfId="2047" xr:uid="{00000000-0005-0000-0000-0000F4070000}"/>
    <cellStyle name="Moneda 6 2 7" xfId="2048" xr:uid="{00000000-0005-0000-0000-0000F5070000}"/>
    <cellStyle name="Moneda 6 2 7 2" xfId="2049" xr:uid="{00000000-0005-0000-0000-0000F6070000}"/>
    <cellStyle name="Moneda 6 2 8" xfId="2050" xr:uid="{00000000-0005-0000-0000-0000F7070000}"/>
    <cellStyle name="Moneda 6 2 8 2" xfId="2051" xr:uid="{00000000-0005-0000-0000-0000F8070000}"/>
    <cellStyle name="Moneda 6 2 9" xfId="2052" xr:uid="{00000000-0005-0000-0000-0000F9070000}"/>
    <cellStyle name="Moneda 6 2 9 2" xfId="2053" xr:uid="{00000000-0005-0000-0000-0000FA070000}"/>
    <cellStyle name="Moneda 6 3" xfId="2054" xr:uid="{00000000-0005-0000-0000-0000FB070000}"/>
    <cellStyle name="Moneda 6 3 2" xfId="2055" xr:uid="{00000000-0005-0000-0000-0000FC070000}"/>
    <cellStyle name="Moneda 6 3 2 2" xfId="2056" xr:uid="{00000000-0005-0000-0000-0000FD070000}"/>
    <cellStyle name="Moneda 6 3 2 2 2" xfId="2057" xr:uid="{00000000-0005-0000-0000-0000FE070000}"/>
    <cellStyle name="Moneda 6 3 2 2 2 2" xfId="2058" xr:uid="{00000000-0005-0000-0000-0000FF070000}"/>
    <cellStyle name="Moneda 6 3 2 2 3" xfId="2059" xr:uid="{00000000-0005-0000-0000-000000080000}"/>
    <cellStyle name="Moneda 6 3 2 2 3 2" xfId="2060" xr:uid="{00000000-0005-0000-0000-000001080000}"/>
    <cellStyle name="Moneda 6 3 2 2 4" xfId="2061" xr:uid="{00000000-0005-0000-0000-000002080000}"/>
    <cellStyle name="Moneda 6 3 2 2 4 2" xfId="2062" xr:uid="{00000000-0005-0000-0000-000003080000}"/>
    <cellStyle name="Moneda 6 3 2 2 5" xfId="2063" xr:uid="{00000000-0005-0000-0000-000004080000}"/>
    <cellStyle name="Moneda 6 3 2 3" xfId="2064" xr:uid="{00000000-0005-0000-0000-000005080000}"/>
    <cellStyle name="Moneda 6 3 2 3 2" xfId="2065" xr:uid="{00000000-0005-0000-0000-000006080000}"/>
    <cellStyle name="Moneda 6 3 2 4" xfId="2066" xr:uid="{00000000-0005-0000-0000-000007080000}"/>
    <cellStyle name="Moneda 6 3 2 4 2" xfId="2067" xr:uid="{00000000-0005-0000-0000-000008080000}"/>
    <cellStyle name="Moneda 6 3 2 5" xfId="2068" xr:uid="{00000000-0005-0000-0000-000009080000}"/>
    <cellStyle name="Moneda 6 3 2 5 2" xfId="2069" xr:uid="{00000000-0005-0000-0000-00000A080000}"/>
    <cellStyle name="Moneda 6 3 2 6" xfId="2070" xr:uid="{00000000-0005-0000-0000-00000B080000}"/>
    <cellStyle name="Moneda 6 3 3" xfId="2071" xr:uid="{00000000-0005-0000-0000-00000C080000}"/>
    <cellStyle name="Moneda 6 3 3 2" xfId="2072" xr:uid="{00000000-0005-0000-0000-00000D080000}"/>
    <cellStyle name="Moneda 6 3 3 2 2" xfId="2073" xr:uid="{00000000-0005-0000-0000-00000E080000}"/>
    <cellStyle name="Moneda 6 3 3 3" xfId="2074" xr:uid="{00000000-0005-0000-0000-00000F080000}"/>
    <cellStyle name="Moneda 6 3 3 3 2" xfId="2075" xr:uid="{00000000-0005-0000-0000-000010080000}"/>
    <cellStyle name="Moneda 6 3 3 4" xfId="2076" xr:uid="{00000000-0005-0000-0000-000011080000}"/>
    <cellStyle name="Moneda 6 3 3 4 2" xfId="2077" xr:uid="{00000000-0005-0000-0000-000012080000}"/>
    <cellStyle name="Moneda 6 3 3 5" xfId="2078" xr:uid="{00000000-0005-0000-0000-000013080000}"/>
    <cellStyle name="Moneda 6 3 4" xfId="2079" xr:uid="{00000000-0005-0000-0000-000014080000}"/>
    <cellStyle name="Moneda 6 3 4 2" xfId="2080" xr:uid="{00000000-0005-0000-0000-000015080000}"/>
    <cellStyle name="Moneda 6 3 5" xfId="2081" xr:uid="{00000000-0005-0000-0000-000016080000}"/>
    <cellStyle name="Moneda 6 3 5 2" xfId="2082" xr:uid="{00000000-0005-0000-0000-000017080000}"/>
    <cellStyle name="Moneda 6 3 6" xfId="2083" xr:uid="{00000000-0005-0000-0000-000018080000}"/>
    <cellStyle name="Moneda 6 3 6 2" xfId="2084" xr:uid="{00000000-0005-0000-0000-000019080000}"/>
    <cellStyle name="Moneda 6 3 7" xfId="2085" xr:uid="{00000000-0005-0000-0000-00001A080000}"/>
    <cellStyle name="Moneda 6 4" xfId="2086" xr:uid="{00000000-0005-0000-0000-00001B080000}"/>
    <cellStyle name="Moneda 6 4 2" xfId="2087" xr:uid="{00000000-0005-0000-0000-00001C080000}"/>
    <cellStyle name="Moneda 6 4 2 2" xfId="2088" xr:uid="{00000000-0005-0000-0000-00001D080000}"/>
    <cellStyle name="Moneda 6 4 2 2 2" xfId="2089" xr:uid="{00000000-0005-0000-0000-00001E080000}"/>
    <cellStyle name="Moneda 6 4 2 2 2 2" xfId="2090" xr:uid="{00000000-0005-0000-0000-00001F080000}"/>
    <cellStyle name="Moneda 6 4 2 2 3" xfId="2091" xr:uid="{00000000-0005-0000-0000-000020080000}"/>
    <cellStyle name="Moneda 6 4 2 2 3 2" xfId="2092" xr:uid="{00000000-0005-0000-0000-000021080000}"/>
    <cellStyle name="Moneda 6 4 2 2 4" xfId="2093" xr:uid="{00000000-0005-0000-0000-000022080000}"/>
    <cellStyle name="Moneda 6 4 2 2 4 2" xfId="2094" xr:uid="{00000000-0005-0000-0000-000023080000}"/>
    <cellStyle name="Moneda 6 4 2 2 5" xfId="2095" xr:uid="{00000000-0005-0000-0000-000024080000}"/>
    <cellStyle name="Moneda 6 4 2 3" xfId="2096" xr:uid="{00000000-0005-0000-0000-000025080000}"/>
    <cellStyle name="Moneda 6 4 2 3 2" xfId="2097" xr:uid="{00000000-0005-0000-0000-000026080000}"/>
    <cellStyle name="Moneda 6 4 2 4" xfId="2098" xr:uid="{00000000-0005-0000-0000-000027080000}"/>
    <cellStyle name="Moneda 6 4 2 4 2" xfId="2099" xr:uid="{00000000-0005-0000-0000-000028080000}"/>
    <cellStyle name="Moneda 6 4 2 5" xfId="2100" xr:uid="{00000000-0005-0000-0000-000029080000}"/>
    <cellStyle name="Moneda 6 4 2 5 2" xfId="2101" xr:uid="{00000000-0005-0000-0000-00002A080000}"/>
    <cellStyle name="Moneda 6 4 2 6" xfId="2102" xr:uid="{00000000-0005-0000-0000-00002B080000}"/>
    <cellStyle name="Moneda 6 4 3" xfId="2103" xr:uid="{00000000-0005-0000-0000-00002C080000}"/>
    <cellStyle name="Moneda 6 4 3 2" xfId="2104" xr:uid="{00000000-0005-0000-0000-00002D080000}"/>
    <cellStyle name="Moneda 6 4 3 2 2" xfId="2105" xr:uid="{00000000-0005-0000-0000-00002E080000}"/>
    <cellStyle name="Moneda 6 4 3 3" xfId="2106" xr:uid="{00000000-0005-0000-0000-00002F080000}"/>
    <cellStyle name="Moneda 6 4 3 3 2" xfId="2107" xr:uid="{00000000-0005-0000-0000-000030080000}"/>
    <cellStyle name="Moneda 6 4 3 4" xfId="2108" xr:uid="{00000000-0005-0000-0000-000031080000}"/>
    <cellStyle name="Moneda 6 4 3 4 2" xfId="2109" xr:uid="{00000000-0005-0000-0000-000032080000}"/>
    <cellStyle name="Moneda 6 4 3 5" xfId="2110" xr:uid="{00000000-0005-0000-0000-000033080000}"/>
    <cellStyle name="Moneda 6 4 4" xfId="2111" xr:uid="{00000000-0005-0000-0000-000034080000}"/>
    <cellStyle name="Moneda 6 4 4 2" xfId="2112" xr:uid="{00000000-0005-0000-0000-000035080000}"/>
    <cellStyle name="Moneda 6 4 5" xfId="2113" xr:uid="{00000000-0005-0000-0000-000036080000}"/>
    <cellStyle name="Moneda 6 4 5 2" xfId="2114" xr:uid="{00000000-0005-0000-0000-000037080000}"/>
    <cellStyle name="Moneda 6 4 6" xfId="2115" xr:uid="{00000000-0005-0000-0000-000038080000}"/>
    <cellStyle name="Moneda 6 4 6 2" xfId="2116" xr:uid="{00000000-0005-0000-0000-000039080000}"/>
    <cellStyle name="Moneda 6 4 7" xfId="2117" xr:uid="{00000000-0005-0000-0000-00003A080000}"/>
    <cellStyle name="Moneda 6 5" xfId="2118" xr:uid="{00000000-0005-0000-0000-00003B080000}"/>
    <cellStyle name="Moneda 6 5 2" xfId="2119" xr:uid="{00000000-0005-0000-0000-00003C080000}"/>
    <cellStyle name="Moneda 6 5 2 2" xfId="2120" xr:uid="{00000000-0005-0000-0000-00003D080000}"/>
    <cellStyle name="Moneda 6 5 2 2 2" xfId="2121" xr:uid="{00000000-0005-0000-0000-00003E080000}"/>
    <cellStyle name="Moneda 6 5 2 2 2 2" xfId="2122" xr:uid="{00000000-0005-0000-0000-00003F080000}"/>
    <cellStyle name="Moneda 6 5 2 2 3" xfId="2123" xr:uid="{00000000-0005-0000-0000-000040080000}"/>
    <cellStyle name="Moneda 6 5 2 2 3 2" xfId="2124" xr:uid="{00000000-0005-0000-0000-000041080000}"/>
    <cellStyle name="Moneda 6 5 2 2 4" xfId="2125" xr:uid="{00000000-0005-0000-0000-000042080000}"/>
    <cellStyle name="Moneda 6 5 2 2 4 2" xfId="2126" xr:uid="{00000000-0005-0000-0000-000043080000}"/>
    <cellStyle name="Moneda 6 5 2 2 5" xfId="2127" xr:uid="{00000000-0005-0000-0000-000044080000}"/>
    <cellStyle name="Moneda 6 5 2 3" xfId="2128" xr:uid="{00000000-0005-0000-0000-000045080000}"/>
    <cellStyle name="Moneda 6 5 2 3 2" xfId="2129" xr:uid="{00000000-0005-0000-0000-000046080000}"/>
    <cellStyle name="Moneda 6 5 2 4" xfId="2130" xr:uid="{00000000-0005-0000-0000-000047080000}"/>
    <cellStyle name="Moneda 6 5 2 4 2" xfId="2131" xr:uid="{00000000-0005-0000-0000-000048080000}"/>
    <cellStyle name="Moneda 6 5 2 5" xfId="2132" xr:uid="{00000000-0005-0000-0000-000049080000}"/>
    <cellStyle name="Moneda 6 5 2 5 2" xfId="2133" xr:uid="{00000000-0005-0000-0000-00004A080000}"/>
    <cellStyle name="Moneda 6 5 2 6" xfId="2134" xr:uid="{00000000-0005-0000-0000-00004B080000}"/>
    <cellStyle name="Moneda 6 5 3" xfId="2135" xr:uid="{00000000-0005-0000-0000-00004C080000}"/>
    <cellStyle name="Moneda 6 5 3 2" xfId="2136" xr:uid="{00000000-0005-0000-0000-00004D080000}"/>
    <cellStyle name="Moneda 6 5 3 2 2" xfId="2137" xr:uid="{00000000-0005-0000-0000-00004E080000}"/>
    <cellStyle name="Moneda 6 5 3 3" xfId="2138" xr:uid="{00000000-0005-0000-0000-00004F080000}"/>
    <cellStyle name="Moneda 6 5 3 3 2" xfId="2139" xr:uid="{00000000-0005-0000-0000-000050080000}"/>
    <cellStyle name="Moneda 6 5 3 4" xfId="2140" xr:uid="{00000000-0005-0000-0000-000051080000}"/>
    <cellStyle name="Moneda 6 5 3 4 2" xfId="2141" xr:uid="{00000000-0005-0000-0000-000052080000}"/>
    <cellStyle name="Moneda 6 5 3 5" xfId="2142" xr:uid="{00000000-0005-0000-0000-000053080000}"/>
    <cellStyle name="Moneda 6 5 4" xfId="2143" xr:uid="{00000000-0005-0000-0000-000054080000}"/>
    <cellStyle name="Moneda 6 5 4 2" xfId="2144" xr:uid="{00000000-0005-0000-0000-000055080000}"/>
    <cellStyle name="Moneda 6 5 5" xfId="2145" xr:uid="{00000000-0005-0000-0000-000056080000}"/>
    <cellStyle name="Moneda 6 5 5 2" xfId="2146" xr:uid="{00000000-0005-0000-0000-000057080000}"/>
    <cellStyle name="Moneda 6 5 6" xfId="2147" xr:uid="{00000000-0005-0000-0000-000058080000}"/>
    <cellStyle name="Moneda 6 5 6 2" xfId="2148" xr:uid="{00000000-0005-0000-0000-000059080000}"/>
    <cellStyle name="Moneda 6 5 7" xfId="2149" xr:uid="{00000000-0005-0000-0000-00005A080000}"/>
    <cellStyle name="Moneda 6 6" xfId="2150" xr:uid="{00000000-0005-0000-0000-00005B080000}"/>
    <cellStyle name="Moneda 6 6 2" xfId="2151" xr:uid="{00000000-0005-0000-0000-00005C080000}"/>
    <cellStyle name="Moneda 6 6 2 2" xfId="2152" xr:uid="{00000000-0005-0000-0000-00005D080000}"/>
    <cellStyle name="Moneda 6 6 2 2 2" xfId="2153" xr:uid="{00000000-0005-0000-0000-00005E080000}"/>
    <cellStyle name="Moneda 6 6 2 3" xfId="2154" xr:uid="{00000000-0005-0000-0000-00005F080000}"/>
    <cellStyle name="Moneda 6 6 2 3 2" xfId="2155" xr:uid="{00000000-0005-0000-0000-000060080000}"/>
    <cellStyle name="Moneda 6 6 2 4" xfId="2156" xr:uid="{00000000-0005-0000-0000-000061080000}"/>
    <cellStyle name="Moneda 6 6 2 4 2" xfId="2157" xr:uid="{00000000-0005-0000-0000-000062080000}"/>
    <cellStyle name="Moneda 6 6 2 5" xfId="2158" xr:uid="{00000000-0005-0000-0000-000063080000}"/>
    <cellStyle name="Moneda 6 6 3" xfId="2159" xr:uid="{00000000-0005-0000-0000-000064080000}"/>
    <cellStyle name="Moneda 6 6 3 2" xfId="2160" xr:uid="{00000000-0005-0000-0000-000065080000}"/>
    <cellStyle name="Moneda 6 6 4" xfId="2161" xr:uid="{00000000-0005-0000-0000-000066080000}"/>
    <cellStyle name="Moneda 6 6 4 2" xfId="2162" xr:uid="{00000000-0005-0000-0000-000067080000}"/>
    <cellStyle name="Moneda 6 6 5" xfId="2163" xr:uid="{00000000-0005-0000-0000-000068080000}"/>
    <cellStyle name="Moneda 6 6 5 2" xfId="2164" xr:uid="{00000000-0005-0000-0000-000069080000}"/>
    <cellStyle name="Moneda 6 6 6" xfId="2165" xr:uid="{00000000-0005-0000-0000-00006A080000}"/>
    <cellStyle name="Moneda 6 7" xfId="2166" xr:uid="{00000000-0005-0000-0000-00006B080000}"/>
    <cellStyle name="Moneda 6 7 2" xfId="2167" xr:uid="{00000000-0005-0000-0000-00006C080000}"/>
    <cellStyle name="Moneda 6 7 2 2" xfId="2168" xr:uid="{00000000-0005-0000-0000-00006D080000}"/>
    <cellStyle name="Moneda 6 7 3" xfId="2169" xr:uid="{00000000-0005-0000-0000-00006E080000}"/>
    <cellStyle name="Moneda 6 7 3 2" xfId="2170" xr:uid="{00000000-0005-0000-0000-00006F080000}"/>
    <cellStyle name="Moneda 6 7 4" xfId="2171" xr:uid="{00000000-0005-0000-0000-000070080000}"/>
    <cellStyle name="Moneda 6 7 4 2" xfId="2172" xr:uid="{00000000-0005-0000-0000-000071080000}"/>
    <cellStyle name="Moneda 6 7 5" xfId="2173" xr:uid="{00000000-0005-0000-0000-000072080000}"/>
    <cellStyle name="Moneda 6 8" xfId="2174" xr:uid="{00000000-0005-0000-0000-000073080000}"/>
    <cellStyle name="Moneda 6 8 2" xfId="2175" xr:uid="{00000000-0005-0000-0000-000074080000}"/>
    <cellStyle name="Moneda 6 9" xfId="2176" xr:uid="{00000000-0005-0000-0000-000075080000}"/>
    <cellStyle name="Moneda 6 9 2" xfId="2177" xr:uid="{00000000-0005-0000-0000-000076080000}"/>
    <cellStyle name="Moneda 7" xfId="2178" xr:uid="{00000000-0005-0000-0000-000077080000}"/>
    <cellStyle name="Moneda 7 10" xfId="2179" xr:uid="{00000000-0005-0000-0000-000078080000}"/>
    <cellStyle name="Moneda 7 10 2" xfId="2180" xr:uid="{00000000-0005-0000-0000-000079080000}"/>
    <cellStyle name="Moneda 7 11" xfId="2181" xr:uid="{00000000-0005-0000-0000-00007A080000}"/>
    <cellStyle name="Moneda 7 12" xfId="2182" xr:uid="{00000000-0005-0000-0000-00007B080000}"/>
    <cellStyle name="Moneda 7 2" xfId="2183" xr:uid="{00000000-0005-0000-0000-00007C080000}"/>
    <cellStyle name="Moneda 7 2 10" xfId="2184" xr:uid="{00000000-0005-0000-0000-00007D080000}"/>
    <cellStyle name="Moneda 7 2 11" xfId="2185" xr:uid="{00000000-0005-0000-0000-00007E080000}"/>
    <cellStyle name="Moneda 7 2 2" xfId="2186" xr:uid="{00000000-0005-0000-0000-00007F080000}"/>
    <cellStyle name="Moneda 7 2 2 2" xfId="2187" xr:uid="{00000000-0005-0000-0000-000080080000}"/>
    <cellStyle name="Moneda 7 2 2 2 2" xfId="2188" xr:uid="{00000000-0005-0000-0000-000081080000}"/>
    <cellStyle name="Moneda 7 2 2 2 2 2" xfId="2189" xr:uid="{00000000-0005-0000-0000-000082080000}"/>
    <cellStyle name="Moneda 7 2 2 2 2 2 2" xfId="2190" xr:uid="{00000000-0005-0000-0000-000083080000}"/>
    <cellStyle name="Moneda 7 2 2 2 2 3" xfId="2191" xr:uid="{00000000-0005-0000-0000-000084080000}"/>
    <cellStyle name="Moneda 7 2 2 2 2 3 2" xfId="2192" xr:uid="{00000000-0005-0000-0000-000085080000}"/>
    <cellStyle name="Moneda 7 2 2 2 2 4" xfId="2193" xr:uid="{00000000-0005-0000-0000-000086080000}"/>
    <cellStyle name="Moneda 7 2 2 2 2 4 2" xfId="2194" xr:uid="{00000000-0005-0000-0000-000087080000}"/>
    <cellStyle name="Moneda 7 2 2 2 2 5" xfId="2195" xr:uid="{00000000-0005-0000-0000-000088080000}"/>
    <cellStyle name="Moneda 7 2 2 2 3" xfId="2196" xr:uid="{00000000-0005-0000-0000-000089080000}"/>
    <cellStyle name="Moneda 7 2 2 2 3 2" xfId="2197" xr:uid="{00000000-0005-0000-0000-00008A080000}"/>
    <cellStyle name="Moneda 7 2 2 2 4" xfId="2198" xr:uid="{00000000-0005-0000-0000-00008B080000}"/>
    <cellStyle name="Moneda 7 2 2 2 4 2" xfId="2199" xr:uid="{00000000-0005-0000-0000-00008C080000}"/>
    <cellStyle name="Moneda 7 2 2 2 5" xfId="2200" xr:uid="{00000000-0005-0000-0000-00008D080000}"/>
    <cellStyle name="Moneda 7 2 2 2 5 2" xfId="2201" xr:uid="{00000000-0005-0000-0000-00008E080000}"/>
    <cellStyle name="Moneda 7 2 2 2 6" xfId="2202" xr:uid="{00000000-0005-0000-0000-00008F080000}"/>
    <cellStyle name="Moneda 7 2 2 3" xfId="2203" xr:uid="{00000000-0005-0000-0000-000090080000}"/>
    <cellStyle name="Moneda 7 2 2 3 2" xfId="2204" xr:uid="{00000000-0005-0000-0000-000091080000}"/>
    <cellStyle name="Moneda 7 2 2 3 2 2" xfId="2205" xr:uid="{00000000-0005-0000-0000-000092080000}"/>
    <cellStyle name="Moneda 7 2 2 3 3" xfId="2206" xr:uid="{00000000-0005-0000-0000-000093080000}"/>
    <cellStyle name="Moneda 7 2 2 3 3 2" xfId="2207" xr:uid="{00000000-0005-0000-0000-000094080000}"/>
    <cellStyle name="Moneda 7 2 2 3 4" xfId="2208" xr:uid="{00000000-0005-0000-0000-000095080000}"/>
    <cellStyle name="Moneda 7 2 2 3 4 2" xfId="2209" xr:uid="{00000000-0005-0000-0000-000096080000}"/>
    <cellStyle name="Moneda 7 2 2 3 5" xfId="2210" xr:uid="{00000000-0005-0000-0000-000097080000}"/>
    <cellStyle name="Moneda 7 2 2 4" xfId="2211" xr:uid="{00000000-0005-0000-0000-000098080000}"/>
    <cellStyle name="Moneda 7 2 2 4 2" xfId="2212" xr:uid="{00000000-0005-0000-0000-000099080000}"/>
    <cellStyle name="Moneda 7 2 2 5" xfId="2213" xr:uid="{00000000-0005-0000-0000-00009A080000}"/>
    <cellStyle name="Moneda 7 2 2 5 2" xfId="2214" xr:uid="{00000000-0005-0000-0000-00009B080000}"/>
    <cellStyle name="Moneda 7 2 2 6" xfId="2215" xr:uid="{00000000-0005-0000-0000-00009C080000}"/>
    <cellStyle name="Moneda 7 2 2 6 2" xfId="2216" xr:uid="{00000000-0005-0000-0000-00009D080000}"/>
    <cellStyle name="Moneda 7 2 2 7" xfId="2217" xr:uid="{00000000-0005-0000-0000-00009E080000}"/>
    <cellStyle name="Moneda 7 2 3" xfId="2218" xr:uid="{00000000-0005-0000-0000-00009F080000}"/>
    <cellStyle name="Moneda 7 2 3 2" xfId="2219" xr:uid="{00000000-0005-0000-0000-0000A0080000}"/>
    <cellStyle name="Moneda 7 2 3 2 2" xfId="2220" xr:uid="{00000000-0005-0000-0000-0000A1080000}"/>
    <cellStyle name="Moneda 7 2 3 2 2 2" xfId="2221" xr:uid="{00000000-0005-0000-0000-0000A2080000}"/>
    <cellStyle name="Moneda 7 2 3 2 2 2 2" xfId="2222" xr:uid="{00000000-0005-0000-0000-0000A3080000}"/>
    <cellStyle name="Moneda 7 2 3 2 2 3" xfId="2223" xr:uid="{00000000-0005-0000-0000-0000A4080000}"/>
    <cellStyle name="Moneda 7 2 3 2 2 3 2" xfId="2224" xr:uid="{00000000-0005-0000-0000-0000A5080000}"/>
    <cellStyle name="Moneda 7 2 3 2 2 4" xfId="2225" xr:uid="{00000000-0005-0000-0000-0000A6080000}"/>
    <cellStyle name="Moneda 7 2 3 2 2 4 2" xfId="2226" xr:uid="{00000000-0005-0000-0000-0000A7080000}"/>
    <cellStyle name="Moneda 7 2 3 2 2 5" xfId="2227" xr:uid="{00000000-0005-0000-0000-0000A8080000}"/>
    <cellStyle name="Moneda 7 2 3 2 3" xfId="2228" xr:uid="{00000000-0005-0000-0000-0000A9080000}"/>
    <cellStyle name="Moneda 7 2 3 2 3 2" xfId="2229" xr:uid="{00000000-0005-0000-0000-0000AA080000}"/>
    <cellStyle name="Moneda 7 2 3 2 4" xfId="2230" xr:uid="{00000000-0005-0000-0000-0000AB080000}"/>
    <cellStyle name="Moneda 7 2 3 2 4 2" xfId="2231" xr:uid="{00000000-0005-0000-0000-0000AC080000}"/>
    <cellStyle name="Moneda 7 2 3 2 5" xfId="2232" xr:uid="{00000000-0005-0000-0000-0000AD080000}"/>
    <cellStyle name="Moneda 7 2 3 2 5 2" xfId="2233" xr:uid="{00000000-0005-0000-0000-0000AE080000}"/>
    <cellStyle name="Moneda 7 2 3 2 6" xfId="2234" xr:uid="{00000000-0005-0000-0000-0000AF080000}"/>
    <cellStyle name="Moneda 7 2 3 3" xfId="2235" xr:uid="{00000000-0005-0000-0000-0000B0080000}"/>
    <cellStyle name="Moneda 7 2 3 3 2" xfId="2236" xr:uid="{00000000-0005-0000-0000-0000B1080000}"/>
    <cellStyle name="Moneda 7 2 3 3 2 2" xfId="2237" xr:uid="{00000000-0005-0000-0000-0000B2080000}"/>
    <cellStyle name="Moneda 7 2 3 3 3" xfId="2238" xr:uid="{00000000-0005-0000-0000-0000B3080000}"/>
    <cellStyle name="Moneda 7 2 3 3 3 2" xfId="2239" xr:uid="{00000000-0005-0000-0000-0000B4080000}"/>
    <cellStyle name="Moneda 7 2 3 3 4" xfId="2240" xr:uid="{00000000-0005-0000-0000-0000B5080000}"/>
    <cellStyle name="Moneda 7 2 3 3 4 2" xfId="2241" xr:uid="{00000000-0005-0000-0000-0000B6080000}"/>
    <cellStyle name="Moneda 7 2 3 3 5" xfId="2242" xr:uid="{00000000-0005-0000-0000-0000B7080000}"/>
    <cellStyle name="Moneda 7 2 3 4" xfId="2243" xr:uid="{00000000-0005-0000-0000-0000B8080000}"/>
    <cellStyle name="Moneda 7 2 3 4 2" xfId="2244" xr:uid="{00000000-0005-0000-0000-0000B9080000}"/>
    <cellStyle name="Moneda 7 2 3 5" xfId="2245" xr:uid="{00000000-0005-0000-0000-0000BA080000}"/>
    <cellStyle name="Moneda 7 2 3 5 2" xfId="2246" xr:uid="{00000000-0005-0000-0000-0000BB080000}"/>
    <cellStyle name="Moneda 7 2 3 6" xfId="2247" xr:uid="{00000000-0005-0000-0000-0000BC080000}"/>
    <cellStyle name="Moneda 7 2 3 6 2" xfId="2248" xr:uid="{00000000-0005-0000-0000-0000BD080000}"/>
    <cellStyle name="Moneda 7 2 3 7" xfId="2249" xr:uid="{00000000-0005-0000-0000-0000BE080000}"/>
    <cellStyle name="Moneda 7 2 4" xfId="2250" xr:uid="{00000000-0005-0000-0000-0000BF080000}"/>
    <cellStyle name="Moneda 7 2 4 2" xfId="2251" xr:uid="{00000000-0005-0000-0000-0000C0080000}"/>
    <cellStyle name="Moneda 7 2 4 2 2" xfId="2252" xr:uid="{00000000-0005-0000-0000-0000C1080000}"/>
    <cellStyle name="Moneda 7 2 4 2 2 2" xfId="2253" xr:uid="{00000000-0005-0000-0000-0000C2080000}"/>
    <cellStyle name="Moneda 7 2 4 2 2 2 2" xfId="2254" xr:uid="{00000000-0005-0000-0000-0000C3080000}"/>
    <cellStyle name="Moneda 7 2 4 2 2 3" xfId="2255" xr:uid="{00000000-0005-0000-0000-0000C4080000}"/>
    <cellStyle name="Moneda 7 2 4 2 2 3 2" xfId="2256" xr:uid="{00000000-0005-0000-0000-0000C5080000}"/>
    <cellStyle name="Moneda 7 2 4 2 2 4" xfId="2257" xr:uid="{00000000-0005-0000-0000-0000C6080000}"/>
    <cellStyle name="Moneda 7 2 4 2 2 4 2" xfId="2258" xr:uid="{00000000-0005-0000-0000-0000C7080000}"/>
    <cellStyle name="Moneda 7 2 4 2 2 5" xfId="2259" xr:uid="{00000000-0005-0000-0000-0000C8080000}"/>
    <cellStyle name="Moneda 7 2 4 2 3" xfId="2260" xr:uid="{00000000-0005-0000-0000-0000C9080000}"/>
    <cellStyle name="Moneda 7 2 4 2 3 2" xfId="2261" xr:uid="{00000000-0005-0000-0000-0000CA080000}"/>
    <cellStyle name="Moneda 7 2 4 2 4" xfId="2262" xr:uid="{00000000-0005-0000-0000-0000CB080000}"/>
    <cellStyle name="Moneda 7 2 4 2 4 2" xfId="2263" xr:uid="{00000000-0005-0000-0000-0000CC080000}"/>
    <cellStyle name="Moneda 7 2 4 2 5" xfId="2264" xr:uid="{00000000-0005-0000-0000-0000CD080000}"/>
    <cellStyle name="Moneda 7 2 4 2 5 2" xfId="2265" xr:uid="{00000000-0005-0000-0000-0000CE080000}"/>
    <cellStyle name="Moneda 7 2 4 2 6" xfId="2266" xr:uid="{00000000-0005-0000-0000-0000CF080000}"/>
    <cellStyle name="Moneda 7 2 4 3" xfId="2267" xr:uid="{00000000-0005-0000-0000-0000D0080000}"/>
    <cellStyle name="Moneda 7 2 4 3 2" xfId="2268" xr:uid="{00000000-0005-0000-0000-0000D1080000}"/>
    <cellStyle name="Moneda 7 2 4 3 2 2" xfId="2269" xr:uid="{00000000-0005-0000-0000-0000D2080000}"/>
    <cellStyle name="Moneda 7 2 4 3 3" xfId="2270" xr:uid="{00000000-0005-0000-0000-0000D3080000}"/>
    <cellStyle name="Moneda 7 2 4 3 3 2" xfId="2271" xr:uid="{00000000-0005-0000-0000-0000D4080000}"/>
    <cellStyle name="Moneda 7 2 4 3 4" xfId="2272" xr:uid="{00000000-0005-0000-0000-0000D5080000}"/>
    <cellStyle name="Moneda 7 2 4 3 4 2" xfId="2273" xr:uid="{00000000-0005-0000-0000-0000D6080000}"/>
    <cellStyle name="Moneda 7 2 4 3 5" xfId="2274" xr:uid="{00000000-0005-0000-0000-0000D7080000}"/>
    <cellStyle name="Moneda 7 2 4 4" xfId="2275" xr:uid="{00000000-0005-0000-0000-0000D8080000}"/>
    <cellStyle name="Moneda 7 2 4 4 2" xfId="2276" xr:uid="{00000000-0005-0000-0000-0000D9080000}"/>
    <cellStyle name="Moneda 7 2 4 5" xfId="2277" xr:uid="{00000000-0005-0000-0000-0000DA080000}"/>
    <cellStyle name="Moneda 7 2 4 5 2" xfId="2278" xr:uid="{00000000-0005-0000-0000-0000DB080000}"/>
    <cellStyle name="Moneda 7 2 4 6" xfId="2279" xr:uid="{00000000-0005-0000-0000-0000DC080000}"/>
    <cellStyle name="Moneda 7 2 4 6 2" xfId="2280" xr:uid="{00000000-0005-0000-0000-0000DD080000}"/>
    <cellStyle name="Moneda 7 2 4 7" xfId="2281" xr:uid="{00000000-0005-0000-0000-0000DE080000}"/>
    <cellStyle name="Moneda 7 2 5" xfId="2282" xr:uid="{00000000-0005-0000-0000-0000DF080000}"/>
    <cellStyle name="Moneda 7 2 5 2" xfId="2283" xr:uid="{00000000-0005-0000-0000-0000E0080000}"/>
    <cellStyle name="Moneda 7 2 5 2 2" xfId="2284" xr:uid="{00000000-0005-0000-0000-0000E1080000}"/>
    <cellStyle name="Moneda 7 2 5 2 2 2" xfId="2285" xr:uid="{00000000-0005-0000-0000-0000E2080000}"/>
    <cellStyle name="Moneda 7 2 5 2 3" xfId="2286" xr:uid="{00000000-0005-0000-0000-0000E3080000}"/>
    <cellStyle name="Moneda 7 2 5 2 3 2" xfId="2287" xr:uid="{00000000-0005-0000-0000-0000E4080000}"/>
    <cellStyle name="Moneda 7 2 5 2 4" xfId="2288" xr:uid="{00000000-0005-0000-0000-0000E5080000}"/>
    <cellStyle name="Moneda 7 2 5 2 4 2" xfId="2289" xr:uid="{00000000-0005-0000-0000-0000E6080000}"/>
    <cellStyle name="Moneda 7 2 5 2 5" xfId="2290" xr:uid="{00000000-0005-0000-0000-0000E7080000}"/>
    <cellStyle name="Moneda 7 2 5 3" xfId="2291" xr:uid="{00000000-0005-0000-0000-0000E8080000}"/>
    <cellStyle name="Moneda 7 2 5 3 2" xfId="2292" xr:uid="{00000000-0005-0000-0000-0000E9080000}"/>
    <cellStyle name="Moneda 7 2 5 4" xfId="2293" xr:uid="{00000000-0005-0000-0000-0000EA080000}"/>
    <cellStyle name="Moneda 7 2 5 4 2" xfId="2294" xr:uid="{00000000-0005-0000-0000-0000EB080000}"/>
    <cellStyle name="Moneda 7 2 5 5" xfId="2295" xr:uid="{00000000-0005-0000-0000-0000EC080000}"/>
    <cellStyle name="Moneda 7 2 5 5 2" xfId="2296" xr:uid="{00000000-0005-0000-0000-0000ED080000}"/>
    <cellStyle name="Moneda 7 2 5 6" xfId="2297" xr:uid="{00000000-0005-0000-0000-0000EE080000}"/>
    <cellStyle name="Moneda 7 2 6" xfId="2298" xr:uid="{00000000-0005-0000-0000-0000EF080000}"/>
    <cellStyle name="Moneda 7 2 6 2" xfId="2299" xr:uid="{00000000-0005-0000-0000-0000F0080000}"/>
    <cellStyle name="Moneda 7 2 6 2 2" xfId="2300" xr:uid="{00000000-0005-0000-0000-0000F1080000}"/>
    <cellStyle name="Moneda 7 2 6 3" xfId="2301" xr:uid="{00000000-0005-0000-0000-0000F2080000}"/>
    <cellStyle name="Moneda 7 2 6 3 2" xfId="2302" xr:uid="{00000000-0005-0000-0000-0000F3080000}"/>
    <cellStyle name="Moneda 7 2 6 4" xfId="2303" xr:uid="{00000000-0005-0000-0000-0000F4080000}"/>
    <cellStyle name="Moneda 7 2 6 4 2" xfId="2304" xr:uid="{00000000-0005-0000-0000-0000F5080000}"/>
    <cellStyle name="Moneda 7 2 6 5" xfId="2305" xr:uid="{00000000-0005-0000-0000-0000F6080000}"/>
    <cellStyle name="Moneda 7 2 7" xfId="2306" xr:uid="{00000000-0005-0000-0000-0000F7080000}"/>
    <cellStyle name="Moneda 7 2 7 2" xfId="2307" xr:uid="{00000000-0005-0000-0000-0000F8080000}"/>
    <cellStyle name="Moneda 7 2 8" xfId="2308" xr:uid="{00000000-0005-0000-0000-0000F9080000}"/>
    <cellStyle name="Moneda 7 2 8 2" xfId="2309" xr:uid="{00000000-0005-0000-0000-0000FA080000}"/>
    <cellStyle name="Moneda 7 2 9" xfId="2310" xr:uid="{00000000-0005-0000-0000-0000FB080000}"/>
    <cellStyle name="Moneda 7 2 9 2" xfId="2311" xr:uid="{00000000-0005-0000-0000-0000FC080000}"/>
    <cellStyle name="Moneda 7 3" xfId="2312" xr:uid="{00000000-0005-0000-0000-0000FD080000}"/>
    <cellStyle name="Moneda 7 3 2" xfId="2313" xr:uid="{00000000-0005-0000-0000-0000FE080000}"/>
    <cellStyle name="Moneda 7 3 2 2" xfId="2314" xr:uid="{00000000-0005-0000-0000-0000FF080000}"/>
    <cellStyle name="Moneda 7 3 2 2 2" xfId="2315" xr:uid="{00000000-0005-0000-0000-000000090000}"/>
    <cellStyle name="Moneda 7 3 2 2 2 2" xfId="2316" xr:uid="{00000000-0005-0000-0000-000001090000}"/>
    <cellStyle name="Moneda 7 3 2 2 3" xfId="2317" xr:uid="{00000000-0005-0000-0000-000002090000}"/>
    <cellStyle name="Moneda 7 3 2 2 3 2" xfId="2318" xr:uid="{00000000-0005-0000-0000-000003090000}"/>
    <cellStyle name="Moneda 7 3 2 2 4" xfId="2319" xr:uid="{00000000-0005-0000-0000-000004090000}"/>
    <cellStyle name="Moneda 7 3 2 2 4 2" xfId="2320" xr:uid="{00000000-0005-0000-0000-000005090000}"/>
    <cellStyle name="Moneda 7 3 2 2 5" xfId="2321" xr:uid="{00000000-0005-0000-0000-000006090000}"/>
    <cellStyle name="Moneda 7 3 2 3" xfId="2322" xr:uid="{00000000-0005-0000-0000-000007090000}"/>
    <cellStyle name="Moneda 7 3 2 3 2" xfId="2323" xr:uid="{00000000-0005-0000-0000-000008090000}"/>
    <cellStyle name="Moneda 7 3 2 4" xfId="2324" xr:uid="{00000000-0005-0000-0000-000009090000}"/>
    <cellStyle name="Moneda 7 3 2 4 2" xfId="2325" xr:uid="{00000000-0005-0000-0000-00000A090000}"/>
    <cellStyle name="Moneda 7 3 2 5" xfId="2326" xr:uid="{00000000-0005-0000-0000-00000B090000}"/>
    <cellStyle name="Moneda 7 3 2 5 2" xfId="2327" xr:uid="{00000000-0005-0000-0000-00000C090000}"/>
    <cellStyle name="Moneda 7 3 2 6" xfId="2328" xr:uid="{00000000-0005-0000-0000-00000D090000}"/>
    <cellStyle name="Moneda 7 3 3" xfId="2329" xr:uid="{00000000-0005-0000-0000-00000E090000}"/>
    <cellStyle name="Moneda 7 3 3 2" xfId="2330" xr:uid="{00000000-0005-0000-0000-00000F090000}"/>
    <cellStyle name="Moneda 7 3 3 2 2" xfId="2331" xr:uid="{00000000-0005-0000-0000-000010090000}"/>
    <cellStyle name="Moneda 7 3 3 3" xfId="2332" xr:uid="{00000000-0005-0000-0000-000011090000}"/>
    <cellStyle name="Moneda 7 3 3 3 2" xfId="2333" xr:uid="{00000000-0005-0000-0000-000012090000}"/>
    <cellStyle name="Moneda 7 3 3 4" xfId="2334" xr:uid="{00000000-0005-0000-0000-000013090000}"/>
    <cellStyle name="Moneda 7 3 3 4 2" xfId="2335" xr:uid="{00000000-0005-0000-0000-000014090000}"/>
    <cellStyle name="Moneda 7 3 3 5" xfId="2336" xr:uid="{00000000-0005-0000-0000-000015090000}"/>
    <cellStyle name="Moneda 7 3 4" xfId="2337" xr:uid="{00000000-0005-0000-0000-000016090000}"/>
    <cellStyle name="Moneda 7 3 4 2" xfId="2338" xr:uid="{00000000-0005-0000-0000-000017090000}"/>
    <cellStyle name="Moneda 7 3 5" xfId="2339" xr:uid="{00000000-0005-0000-0000-000018090000}"/>
    <cellStyle name="Moneda 7 3 5 2" xfId="2340" xr:uid="{00000000-0005-0000-0000-000019090000}"/>
    <cellStyle name="Moneda 7 3 6" xfId="2341" xr:uid="{00000000-0005-0000-0000-00001A090000}"/>
    <cellStyle name="Moneda 7 3 6 2" xfId="2342" xr:uid="{00000000-0005-0000-0000-00001B090000}"/>
    <cellStyle name="Moneda 7 3 7" xfId="2343" xr:uid="{00000000-0005-0000-0000-00001C090000}"/>
    <cellStyle name="Moneda 7 4" xfId="2344" xr:uid="{00000000-0005-0000-0000-00001D090000}"/>
    <cellStyle name="Moneda 7 4 2" xfId="2345" xr:uid="{00000000-0005-0000-0000-00001E090000}"/>
    <cellStyle name="Moneda 7 4 2 2" xfId="2346" xr:uid="{00000000-0005-0000-0000-00001F090000}"/>
    <cellStyle name="Moneda 7 4 2 2 2" xfId="2347" xr:uid="{00000000-0005-0000-0000-000020090000}"/>
    <cellStyle name="Moneda 7 4 2 2 2 2" xfId="2348" xr:uid="{00000000-0005-0000-0000-000021090000}"/>
    <cellStyle name="Moneda 7 4 2 2 3" xfId="2349" xr:uid="{00000000-0005-0000-0000-000022090000}"/>
    <cellStyle name="Moneda 7 4 2 2 3 2" xfId="2350" xr:uid="{00000000-0005-0000-0000-000023090000}"/>
    <cellStyle name="Moneda 7 4 2 2 4" xfId="2351" xr:uid="{00000000-0005-0000-0000-000024090000}"/>
    <cellStyle name="Moneda 7 4 2 2 4 2" xfId="2352" xr:uid="{00000000-0005-0000-0000-000025090000}"/>
    <cellStyle name="Moneda 7 4 2 2 5" xfId="2353" xr:uid="{00000000-0005-0000-0000-000026090000}"/>
    <cellStyle name="Moneda 7 4 2 3" xfId="2354" xr:uid="{00000000-0005-0000-0000-000027090000}"/>
    <cellStyle name="Moneda 7 4 2 3 2" xfId="2355" xr:uid="{00000000-0005-0000-0000-000028090000}"/>
    <cellStyle name="Moneda 7 4 2 4" xfId="2356" xr:uid="{00000000-0005-0000-0000-000029090000}"/>
    <cellStyle name="Moneda 7 4 2 4 2" xfId="2357" xr:uid="{00000000-0005-0000-0000-00002A090000}"/>
    <cellStyle name="Moneda 7 4 2 5" xfId="2358" xr:uid="{00000000-0005-0000-0000-00002B090000}"/>
    <cellStyle name="Moneda 7 4 2 5 2" xfId="2359" xr:uid="{00000000-0005-0000-0000-00002C090000}"/>
    <cellStyle name="Moneda 7 4 2 6" xfId="2360" xr:uid="{00000000-0005-0000-0000-00002D090000}"/>
    <cellStyle name="Moneda 7 4 3" xfId="2361" xr:uid="{00000000-0005-0000-0000-00002E090000}"/>
    <cellStyle name="Moneda 7 4 3 2" xfId="2362" xr:uid="{00000000-0005-0000-0000-00002F090000}"/>
    <cellStyle name="Moneda 7 4 3 2 2" xfId="2363" xr:uid="{00000000-0005-0000-0000-000030090000}"/>
    <cellStyle name="Moneda 7 4 3 3" xfId="2364" xr:uid="{00000000-0005-0000-0000-000031090000}"/>
    <cellStyle name="Moneda 7 4 3 3 2" xfId="2365" xr:uid="{00000000-0005-0000-0000-000032090000}"/>
    <cellStyle name="Moneda 7 4 3 4" xfId="2366" xr:uid="{00000000-0005-0000-0000-000033090000}"/>
    <cellStyle name="Moneda 7 4 3 4 2" xfId="2367" xr:uid="{00000000-0005-0000-0000-000034090000}"/>
    <cellStyle name="Moneda 7 4 3 5" xfId="2368" xr:uid="{00000000-0005-0000-0000-000035090000}"/>
    <cellStyle name="Moneda 7 4 4" xfId="2369" xr:uid="{00000000-0005-0000-0000-000036090000}"/>
    <cellStyle name="Moneda 7 4 4 2" xfId="2370" xr:uid="{00000000-0005-0000-0000-000037090000}"/>
    <cellStyle name="Moneda 7 4 5" xfId="2371" xr:uid="{00000000-0005-0000-0000-000038090000}"/>
    <cellStyle name="Moneda 7 4 5 2" xfId="2372" xr:uid="{00000000-0005-0000-0000-000039090000}"/>
    <cellStyle name="Moneda 7 4 6" xfId="2373" xr:uid="{00000000-0005-0000-0000-00003A090000}"/>
    <cellStyle name="Moneda 7 4 6 2" xfId="2374" xr:uid="{00000000-0005-0000-0000-00003B090000}"/>
    <cellStyle name="Moneda 7 4 7" xfId="2375" xr:uid="{00000000-0005-0000-0000-00003C090000}"/>
    <cellStyle name="Moneda 7 5" xfId="2376" xr:uid="{00000000-0005-0000-0000-00003D090000}"/>
    <cellStyle name="Moneda 7 5 2" xfId="2377" xr:uid="{00000000-0005-0000-0000-00003E090000}"/>
    <cellStyle name="Moneda 7 5 2 2" xfId="2378" xr:uid="{00000000-0005-0000-0000-00003F090000}"/>
    <cellStyle name="Moneda 7 5 2 2 2" xfId="2379" xr:uid="{00000000-0005-0000-0000-000040090000}"/>
    <cellStyle name="Moneda 7 5 2 2 2 2" xfId="2380" xr:uid="{00000000-0005-0000-0000-000041090000}"/>
    <cellStyle name="Moneda 7 5 2 2 3" xfId="2381" xr:uid="{00000000-0005-0000-0000-000042090000}"/>
    <cellStyle name="Moneda 7 5 2 2 3 2" xfId="2382" xr:uid="{00000000-0005-0000-0000-000043090000}"/>
    <cellStyle name="Moneda 7 5 2 2 4" xfId="2383" xr:uid="{00000000-0005-0000-0000-000044090000}"/>
    <cellStyle name="Moneda 7 5 2 2 4 2" xfId="2384" xr:uid="{00000000-0005-0000-0000-000045090000}"/>
    <cellStyle name="Moneda 7 5 2 2 5" xfId="2385" xr:uid="{00000000-0005-0000-0000-000046090000}"/>
    <cellStyle name="Moneda 7 5 2 3" xfId="2386" xr:uid="{00000000-0005-0000-0000-000047090000}"/>
    <cellStyle name="Moneda 7 5 2 3 2" xfId="2387" xr:uid="{00000000-0005-0000-0000-000048090000}"/>
    <cellStyle name="Moneda 7 5 2 4" xfId="2388" xr:uid="{00000000-0005-0000-0000-000049090000}"/>
    <cellStyle name="Moneda 7 5 2 4 2" xfId="2389" xr:uid="{00000000-0005-0000-0000-00004A090000}"/>
    <cellStyle name="Moneda 7 5 2 5" xfId="2390" xr:uid="{00000000-0005-0000-0000-00004B090000}"/>
    <cellStyle name="Moneda 7 5 2 5 2" xfId="2391" xr:uid="{00000000-0005-0000-0000-00004C090000}"/>
    <cellStyle name="Moneda 7 5 2 6" xfId="2392" xr:uid="{00000000-0005-0000-0000-00004D090000}"/>
    <cellStyle name="Moneda 7 5 3" xfId="2393" xr:uid="{00000000-0005-0000-0000-00004E090000}"/>
    <cellStyle name="Moneda 7 5 3 2" xfId="2394" xr:uid="{00000000-0005-0000-0000-00004F090000}"/>
    <cellStyle name="Moneda 7 5 3 2 2" xfId="2395" xr:uid="{00000000-0005-0000-0000-000050090000}"/>
    <cellStyle name="Moneda 7 5 3 3" xfId="2396" xr:uid="{00000000-0005-0000-0000-000051090000}"/>
    <cellStyle name="Moneda 7 5 3 3 2" xfId="2397" xr:uid="{00000000-0005-0000-0000-000052090000}"/>
    <cellStyle name="Moneda 7 5 3 4" xfId="2398" xr:uid="{00000000-0005-0000-0000-000053090000}"/>
    <cellStyle name="Moneda 7 5 3 4 2" xfId="2399" xr:uid="{00000000-0005-0000-0000-000054090000}"/>
    <cellStyle name="Moneda 7 5 3 5" xfId="2400" xr:uid="{00000000-0005-0000-0000-000055090000}"/>
    <cellStyle name="Moneda 7 5 4" xfId="2401" xr:uid="{00000000-0005-0000-0000-000056090000}"/>
    <cellStyle name="Moneda 7 5 4 2" xfId="2402" xr:uid="{00000000-0005-0000-0000-000057090000}"/>
    <cellStyle name="Moneda 7 5 5" xfId="2403" xr:uid="{00000000-0005-0000-0000-000058090000}"/>
    <cellStyle name="Moneda 7 5 5 2" xfId="2404" xr:uid="{00000000-0005-0000-0000-000059090000}"/>
    <cellStyle name="Moneda 7 5 6" xfId="2405" xr:uid="{00000000-0005-0000-0000-00005A090000}"/>
    <cellStyle name="Moneda 7 5 6 2" xfId="2406" xr:uid="{00000000-0005-0000-0000-00005B090000}"/>
    <cellStyle name="Moneda 7 5 7" xfId="2407" xr:uid="{00000000-0005-0000-0000-00005C090000}"/>
    <cellStyle name="Moneda 7 6" xfId="2408" xr:uid="{00000000-0005-0000-0000-00005D090000}"/>
    <cellStyle name="Moneda 7 6 2" xfId="2409" xr:uid="{00000000-0005-0000-0000-00005E090000}"/>
    <cellStyle name="Moneda 7 6 2 2" xfId="2410" xr:uid="{00000000-0005-0000-0000-00005F090000}"/>
    <cellStyle name="Moneda 7 6 2 2 2" xfId="2411" xr:uid="{00000000-0005-0000-0000-000060090000}"/>
    <cellStyle name="Moneda 7 6 2 3" xfId="2412" xr:uid="{00000000-0005-0000-0000-000061090000}"/>
    <cellStyle name="Moneda 7 6 2 3 2" xfId="2413" xr:uid="{00000000-0005-0000-0000-000062090000}"/>
    <cellStyle name="Moneda 7 6 2 4" xfId="2414" xr:uid="{00000000-0005-0000-0000-000063090000}"/>
    <cellStyle name="Moneda 7 6 2 4 2" xfId="2415" xr:uid="{00000000-0005-0000-0000-000064090000}"/>
    <cellStyle name="Moneda 7 6 2 5" xfId="2416" xr:uid="{00000000-0005-0000-0000-000065090000}"/>
    <cellStyle name="Moneda 7 6 3" xfId="2417" xr:uid="{00000000-0005-0000-0000-000066090000}"/>
    <cellStyle name="Moneda 7 6 3 2" xfId="2418" xr:uid="{00000000-0005-0000-0000-000067090000}"/>
    <cellStyle name="Moneda 7 6 4" xfId="2419" xr:uid="{00000000-0005-0000-0000-000068090000}"/>
    <cellStyle name="Moneda 7 6 4 2" xfId="2420" xr:uid="{00000000-0005-0000-0000-000069090000}"/>
    <cellStyle name="Moneda 7 6 5" xfId="2421" xr:uid="{00000000-0005-0000-0000-00006A090000}"/>
    <cellStyle name="Moneda 7 6 5 2" xfId="2422" xr:uid="{00000000-0005-0000-0000-00006B090000}"/>
    <cellStyle name="Moneda 7 6 6" xfId="2423" xr:uid="{00000000-0005-0000-0000-00006C090000}"/>
    <cellStyle name="Moneda 7 7" xfId="2424" xr:uid="{00000000-0005-0000-0000-00006D090000}"/>
    <cellStyle name="Moneda 7 7 2" xfId="2425" xr:uid="{00000000-0005-0000-0000-00006E090000}"/>
    <cellStyle name="Moneda 7 7 2 2" xfId="2426" xr:uid="{00000000-0005-0000-0000-00006F090000}"/>
    <cellStyle name="Moneda 7 7 3" xfId="2427" xr:uid="{00000000-0005-0000-0000-000070090000}"/>
    <cellStyle name="Moneda 7 7 3 2" xfId="2428" xr:uid="{00000000-0005-0000-0000-000071090000}"/>
    <cellStyle name="Moneda 7 7 4" xfId="2429" xr:uid="{00000000-0005-0000-0000-000072090000}"/>
    <cellStyle name="Moneda 7 7 4 2" xfId="2430" xr:uid="{00000000-0005-0000-0000-000073090000}"/>
    <cellStyle name="Moneda 7 7 5" xfId="2431" xr:uid="{00000000-0005-0000-0000-000074090000}"/>
    <cellStyle name="Moneda 7 8" xfId="2432" xr:uid="{00000000-0005-0000-0000-000075090000}"/>
    <cellStyle name="Moneda 7 8 2" xfId="2433" xr:uid="{00000000-0005-0000-0000-000076090000}"/>
    <cellStyle name="Moneda 7 9" xfId="2434" xr:uid="{00000000-0005-0000-0000-000077090000}"/>
    <cellStyle name="Moneda 7 9 2" xfId="2435" xr:uid="{00000000-0005-0000-0000-000078090000}"/>
    <cellStyle name="Moneda 8" xfId="2436" xr:uid="{00000000-0005-0000-0000-000079090000}"/>
    <cellStyle name="Moneda 8 10" xfId="2437" xr:uid="{00000000-0005-0000-0000-00007A090000}"/>
    <cellStyle name="Moneda 8 10 2" xfId="2438" xr:uid="{00000000-0005-0000-0000-00007B090000}"/>
    <cellStyle name="Moneda 8 11" xfId="2439" xr:uid="{00000000-0005-0000-0000-00007C090000}"/>
    <cellStyle name="Moneda 8 11 2" xfId="2440" xr:uid="{00000000-0005-0000-0000-00007D090000}"/>
    <cellStyle name="Moneda 8 12" xfId="2441" xr:uid="{00000000-0005-0000-0000-00007E090000}"/>
    <cellStyle name="Moneda 8 13" xfId="2442" xr:uid="{00000000-0005-0000-0000-00007F090000}"/>
    <cellStyle name="Moneda 8 2" xfId="2443" xr:uid="{00000000-0005-0000-0000-000080090000}"/>
    <cellStyle name="Moneda 8 2 10" xfId="2444" xr:uid="{00000000-0005-0000-0000-000081090000}"/>
    <cellStyle name="Moneda 8 2 11" xfId="2445" xr:uid="{00000000-0005-0000-0000-000082090000}"/>
    <cellStyle name="Moneda 8 2 2" xfId="2446" xr:uid="{00000000-0005-0000-0000-000083090000}"/>
    <cellStyle name="Moneda 8 2 2 2" xfId="2447" xr:uid="{00000000-0005-0000-0000-000084090000}"/>
    <cellStyle name="Moneda 8 2 2 2 2" xfId="2448" xr:uid="{00000000-0005-0000-0000-000085090000}"/>
    <cellStyle name="Moneda 8 2 2 2 2 2" xfId="2449" xr:uid="{00000000-0005-0000-0000-000086090000}"/>
    <cellStyle name="Moneda 8 2 2 2 2 2 2" xfId="2450" xr:uid="{00000000-0005-0000-0000-000087090000}"/>
    <cellStyle name="Moneda 8 2 2 2 2 3" xfId="2451" xr:uid="{00000000-0005-0000-0000-000088090000}"/>
    <cellStyle name="Moneda 8 2 2 2 2 3 2" xfId="2452" xr:uid="{00000000-0005-0000-0000-000089090000}"/>
    <cellStyle name="Moneda 8 2 2 2 2 4" xfId="2453" xr:uid="{00000000-0005-0000-0000-00008A090000}"/>
    <cellStyle name="Moneda 8 2 2 2 2 4 2" xfId="2454" xr:uid="{00000000-0005-0000-0000-00008B090000}"/>
    <cellStyle name="Moneda 8 2 2 2 2 5" xfId="2455" xr:uid="{00000000-0005-0000-0000-00008C090000}"/>
    <cellStyle name="Moneda 8 2 2 2 3" xfId="2456" xr:uid="{00000000-0005-0000-0000-00008D090000}"/>
    <cellStyle name="Moneda 8 2 2 2 3 2" xfId="2457" xr:uid="{00000000-0005-0000-0000-00008E090000}"/>
    <cellStyle name="Moneda 8 2 2 2 4" xfId="2458" xr:uid="{00000000-0005-0000-0000-00008F090000}"/>
    <cellStyle name="Moneda 8 2 2 2 4 2" xfId="2459" xr:uid="{00000000-0005-0000-0000-000090090000}"/>
    <cellStyle name="Moneda 8 2 2 2 5" xfId="2460" xr:uid="{00000000-0005-0000-0000-000091090000}"/>
    <cellStyle name="Moneda 8 2 2 2 5 2" xfId="2461" xr:uid="{00000000-0005-0000-0000-000092090000}"/>
    <cellStyle name="Moneda 8 2 2 2 6" xfId="2462" xr:uid="{00000000-0005-0000-0000-000093090000}"/>
    <cellStyle name="Moneda 8 2 2 3" xfId="2463" xr:uid="{00000000-0005-0000-0000-000094090000}"/>
    <cellStyle name="Moneda 8 2 2 3 2" xfId="2464" xr:uid="{00000000-0005-0000-0000-000095090000}"/>
    <cellStyle name="Moneda 8 2 2 3 2 2" xfId="2465" xr:uid="{00000000-0005-0000-0000-000096090000}"/>
    <cellStyle name="Moneda 8 2 2 3 3" xfId="2466" xr:uid="{00000000-0005-0000-0000-000097090000}"/>
    <cellStyle name="Moneda 8 2 2 3 3 2" xfId="2467" xr:uid="{00000000-0005-0000-0000-000098090000}"/>
    <cellStyle name="Moneda 8 2 2 3 4" xfId="2468" xr:uid="{00000000-0005-0000-0000-000099090000}"/>
    <cellStyle name="Moneda 8 2 2 3 4 2" xfId="2469" xr:uid="{00000000-0005-0000-0000-00009A090000}"/>
    <cellStyle name="Moneda 8 2 2 3 5" xfId="2470" xr:uid="{00000000-0005-0000-0000-00009B090000}"/>
    <cellStyle name="Moneda 8 2 2 4" xfId="2471" xr:uid="{00000000-0005-0000-0000-00009C090000}"/>
    <cellStyle name="Moneda 8 2 2 4 2" xfId="2472" xr:uid="{00000000-0005-0000-0000-00009D090000}"/>
    <cellStyle name="Moneda 8 2 2 5" xfId="2473" xr:uid="{00000000-0005-0000-0000-00009E090000}"/>
    <cellStyle name="Moneda 8 2 2 5 2" xfId="2474" xr:uid="{00000000-0005-0000-0000-00009F090000}"/>
    <cellStyle name="Moneda 8 2 2 6" xfId="2475" xr:uid="{00000000-0005-0000-0000-0000A0090000}"/>
    <cellStyle name="Moneda 8 2 2 6 2" xfId="2476" xr:uid="{00000000-0005-0000-0000-0000A1090000}"/>
    <cellStyle name="Moneda 8 2 2 7" xfId="2477" xr:uid="{00000000-0005-0000-0000-0000A2090000}"/>
    <cellStyle name="Moneda 8 2 3" xfId="2478" xr:uid="{00000000-0005-0000-0000-0000A3090000}"/>
    <cellStyle name="Moneda 8 2 3 2" xfId="2479" xr:uid="{00000000-0005-0000-0000-0000A4090000}"/>
    <cellStyle name="Moneda 8 2 3 2 2" xfId="2480" xr:uid="{00000000-0005-0000-0000-0000A5090000}"/>
    <cellStyle name="Moneda 8 2 3 2 2 2" xfId="2481" xr:uid="{00000000-0005-0000-0000-0000A6090000}"/>
    <cellStyle name="Moneda 8 2 3 2 2 2 2" xfId="2482" xr:uid="{00000000-0005-0000-0000-0000A7090000}"/>
    <cellStyle name="Moneda 8 2 3 2 2 3" xfId="2483" xr:uid="{00000000-0005-0000-0000-0000A8090000}"/>
    <cellStyle name="Moneda 8 2 3 2 2 3 2" xfId="2484" xr:uid="{00000000-0005-0000-0000-0000A9090000}"/>
    <cellStyle name="Moneda 8 2 3 2 2 4" xfId="2485" xr:uid="{00000000-0005-0000-0000-0000AA090000}"/>
    <cellStyle name="Moneda 8 2 3 2 2 4 2" xfId="2486" xr:uid="{00000000-0005-0000-0000-0000AB090000}"/>
    <cellStyle name="Moneda 8 2 3 2 2 5" xfId="2487" xr:uid="{00000000-0005-0000-0000-0000AC090000}"/>
    <cellStyle name="Moneda 8 2 3 2 3" xfId="2488" xr:uid="{00000000-0005-0000-0000-0000AD090000}"/>
    <cellStyle name="Moneda 8 2 3 2 3 2" xfId="2489" xr:uid="{00000000-0005-0000-0000-0000AE090000}"/>
    <cellStyle name="Moneda 8 2 3 2 4" xfId="2490" xr:uid="{00000000-0005-0000-0000-0000AF090000}"/>
    <cellStyle name="Moneda 8 2 3 2 4 2" xfId="2491" xr:uid="{00000000-0005-0000-0000-0000B0090000}"/>
    <cellStyle name="Moneda 8 2 3 2 5" xfId="2492" xr:uid="{00000000-0005-0000-0000-0000B1090000}"/>
    <cellStyle name="Moneda 8 2 3 2 5 2" xfId="2493" xr:uid="{00000000-0005-0000-0000-0000B2090000}"/>
    <cellStyle name="Moneda 8 2 3 2 6" xfId="2494" xr:uid="{00000000-0005-0000-0000-0000B3090000}"/>
    <cellStyle name="Moneda 8 2 3 3" xfId="2495" xr:uid="{00000000-0005-0000-0000-0000B4090000}"/>
    <cellStyle name="Moneda 8 2 3 3 2" xfId="2496" xr:uid="{00000000-0005-0000-0000-0000B5090000}"/>
    <cellStyle name="Moneda 8 2 3 3 2 2" xfId="2497" xr:uid="{00000000-0005-0000-0000-0000B6090000}"/>
    <cellStyle name="Moneda 8 2 3 3 3" xfId="2498" xr:uid="{00000000-0005-0000-0000-0000B7090000}"/>
    <cellStyle name="Moneda 8 2 3 3 3 2" xfId="2499" xr:uid="{00000000-0005-0000-0000-0000B8090000}"/>
    <cellStyle name="Moneda 8 2 3 3 4" xfId="2500" xr:uid="{00000000-0005-0000-0000-0000B9090000}"/>
    <cellStyle name="Moneda 8 2 3 3 4 2" xfId="2501" xr:uid="{00000000-0005-0000-0000-0000BA090000}"/>
    <cellStyle name="Moneda 8 2 3 3 5" xfId="2502" xr:uid="{00000000-0005-0000-0000-0000BB090000}"/>
    <cellStyle name="Moneda 8 2 3 4" xfId="2503" xr:uid="{00000000-0005-0000-0000-0000BC090000}"/>
    <cellStyle name="Moneda 8 2 3 4 2" xfId="2504" xr:uid="{00000000-0005-0000-0000-0000BD090000}"/>
    <cellStyle name="Moneda 8 2 3 5" xfId="2505" xr:uid="{00000000-0005-0000-0000-0000BE090000}"/>
    <cellStyle name="Moneda 8 2 3 5 2" xfId="2506" xr:uid="{00000000-0005-0000-0000-0000BF090000}"/>
    <cellStyle name="Moneda 8 2 3 6" xfId="2507" xr:uid="{00000000-0005-0000-0000-0000C0090000}"/>
    <cellStyle name="Moneda 8 2 3 6 2" xfId="2508" xr:uid="{00000000-0005-0000-0000-0000C1090000}"/>
    <cellStyle name="Moneda 8 2 3 7" xfId="2509" xr:uid="{00000000-0005-0000-0000-0000C2090000}"/>
    <cellStyle name="Moneda 8 2 4" xfId="2510" xr:uid="{00000000-0005-0000-0000-0000C3090000}"/>
    <cellStyle name="Moneda 8 2 4 2" xfId="2511" xr:uid="{00000000-0005-0000-0000-0000C4090000}"/>
    <cellStyle name="Moneda 8 2 4 2 2" xfId="2512" xr:uid="{00000000-0005-0000-0000-0000C5090000}"/>
    <cellStyle name="Moneda 8 2 4 2 2 2" xfId="2513" xr:uid="{00000000-0005-0000-0000-0000C6090000}"/>
    <cellStyle name="Moneda 8 2 4 2 2 2 2" xfId="2514" xr:uid="{00000000-0005-0000-0000-0000C7090000}"/>
    <cellStyle name="Moneda 8 2 4 2 2 3" xfId="2515" xr:uid="{00000000-0005-0000-0000-0000C8090000}"/>
    <cellStyle name="Moneda 8 2 4 2 2 3 2" xfId="2516" xr:uid="{00000000-0005-0000-0000-0000C9090000}"/>
    <cellStyle name="Moneda 8 2 4 2 2 4" xfId="2517" xr:uid="{00000000-0005-0000-0000-0000CA090000}"/>
    <cellStyle name="Moneda 8 2 4 2 2 4 2" xfId="2518" xr:uid="{00000000-0005-0000-0000-0000CB090000}"/>
    <cellStyle name="Moneda 8 2 4 2 2 5" xfId="2519" xr:uid="{00000000-0005-0000-0000-0000CC090000}"/>
    <cellStyle name="Moneda 8 2 4 2 3" xfId="2520" xr:uid="{00000000-0005-0000-0000-0000CD090000}"/>
    <cellStyle name="Moneda 8 2 4 2 3 2" xfId="2521" xr:uid="{00000000-0005-0000-0000-0000CE090000}"/>
    <cellStyle name="Moneda 8 2 4 2 4" xfId="2522" xr:uid="{00000000-0005-0000-0000-0000CF090000}"/>
    <cellStyle name="Moneda 8 2 4 2 4 2" xfId="2523" xr:uid="{00000000-0005-0000-0000-0000D0090000}"/>
    <cellStyle name="Moneda 8 2 4 2 5" xfId="2524" xr:uid="{00000000-0005-0000-0000-0000D1090000}"/>
    <cellStyle name="Moneda 8 2 4 2 5 2" xfId="2525" xr:uid="{00000000-0005-0000-0000-0000D2090000}"/>
    <cellStyle name="Moneda 8 2 4 2 6" xfId="2526" xr:uid="{00000000-0005-0000-0000-0000D3090000}"/>
    <cellStyle name="Moneda 8 2 4 3" xfId="2527" xr:uid="{00000000-0005-0000-0000-0000D4090000}"/>
    <cellStyle name="Moneda 8 2 4 3 2" xfId="2528" xr:uid="{00000000-0005-0000-0000-0000D5090000}"/>
    <cellStyle name="Moneda 8 2 4 3 2 2" xfId="2529" xr:uid="{00000000-0005-0000-0000-0000D6090000}"/>
    <cellStyle name="Moneda 8 2 4 3 3" xfId="2530" xr:uid="{00000000-0005-0000-0000-0000D7090000}"/>
    <cellStyle name="Moneda 8 2 4 3 3 2" xfId="2531" xr:uid="{00000000-0005-0000-0000-0000D8090000}"/>
    <cellStyle name="Moneda 8 2 4 3 4" xfId="2532" xr:uid="{00000000-0005-0000-0000-0000D9090000}"/>
    <cellStyle name="Moneda 8 2 4 3 4 2" xfId="2533" xr:uid="{00000000-0005-0000-0000-0000DA090000}"/>
    <cellStyle name="Moneda 8 2 4 3 5" xfId="2534" xr:uid="{00000000-0005-0000-0000-0000DB090000}"/>
    <cellStyle name="Moneda 8 2 4 4" xfId="2535" xr:uid="{00000000-0005-0000-0000-0000DC090000}"/>
    <cellStyle name="Moneda 8 2 4 4 2" xfId="2536" xr:uid="{00000000-0005-0000-0000-0000DD090000}"/>
    <cellStyle name="Moneda 8 2 4 5" xfId="2537" xr:uid="{00000000-0005-0000-0000-0000DE090000}"/>
    <cellStyle name="Moneda 8 2 4 5 2" xfId="2538" xr:uid="{00000000-0005-0000-0000-0000DF090000}"/>
    <cellStyle name="Moneda 8 2 4 6" xfId="2539" xr:uid="{00000000-0005-0000-0000-0000E0090000}"/>
    <cellStyle name="Moneda 8 2 4 6 2" xfId="2540" xr:uid="{00000000-0005-0000-0000-0000E1090000}"/>
    <cellStyle name="Moneda 8 2 4 7" xfId="2541" xr:uid="{00000000-0005-0000-0000-0000E2090000}"/>
    <cellStyle name="Moneda 8 2 5" xfId="2542" xr:uid="{00000000-0005-0000-0000-0000E3090000}"/>
    <cellStyle name="Moneda 8 2 5 2" xfId="2543" xr:uid="{00000000-0005-0000-0000-0000E4090000}"/>
    <cellStyle name="Moneda 8 2 5 2 2" xfId="2544" xr:uid="{00000000-0005-0000-0000-0000E5090000}"/>
    <cellStyle name="Moneda 8 2 5 2 2 2" xfId="2545" xr:uid="{00000000-0005-0000-0000-0000E6090000}"/>
    <cellStyle name="Moneda 8 2 5 2 3" xfId="2546" xr:uid="{00000000-0005-0000-0000-0000E7090000}"/>
    <cellStyle name="Moneda 8 2 5 2 3 2" xfId="2547" xr:uid="{00000000-0005-0000-0000-0000E8090000}"/>
    <cellStyle name="Moneda 8 2 5 2 4" xfId="2548" xr:uid="{00000000-0005-0000-0000-0000E9090000}"/>
    <cellStyle name="Moneda 8 2 5 2 4 2" xfId="2549" xr:uid="{00000000-0005-0000-0000-0000EA090000}"/>
    <cellStyle name="Moneda 8 2 5 2 5" xfId="2550" xr:uid="{00000000-0005-0000-0000-0000EB090000}"/>
    <cellStyle name="Moneda 8 2 5 3" xfId="2551" xr:uid="{00000000-0005-0000-0000-0000EC090000}"/>
    <cellStyle name="Moneda 8 2 5 3 2" xfId="2552" xr:uid="{00000000-0005-0000-0000-0000ED090000}"/>
    <cellStyle name="Moneda 8 2 5 4" xfId="2553" xr:uid="{00000000-0005-0000-0000-0000EE090000}"/>
    <cellStyle name="Moneda 8 2 5 4 2" xfId="2554" xr:uid="{00000000-0005-0000-0000-0000EF090000}"/>
    <cellStyle name="Moneda 8 2 5 5" xfId="2555" xr:uid="{00000000-0005-0000-0000-0000F0090000}"/>
    <cellStyle name="Moneda 8 2 5 5 2" xfId="2556" xr:uid="{00000000-0005-0000-0000-0000F1090000}"/>
    <cellStyle name="Moneda 8 2 5 6" xfId="2557" xr:uid="{00000000-0005-0000-0000-0000F2090000}"/>
    <cellStyle name="Moneda 8 2 6" xfId="2558" xr:uid="{00000000-0005-0000-0000-0000F3090000}"/>
    <cellStyle name="Moneda 8 2 6 2" xfId="2559" xr:uid="{00000000-0005-0000-0000-0000F4090000}"/>
    <cellStyle name="Moneda 8 2 6 2 2" xfId="2560" xr:uid="{00000000-0005-0000-0000-0000F5090000}"/>
    <cellStyle name="Moneda 8 2 6 3" xfId="2561" xr:uid="{00000000-0005-0000-0000-0000F6090000}"/>
    <cellStyle name="Moneda 8 2 6 3 2" xfId="2562" xr:uid="{00000000-0005-0000-0000-0000F7090000}"/>
    <cellStyle name="Moneda 8 2 6 4" xfId="2563" xr:uid="{00000000-0005-0000-0000-0000F8090000}"/>
    <cellStyle name="Moneda 8 2 6 4 2" xfId="2564" xr:uid="{00000000-0005-0000-0000-0000F9090000}"/>
    <cellStyle name="Moneda 8 2 6 5" xfId="2565" xr:uid="{00000000-0005-0000-0000-0000FA090000}"/>
    <cellStyle name="Moneda 8 2 7" xfId="2566" xr:uid="{00000000-0005-0000-0000-0000FB090000}"/>
    <cellStyle name="Moneda 8 2 7 2" xfId="2567" xr:uid="{00000000-0005-0000-0000-0000FC090000}"/>
    <cellStyle name="Moneda 8 2 8" xfId="2568" xr:uid="{00000000-0005-0000-0000-0000FD090000}"/>
    <cellStyle name="Moneda 8 2 8 2" xfId="2569" xr:uid="{00000000-0005-0000-0000-0000FE090000}"/>
    <cellStyle name="Moneda 8 2 9" xfId="2570" xr:uid="{00000000-0005-0000-0000-0000FF090000}"/>
    <cellStyle name="Moneda 8 2 9 2" xfId="2571" xr:uid="{00000000-0005-0000-0000-0000000A0000}"/>
    <cellStyle name="Moneda 8 3" xfId="2572" xr:uid="{00000000-0005-0000-0000-0000010A0000}"/>
    <cellStyle name="Moneda 8 3 2" xfId="2573" xr:uid="{00000000-0005-0000-0000-0000020A0000}"/>
    <cellStyle name="Moneda 8 3 2 2" xfId="2574" xr:uid="{00000000-0005-0000-0000-0000030A0000}"/>
    <cellStyle name="Moneda 8 3 2 2 2" xfId="2575" xr:uid="{00000000-0005-0000-0000-0000040A0000}"/>
    <cellStyle name="Moneda 8 3 2 2 2 2" xfId="2576" xr:uid="{00000000-0005-0000-0000-0000050A0000}"/>
    <cellStyle name="Moneda 8 3 2 2 3" xfId="2577" xr:uid="{00000000-0005-0000-0000-0000060A0000}"/>
    <cellStyle name="Moneda 8 3 2 2 3 2" xfId="2578" xr:uid="{00000000-0005-0000-0000-0000070A0000}"/>
    <cellStyle name="Moneda 8 3 2 2 4" xfId="2579" xr:uid="{00000000-0005-0000-0000-0000080A0000}"/>
    <cellStyle name="Moneda 8 3 2 2 4 2" xfId="2580" xr:uid="{00000000-0005-0000-0000-0000090A0000}"/>
    <cellStyle name="Moneda 8 3 2 2 5" xfId="2581" xr:uid="{00000000-0005-0000-0000-00000A0A0000}"/>
    <cellStyle name="Moneda 8 3 2 3" xfId="2582" xr:uid="{00000000-0005-0000-0000-00000B0A0000}"/>
    <cellStyle name="Moneda 8 3 2 3 2" xfId="2583" xr:uid="{00000000-0005-0000-0000-00000C0A0000}"/>
    <cellStyle name="Moneda 8 3 2 4" xfId="2584" xr:uid="{00000000-0005-0000-0000-00000D0A0000}"/>
    <cellStyle name="Moneda 8 3 2 4 2" xfId="2585" xr:uid="{00000000-0005-0000-0000-00000E0A0000}"/>
    <cellStyle name="Moneda 8 3 2 5" xfId="2586" xr:uid="{00000000-0005-0000-0000-00000F0A0000}"/>
    <cellStyle name="Moneda 8 3 2 5 2" xfId="2587" xr:uid="{00000000-0005-0000-0000-0000100A0000}"/>
    <cellStyle name="Moneda 8 3 2 6" xfId="2588" xr:uid="{00000000-0005-0000-0000-0000110A0000}"/>
    <cellStyle name="Moneda 8 3 3" xfId="2589" xr:uid="{00000000-0005-0000-0000-0000120A0000}"/>
    <cellStyle name="Moneda 8 3 3 2" xfId="2590" xr:uid="{00000000-0005-0000-0000-0000130A0000}"/>
    <cellStyle name="Moneda 8 3 3 2 2" xfId="2591" xr:uid="{00000000-0005-0000-0000-0000140A0000}"/>
    <cellStyle name="Moneda 8 3 3 3" xfId="2592" xr:uid="{00000000-0005-0000-0000-0000150A0000}"/>
    <cellStyle name="Moneda 8 3 3 3 2" xfId="2593" xr:uid="{00000000-0005-0000-0000-0000160A0000}"/>
    <cellStyle name="Moneda 8 3 3 4" xfId="2594" xr:uid="{00000000-0005-0000-0000-0000170A0000}"/>
    <cellStyle name="Moneda 8 3 3 4 2" xfId="2595" xr:uid="{00000000-0005-0000-0000-0000180A0000}"/>
    <cellStyle name="Moneda 8 3 3 5" xfId="2596" xr:uid="{00000000-0005-0000-0000-0000190A0000}"/>
    <cellStyle name="Moneda 8 3 4" xfId="2597" xr:uid="{00000000-0005-0000-0000-00001A0A0000}"/>
    <cellStyle name="Moneda 8 3 4 2" xfId="2598" xr:uid="{00000000-0005-0000-0000-00001B0A0000}"/>
    <cellStyle name="Moneda 8 3 5" xfId="2599" xr:uid="{00000000-0005-0000-0000-00001C0A0000}"/>
    <cellStyle name="Moneda 8 3 5 2" xfId="2600" xr:uid="{00000000-0005-0000-0000-00001D0A0000}"/>
    <cellStyle name="Moneda 8 3 6" xfId="2601" xr:uid="{00000000-0005-0000-0000-00001E0A0000}"/>
    <cellStyle name="Moneda 8 3 6 2" xfId="2602" xr:uid="{00000000-0005-0000-0000-00001F0A0000}"/>
    <cellStyle name="Moneda 8 3 7" xfId="2603" xr:uid="{00000000-0005-0000-0000-0000200A0000}"/>
    <cellStyle name="Moneda 8 4" xfId="2604" xr:uid="{00000000-0005-0000-0000-0000210A0000}"/>
    <cellStyle name="Moneda 8 4 2" xfId="2605" xr:uid="{00000000-0005-0000-0000-0000220A0000}"/>
    <cellStyle name="Moneda 8 4 2 2" xfId="2606" xr:uid="{00000000-0005-0000-0000-0000230A0000}"/>
    <cellStyle name="Moneda 8 4 2 2 2" xfId="2607" xr:uid="{00000000-0005-0000-0000-0000240A0000}"/>
    <cellStyle name="Moneda 8 4 2 2 2 2" xfId="2608" xr:uid="{00000000-0005-0000-0000-0000250A0000}"/>
    <cellStyle name="Moneda 8 4 2 2 3" xfId="2609" xr:uid="{00000000-0005-0000-0000-0000260A0000}"/>
    <cellStyle name="Moneda 8 4 2 2 3 2" xfId="2610" xr:uid="{00000000-0005-0000-0000-0000270A0000}"/>
    <cellStyle name="Moneda 8 4 2 2 4" xfId="2611" xr:uid="{00000000-0005-0000-0000-0000280A0000}"/>
    <cellStyle name="Moneda 8 4 2 2 4 2" xfId="2612" xr:uid="{00000000-0005-0000-0000-0000290A0000}"/>
    <cellStyle name="Moneda 8 4 2 2 5" xfId="2613" xr:uid="{00000000-0005-0000-0000-00002A0A0000}"/>
    <cellStyle name="Moneda 8 4 2 3" xfId="2614" xr:uid="{00000000-0005-0000-0000-00002B0A0000}"/>
    <cellStyle name="Moneda 8 4 2 3 2" xfId="2615" xr:uid="{00000000-0005-0000-0000-00002C0A0000}"/>
    <cellStyle name="Moneda 8 4 2 4" xfId="2616" xr:uid="{00000000-0005-0000-0000-00002D0A0000}"/>
    <cellStyle name="Moneda 8 4 2 4 2" xfId="2617" xr:uid="{00000000-0005-0000-0000-00002E0A0000}"/>
    <cellStyle name="Moneda 8 4 2 5" xfId="2618" xr:uid="{00000000-0005-0000-0000-00002F0A0000}"/>
    <cellStyle name="Moneda 8 4 2 5 2" xfId="2619" xr:uid="{00000000-0005-0000-0000-0000300A0000}"/>
    <cellStyle name="Moneda 8 4 2 6" xfId="2620" xr:uid="{00000000-0005-0000-0000-0000310A0000}"/>
    <cellStyle name="Moneda 8 4 3" xfId="2621" xr:uid="{00000000-0005-0000-0000-0000320A0000}"/>
    <cellStyle name="Moneda 8 4 3 2" xfId="2622" xr:uid="{00000000-0005-0000-0000-0000330A0000}"/>
    <cellStyle name="Moneda 8 4 3 2 2" xfId="2623" xr:uid="{00000000-0005-0000-0000-0000340A0000}"/>
    <cellStyle name="Moneda 8 4 3 3" xfId="2624" xr:uid="{00000000-0005-0000-0000-0000350A0000}"/>
    <cellStyle name="Moneda 8 4 3 3 2" xfId="2625" xr:uid="{00000000-0005-0000-0000-0000360A0000}"/>
    <cellStyle name="Moneda 8 4 3 4" xfId="2626" xr:uid="{00000000-0005-0000-0000-0000370A0000}"/>
    <cellStyle name="Moneda 8 4 3 4 2" xfId="2627" xr:uid="{00000000-0005-0000-0000-0000380A0000}"/>
    <cellStyle name="Moneda 8 4 3 5" xfId="2628" xr:uid="{00000000-0005-0000-0000-0000390A0000}"/>
    <cellStyle name="Moneda 8 4 4" xfId="2629" xr:uid="{00000000-0005-0000-0000-00003A0A0000}"/>
    <cellStyle name="Moneda 8 4 4 2" xfId="2630" xr:uid="{00000000-0005-0000-0000-00003B0A0000}"/>
    <cellStyle name="Moneda 8 4 5" xfId="2631" xr:uid="{00000000-0005-0000-0000-00003C0A0000}"/>
    <cellStyle name="Moneda 8 4 5 2" xfId="2632" xr:uid="{00000000-0005-0000-0000-00003D0A0000}"/>
    <cellStyle name="Moneda 8 4 6" xfId="2633" xr:uid="{00000000-0005-0000-0000-00003E0A0000}"/>
    <cellStyle name="Moneda 8 4 6 2" xfId="2634" xr:uid="{00000000-0005-0000-0000-00003F0A0000}"/>
    <cellStyle name="Moneda 8 4 7" xfId="2635" xr:uid="{00000000-0005-0000-0000-0000400A0000}"/>
    <cellStyle name="Moneda 8 5" xfId="2636" xr:uid="{00000000-0005-0000-0000-0000410A0000}"/>
    <cellStyle name="Moneda 8 5 2" xfId="2637" xr:uid="{00000000-0005-0000-0000-0000420A0000}"/>
    <cellStyle name="Moneda 8 5 2 2" xfId="2638" xr:uid="{00000000-0005-0000-0000-0000430A0000}"/>
    <cellStyle name="Moneda 8 5 2 2 2" xfId="2639" xr:uid="{00000000-0005-0000-0000-0000440A0000}"/>
    <cellStyle name="Moneda 8 5 2 2 2 2" xfId="2640" xr:uid="{00000000-0005-0000-0000-0000450A0000}"/>
    <cellStyle name="Moneda 8 5 2 2 3" xfId="2641" xr:uid="{00000000-0005-0000-0000-0000460A0000}"/>
    <cellStyle name="Moneda 8 5 2 2 3 2" xfId="2642" xr:uid="{00000000-0005-0000-0000-0000470A0000}"/>
    <cellStyle name="Moneda 8 5 2 2 4" xfId="2643" xr:uid="{00000000-0005-0000-0000-0000480A0000}"/>
    <cellStyle name="Moneda 8 5 2 2 4 2" xfId="2644" xr:uid="{00000000-0005-0000-0000-0000490A0000}"/>
    <cellStyle name="Moneda 8 5 2 2 5" xfId="2645" xr:uid="{00000000-0005-0000-0000-00004A0A0000}"/>
    <cellStyle name="Moneda 8 5 2 3" xfId="2646" xr:uid="{00000000-0005-0000-0000-00004B0A0000}"/>
    <cellStyle name="Moneda 8 5 2 3 2" xfId="2647" xr:uid="{00000000-0005-0000-0000-00004C0A0000}"/>
    <cellStyle name="Moneda 8 5 2 4" xfId="2648" xr:uid="{00000000-0005-0000-0000-00004D0A0000}"/>
    <cellStyle name="Moneda 8 5 2 4 2" xfId="2649" xr:uid="{00000000-0005-0000-0000-00004E0A0000}"/>
    <cellStyle name="Moneda 8 5 2 5" xfId="2650" xr:uid="{00000000-0005-0000-0000-00004F0A0000}"/>
    <cellStyle name="Moneda 8 5 2 5 2" xfId="2651" xr:uid="{00000000-0005-0000-0000-0000500A0000}"/>
    <cellStyle name="Moneda 8 5 2 6" xfId="2652" xr:uid="{00000000-0005-0000-0000-0000510A0000}"/>
    <cellStyle name="Moneda 8 5 3" xfId="2653" xr:uid="{00000000-0005-0000-0000-0000520A0000}"/>
    <cellStyle name="Moneda 8 5 3 2" xfId="2654" xr:uid="{00000000-0005-0000-0000-0000530A0000}"/>
    <cellStyle name="Moneda 8 5 3 2 2" xfId="2655" xr:uid="{00000000-0005-0000-0000-0000540A0000}"/>
    <cellStyle name="Moneda 8 5 3 3" xfId="2656" xr:uid="{00000000-0005-0000-0000-0000550A0000}"/>
    <cellStyle name="Moneda 8 5 3 3 2" xfId="2657" xr:uid="{00000000-0005-0000-0000-0000560A0000}"/>
    <cellStyle name="Moneda 8 5 3 4" xfId="2658" xr:uid="{00000000-0005-0000-0000-0000570A0000}"/>
    <cellStyle name="Moneda 8 5 3 4 2" xfId="2659" xr:uid="{00000000-0005-0000-0000-0000580A0000}"/>
    <cellStyle name="Moneda 8 5 3 5" xfId="2660" xr:uid="{00000000-0005-0000-0000-0000590A0000}"/>
    <cellStyle name="Moneda 8 5 4" xfId="2661" xr:uid="{00000000-0005-0000-0000-00005A0A0000}"/>
    <cellStyle name="Moneda 8 5 4 2" xfId="2662" xr:uid="{00000000-0005-0000-0000-00005B0A0000}"/>
    <cellStyle name="Moneda 8 5 5" xfId="2663" xr:uid="{00000000-0005-0000-0000-00005C0A0000}"/>
    <cellStyle name="Moneda 8 5 5 2" xfId="2664" xr:uid="{00000000-0005-0000-0000-00005D0A0000}"/>
    <cellStyle name="Moneda 8 5 6" xfId="2665" xr:uid="{00000000-0005-0000-0000-00005E0A0000}"/>
    <cellStyle name="Moneda 8 5 6 2" xfId="2666" xr:uid="{00000000-0005-0000-0000-00005F0A0000}"/>
    <cellStyle name="Moneda 8 5 7" xfId="2667" xr:uid="{00000000-0005-0000-0000-0000600A0000}"/>
    <cellStyle name="Moneda 8 6" xfId="2668" xr:uid="{00000000-0005-0000-0000-0000610A0000}"/>
    <cellStyle name="Moneda 8 6 2" xfId="2669" xr:uid="{00000000-0005-0000-0000-0000620A0000}"/>
    <cellStyle name="Moneda 8 6 2 2" xfId="2670" xr:uid="{00000000-0005-0000-0000-0000630A0000}"/>
    <cellStyle name="Moneda 8 6 2 2 2" xfId="2671" xr:uid="{00000000-0005-0000-0000-0000640A0000}"/>
    <cellStyle name="Moneda 8 6 2 3" xfId="2672" xr:uid="{00000000-0005-0000-0000-0000650A0000}"/>
    <cellStyle name="Moneda 8 6 2 3 2" xfId="2673" xr:uid="{00000000-0005-0000-0000-0000660A0000}"/>
    <cellStyle name="Moneda 8 6 2 4" xfId="2674" xr:uid="{00000000-0005-0000-0000-0000670A0000}"/>
    <cellStyle name="Moneda 8 6 2 4 2" xfId="2675" xr:uid="{00000000-0005-0000-0000-0000680A0000}"/>
    <cellStyle name="Moneda 8 6 2 5" xfId="2676" xr:uid="{00000000-0005-0000-0000-0000690A0000}"/>
    <cellStyle name="Moneda 8 6 3" xfId="2677" xr:uid="{00000000-0005-0000-0000-00006A0A0000}"/>
    <cellStyle name="Moneda 8 6 3 2" xfId="2678" xr:uid="{00000000-0005-0000-0000-00006B0A0000}"/>
    <cellStyle name="Moneda 8 6 4" xfId="2679" xr:uid="{00000000-0005-0000-0000-00006C0A0000}"/>
    <cellStyle name="Moneda 8 6 4 2" xfId="2680" xr:uid="{00000000-0005-0000-0000-00006D0A0000}"/>
    <cellStyle name="Moneda 8 6 5" xfId="2681" xr:uid="{00000000-0005-0000-0000-00006E0A0000}"/>
    <cellStyle name="Moneda 8 6 5 2" xfId="2682" xr:uid="{00000000-0005-0000-0000-00006F0A0000}"/>
    <cellStyle name="Moneda 8 6 6" xfId="2683" xr:uid="{00000000-0005-0000-0000-0000700A0000}"/>
    <cellStyle name="Moneda 8 7" xfId="2684" xr:uid="{00000000-0005-0000-0000-0000710A0000}"/>
    <cellStyle name="Moneda 8 7 2" xfId="2685" xr:uid="{00000000-0005-0000-0000-0000720A0000}"/>
    <cellStyle name="Moneda 8 7 2 2" xfId="2686" xr:uid="{00000000-0005-0000-0000-0000730A0000}"/>
    <cellStyle name="Moneda 8 7 3" xfId="2687" xr:uid="{00000000-0005-0000-0000-0000740A0000}"/>
    <cellStyle name="Moneda 8 7 3 2" xfId="2688" xr:uid="{00000000-0005-0000-0000-0000750A0000}"/>
    <cellStyle name="Moneda 8 7 4" xfId="2689" xr:uid="{00000000-0005-0000-0000-0000760A0000}"/>
    <cellStyle name="Moneda 8 7 4 2" xfId="2690" xr:uid="{00000000-0005-0000-0000-0000770A0000}"/>
    <cellStyle name="Moneda 8 7 5" xfId="2691" xr:uid="{00000000-0005-0000-0000-0000780A0000}"/>
    <cellStyle name="Moneda 8 8" xfId="2692" xr:uid="{00000000-0005-0000-0000-0000790A0000}"/>
    <cellStyle name="Moneda 8 8 2" xfId="2693" xr:uid="{00000000-0005-0000-0000-00007A0A0000}"/>
    <cellStyle name="Moneda 8 8 2 2" xfId="2694" xr:uid="{00000000-0005-0000-0000-00007B0A0000}"/>
    <cellStyle name="Moneda 8 8 3" xfId="2695" xr:uid="{00000000-0005-0000-0000-00007C0A0000}"/>
    <cellStyle name="Moneda 8 8 3 2" xfId="2696" xr:uid="{00000000-0005-0000-0000-00007D0A0000}"/>
    <cellStyle name="Moneda 8 8 4" xfId="2697" xr:uid="{00000000-0005-0000-0000-00007E0A0000}"/>
    <cellStyle name="Moneda 8 8 4 2" xfId="2698" xr:uid="{00000000-0005-0000-0000-00007F0A0000}"/>
    <cellStyle name="Moneda 8 8 5" xfId="2699" xr:uid="{00000000-0005-0000-0000-0000800A0000}"/>
    <cellStyle name="Moneda 8 9" xfId="2700" xr:uid="{00000000-0005-0000-0000-0000810A0000}"/>
    <cellStyle name="Moneda 8 9 2" xfId="2701" xr:uid="{00000000-0005-0000-0000-0000820A0000}"/>
    <cellStyle name="Moneda 9" xfId="2702" xr:uid="{00000000-0005-0000-0000-0000830A0000}"/>
    <cellStyle name="Moneda 9 10" xfId="2703" xr:uid="{00000000-0005-0000-0000-0000840A0000}"/>
    <cellStyle name="Moneda 9 11" xfId="2704" xr:uid="{00000000-0005-0000-0000-0000850A0000}"/>
    <cellStyle name="Moneda 9 2" xfId="2705" xr:uid="{00000000-0005-0000-0000-0000860A0000}"/>
    <cellStyle name="Moneda 9 2 2" xfId="2706" xr:uid="{00000000-0005-0000-0000-0000870A0000}"/>
    <cellStyle name="Moneda 9 2 2 2" xfId="2707" xr:uid="{00000000-0005-0000-0000-0000880A0000}"/>
    <cellStyle name="Moneda 9 2 2 2 2" xfId="2708" xr:uid="{00000000-0005-0000-0000-0000890A0000}"/>
    <cellStyle name="Moneda 9 2 2 2 2 2" xfId="2709" xr:uid="{00000000-0005-0000-0000-00008A0A0000}"/>
    <cellStyle name="Moneda 9 2 2 2 3" xfId="2710" xr:uid="{00000000-0005-0000-0000-00008B0A0000}"/>
    <cellStyle name="Moneda 9 2 2 2 3 2" xfId="2711" xr:uid="{00000000-0005-0000-0000-00008C0A0000}"/>
    <cellStyle name="Moneda 9 2 2 2 4" xfId="2712" xr:uid="{00000000-0005-0000-0000-00008D0A0000}"/>
    <cellStyle name="Moneda 9 2 2 2 4 2" xfId="2713" xr:uid="{00000000-0005-0000-0000-00008E0A0000}"/>
    <cellStyle name="Moneda 9 2 2 2 5" xfId="2714" xr:uid="{00000000-0005-0000-0000-00008F0A0000}"/>
    <cellStyle name="Moneda 9 2 2 3" xfId="2715" xr:uid="{00000000-0005-0000-0000-0000900A0000}"/>
    <cellStyle name="Moneda 9 2 2 3 2" xfId="2716" xr:uid="{00000000-0005-0000-0000-0000910A0000}"/>
    <cellStyle name="Moneda 9 2 2 4" xfId="2717" xr:uid="{00000000-0005-0000-0000-0000920A0000}"/>
    <cellStyle name="Moneda 9 2 2 4 2" xfId="2718" xr:uid="{00000000-0005-0000-0000-0000930A0000}"/>
    <cellStyle name="Moneda 9 2 2 5" xfId="2719" xr:uid="{00000000-0005-0000-0000-0000940A0000}"/>
    <cellStyle name="Moneda 9 2 2 5 2" xfId="2720" xr:uid="{00000000-0005-0000-0000-0000950A0000}"/>
    <cellStyle name="Moneda 9 2 2 6" xfId="2721" xr:uid="{00000000-0005-0000-0000-0000960A0000}"/>
    <cellStyle name="Moneda 9 2 3" xfId="2722" xr:uid="{00000000-0005-0000-0000-0000970A0000}"/>
    <cellStyle name="Moneda 9 2 3 2" xfId="2723" xr:uid="{00000000-0005-0000-0000-0000980A0000}"/>
    <cellStyle name="Moneda 9 2 3 2 2" xfId="2724" xr:uid="{00000000-0005-0000-0000-0000990A0000}"/>
    <cellStyle name="Moneda 9 2 3 3" xfId="2725" xr:uid="{00000000-0005-0000-0000-00009A0A0000}"/>
    <cellStyle name="Moneda 9 2 3 3 2" xfId="2726" xr:uid="{00000000-0005-0000-0000-00009B0A0000}"/>
    <cellStyle name="Moneda 9 2 3 4" xfId="2727" xr:uid="{00000000-0005-0000-0000-00009C0A0000}"/>
    <cellStyle name="Moneda 9 2 3 4 2" xfId="2728" xr:uid="{00000000-0005-0000-0000-00009D0A0000}"/>
    <cellStyle name="Moneda 9 2 3 5" xfId="2729" xr:uid="{00000000-0005-0000-0000-00009E0A0000}"/>
    <cellStyle name="Moneda 9 2 4" xfId="2730" xr:uid="{00000000-0005-0000-0000-00009F0A0000}"/>
    <cellStyle name="Moneda 9 2 4 2" xfId="2731" xr:uid="{00000000-0005-0000-0000-0000A00A0000}"/>
    <cellStyle name="Moneda 9 2 5" xfId="2732" xr:uid="{00000000-0005-0000-0000-0000A10A0000}"/>
    <cellStyle name="Moneda 9 2 5 2" xfId="2733" xr:uid="{00000000-0005-0000-0000-0000A20A0000}"/>
    <cellStyle name="Moneda 9 2 6" xfId="2734" xr:uid="{00000000-0005-0000-0000-0000A30A0000}"/>
    <cellStyle name="Moneda 9 2 6 2" xfId="2735" xr:uid="{00000000-0005-0000-0000-0000A40A0000}"/>
    <cellStyle name="Moneda 9 2 7" xfId="2736" xr:uid="{00000000-0005-0000-0000-0000A50A0000}"/>
    <cellStyle name="Moneda 9 2 8" xfId="2737" xr:uid="{00000000-0005-0000-0000-0000A60A0000}"/>
    <cellStyle name="Moneda 9 3" xfId="2738" xr:uid="{00000000-0005-0000-0000-0000A70A0000}"/>
    <cellStyle name="Moneda 9 3 2" xfId="2739" xr:uid="{00000000-0005-0000-0000-0000A80A0000}"/>
    <cellStyle name="Moneda 9 3 2 2" xfId="2740" xr:uid="{00000000-0005-0000-0000-0000A90A0000}"/>
    <cellStyle name="Moneda 9 3 2 2 2" xfId="2741" xr:uid="{00000000-0005-0000-0000-0000AA0A0000}"/>
    <cellStyle name="Moneda 9 3 2 2 2 2" xfId="2742" xr:uid="{00000000-0005-0000-0000-0000AB0A0000}"/>
    <cellStyle name="Moneda 9 3 2 2 3" xfId="2743" xr:uid="{00000000-0005-0000-0000-0000AC0A0000}"/>
    <cellStyle name="Moneda 9 3 2 2 3 2" xfId="2744" xr:uid="{00000000-0005-0000-0000-0000AD0A0000}"/>
    <cellStyle name="Moneda 9 3 2 2 4" xfId="2745" xr:uid="{00000000-0005-0000-0000-0000AE0A0000}"/>
    <cellStyle name="Moneda 9 3 2 2 4 2" xfId="2746" xr:uid="{00000000-0005-0000-0000-0000AF0A0000}"/>
    <cellStyle name="Moneda 9 3 2 2 5" xfId="2747" xr:uid="{00000000-0005-0000-0000-0000B00A0000}"/>
    <cellStyle name="Moneda 9 3 2 3" xfId="2748" xr:uid="{00000000-0005-0000-0000-0000B10A0000}"/>
    <cellStyle name="Moneda 9 3 2 3 2" xfId="2749" xr:uid="{00000000-0005-0000-0000-0000B20A0000}"/>
    <cellStyle name="Moneda 9 3 2 4" xfId="2750" xr:uid="{00000000-0005-0000-0000-0000B30A0000}"/>
    <cellStyle name="Moneda 9 3 2 4 2" xfId="2751" xr:uid="{00000000-0005-0000-0000-0000B40A0000}"/>
    <cellStyle name="Moneda 9 3 2 5" xfId="2752" xr:uid="{00000000-0005-0000-0000-0000B50A0000}"/>
    <cellStyle name="Moneda 9 3 2 5 2" xfId="2753" xr:uid="{00000000-0005-0000-0000-0000B60A0000}"/>
    <cellStyle name="Moneda 9 3 2 6" xfId="2754" xr:uid="{00000000-0005-0000-0000-0000B70A0000}"/>
    <cellStyle name="Moneda 9 3 3" xfId="2755" xr:uid="{00000000-0005-0000-0000-0000B80A0000}"/>
    <cellStyle name="Moneda 9 3 3 2" xfId="2756" xr:uid="{00000000-0005-0000-0000-0000B90A0000}"/>
    <cellStyle name="Moneda 9 3 3 2 2" xfId="2757" xr:uid="{00000000-0005-0000-0000-0000BA0A0000}"/>
    <cellStyle name="Moneda 9 3 3 3" xfId="2758" xr:uid="{00000000-0005-0000-0000-0000BB0A0000}"/>
    <cellStyle name="Moneda 9 3 3 3 2" xfId="2759" xr:uid="{00000000-0005-0000-0000-0000BC0A0000}"/>
    <cellStyle name="Moneda 9 3 3 4" xfId="2760" xr:uid="{00000000-0005-0000-0000-0000BD0A0000}"/>
    <cellStyle name="Moneda 9 3 3 4 2" xfId="2761" xr:uid="{00000000-0005-0000-0000-0000BE0A0000}"/>
    <cellStyle name="Moneda 9 3 3 5" xfId="2762" xr:uid="{00000000-0005-0000-0000-0000BF0A0000}"/>
    <cellStyle name="Moneda 9 3 4" xfId="2763" xr:uid="{00000000-0005-0000-0000-0000C00A0000}"/>
    <cellStyle name="Moneda 9 3 4 2" xfId="2764" xr:uid="{00000000-0005-0000-0000-0000C10A0000}"/>
    <cellStyle name="Moneda 9 3 5" xfId="2765" xr:uid="{00000000-0005-0000-0000-0000C20A0000}"/>
    <cellStyle name="Moneda 9 3 5 2" xfId="2766" xr:uid="{00000000-0005-0000-0000-0000C30A0000}"/>
    <cellStyle name="Moneda 9 3 6" xfId="2767" xr:uid="{00000000-0005-0000-0000-0000C40A0000}"/>
    <cellStyle name="Moneda 9 3 6 2" xfId="2768" xr:uid="{00000000-0005-0000-0000-0000C50A0000}"/>
    <cellStyle name="Moneda 9 3 7" xfId="2769" xr:uid="{00000000-0005-0000-0000-0000C60A0000}"/>
    <cellStyle name="Moneda 9 4" xfId="2770" xr:uid="{00000000-0005-0000-0000-0000C70A0000}"/>
    <cellStyle name="Moneda 9 4 2" xfId="2771" xr:uid="{00000000-0005-0000-0000-0000C80A0000}"/>
    <cellStyle name="Moneda 9 4 2 2" xfId="2772" xr:uid="{00000000-0005-0000-0000-0000C90A0000}"/>
    <cellStyle name="Moneda 9 4 2 2 2" xfId="2773" xr:uid="{00000000-0005-0000-0000-0000CA0A0000}"/>
    <cellStyle name="Moneda 9 4 2 2 2 2" xfId="2774" xr:uid="{00000000-0005-0000-0000-0000CB0A0000}"/>
    <cellStyle name="Moneda 9 4 2 2 3" xfId="2775" xr:uid="{00000000-0005-0000-0000-0000CC0A0000}"/>
    <cellStyle name="Moneda 9 4 2 2 3 2" xfId="2776" xr:uid="{00000000-0005-0000-0000-0000CD0A0000}"/>
    <cellStyle name="Moneda 9 4 2 2 4" xfId="2777" xr:uid="{00000000-0005-0000-0000-0000CE0A0000}"/>
    <cellStyle name="Moneda 9 4 2 2 4 2" xfId="2778" xr:uid="{00000000-0005-0000-0000-0000CF0A0000}"/>
    <cellStyle name="Moneda 9 4 2 2 5" xfId="2779" xr:uid="{00000000-0005-0000-0000-0000D00A0000}"/>
    <cellStyle name="Moneda 9 4 2 3" xfId="2780" xr:uid="{00000000-0005-0000-0000-0000D10A0000}"/>
    <cellStyle name="Moneda 9 4 2 3 2" xfId="2781" xr:uid="{00000000-0005-0000-0000-0000D20A0000}"/>
    <cellStyle name="Moneda 9 4 2 4" xfId="2782" xr:uid="{00000000-0005-0000-0000-0000D30A0000}"/>
    <cellStyle name="Moneda 9 4 2 4 2" xfId="2783" xr:uid="{00000000-0005-0000-0000-0000D40A0000}"/>
    <cellStyle name="Moneda 9 4 2 5" xfId="2784" xr:uid="{00000000-0005-0000-0000-0000D50A0000}"/>
    <cellStyle name="Moneda 9 4 2 5 2" xfId="2785" xr:uid="{00000000-0005-0000-0000-0000D60A0000}"/>
    <cellStyle name="Moneda 9 4 2 6" xfId="2786" xr:uid="{00000000-0005-0000-0000-0000D70A0000}"/>
    <cellStyle name="Moneda 9 4 3" xfId="2787" xr:uid="{00000000-0005-0000-0000-0000D80A0000}"/>
    <cellStyle name="Moneda 9 4 3 2" xfId="2788" xr:uid="{00000000-0005-0000-0000-0000D90A0000}"/>
    <cellStyle name="Moneda 9 4 3 2 2" xfId="2789" xr:uid="{00000000-0005-0000-0000-0000DA0A0000}"/>
    <cellStyle name="Moneda 9 4 3 3" xfId="2790" xr:uid="{00000000-0005-0000-0000-0000DB0A0000}"/>
    <cellStyle name="Moneda 9 4 3 3 2" xfId="2791" xr:uid="{00000000-0005-0000-0000-0000DC0A0000}"/>
    <cellStyle name="Moneda 9 4 3 4" xfId="2792" xr:uid="{00000000-0005-0000-0000-0000DD0A0000}"/>
    <cellStyle name="Moneda 9 4 3 4 2" xfId="2793" xr:uid="{00000000-0005-0000-0000-0000DE0A0000}"/>
    <cellStyle name="Moneda 9 4 3 5" xfId="2794" xr:uid="{00000000-0005-0000-0000-0000DF0A0000}"/>
    <cellStyle name="Moneda 9 4 4" xfId="2795" xr:uid="{00000000-0005-0000-0000-0000E00A0000}"/>
    <cellStyle name="Moneda 9 4 4 2" xfId="2796" xr:uid="{00000000-0005-0000-0000-0000E10A0000}"/>
    <cellStyle name="Moneda 9 4 5" xfId="2797" xr:uid="{00000000-0005-0000-0000-0000E20A0000}"/>
    <cellStyle name="Moneda 9 4 5 2" xfId="2798" xr:uid="{00000000-0005-0000-0000-0000E30A0000}"/>
    <cellStyle name="Moneda 9 4 6" xfId="2799" xr:uid="{00000000-0005-0000-0000-0000E40A0000}"/>
    <cellStyle name="Moneda 9 4 6 2" xfId="2800" xr:uid="{00000000-0005-0000-0000-0000E50A0000}"/>
    <cellStyle name="Moneda 9 4 7" xfId="2801" xr:uid="{00000000-0005-0000-0000-0000E60A0000}"/>
    <cellStyle name="Moneda 9 5" xfId="2802" xr:uid="{00000000-0005-0000-0000-0000E70A0000}"/>
    <cellStyle name="Moneda 9 5 2" xfId="2803" xr:uid="{00000000-0005-0000-0000-0000E80A0000}"/>
    <cellStyle name="Moneda 9 5 2 2" xfId="2804" xr:uid="{00000000-0005-0000-0000-0000E90A0000}"/>
    <cellStyle name="Moneda 9 5 2 2 2" xfId="2805" xr:uid="{00000000-0005-0000-0000-0000EA0A0000}"/>
    <cellStyle name="Moneda 9 5 2 3" xfId="2806" xr:uid="{00000000-0005-0000-0000-0000EB0A0000}"/>
    <cellStyle name="Moneda 9 5 2 3 2" xfId="2807" xr:uid="{00000000-0005-0000-0000-0000EC0A0000}"/>
    <cellStyle name="Moneda 9 5 2 4" xfId="2808" xr:uid="{00000000-0005-0000-0000-0000ED0A0000}"/>
    <cellStyle name="Moneda 9 5 2 4 2" xfId="2809" xr:uid="{00000000-0005-0000-0000-0000EE0A0000}"/>
    <cellStyle name="Moneda 9 5 2 5" xfId="2810" xr:uid="{00000000-0005-0000-0000-0000EF0A0000}"/>
    <cellStyle name="Moneda 9 5 3" xfId="2811" xr:uid="{00000000-0005-0000-0000-0000F00A0000}"/>
    <cellStyle name="Moneda 9 5 3 2" xfId="2812" xr:uid="{00000000-0005-0000-0000-0000F10A0000}"/>
    <cellStyle name="Moneda 9 5 4" xfId="2813" xr:uid="{00000000-0005-0000-0000-0000F20A0000}"/>
    <cellStyle name="Moneda 9 5 4 2" xfId="2814" xr:uid="{00000000-0005-0000-0000-0000F30A0000}"/>
    <cellStyle name="Moneda 9 5 5" xfId="2815" xr:uid="{00000000-0005-0000-0000-0000F40A0000}"/>
    <cellStyle name="Moneda 9 5 5 2" xfId="2816" xr:uid="{00000000-0005-0000-0000-0000F50A0000}"/>
    <cellStyle name="Moneda 9 5 6" xfId="2817" xr:uid="{00000000-0005-0000-0000-0000F60A0000}"/>
    <cellStyle name="Moneda 9 6" xfId="2818" xr:uid="{00000000-0005-0000-0000-0000F70A0000}"/>
    <cellStyle name="Moneda 9 6 2" xfId="2819" xr:uid="{00000000-0005-0000-0000-0000F80A0000}"/>
    <cellStyle name="Moneda 9 6 2 2" xfId="2820" xr:uid="{00000000-0005-0000-0000-0000F90A0000}"/>
    <cellStyle name="Moneda 9 6 3" xfId="2821" xr:uid="{00000000-0005-0000-0000-0000FA0A0000}"/>
    <cellStyle name="Moneda 9 6 3 2" xfId="2822" xr:uid="{00000000-0005-0000-0000-0000FB0A0000}"/>
    <cellStyle name="Moneda 9 6 4" xfId="2823" xr:uid="{00000000-0005-0000-0000-0000FC0A0000}"/>
    <cellStyle name="Moneda 9 6 4 2" xfId="2824" xr:uid="{00000000-0005-0000-0000-0000FD0A0000}"/>
    <cellStyle name="Moneda 9 6 5" xfId="2825" xr:uid="{00000000-0005-0000-0000-0000FE0A0000}"/>
    <cellStyle name="Moneda 9 7" xfId="2826" xr:uid="{00000000-0005-0000-0000-0000FF0A0000}"/>
    <cellStyle name="Moneda 9 7 2" xfId="2827" xr:uid="{00000000-0005-0000-0000-0000000B0000}"/>
    <cellStyle name="Moneda 9 8" xfId="2828" xr:uid="{00000000-0005-0000-0000-0000010B0000}"/>
    <cellStyle name="Moneda 9 8 2" xfId="2829" xr:uid="{00000000-0005-0000-0000-0000020B0000}"/>
    <cellStyle name="Moneda 9 9" xfId="2830" xr:uid="{00000000-0005-0000-0000-0000030B0000}"/>
    <cellStyle name="Moneda 9 9 2" xfId="2831" xr:uid="{00000000-0005-0000-0000-0000040B0000}"/>
    <cellStyle name="Neutral 2" xfId="2832" xr:uid="{00000000-0005-0000-0000-0000060B0000}"/>
    <cellStyle name="Normal" xfId="0" builtinId="0"/>
    <cellStyle name="Normal 2" xfId="16" xr:uid="{00000000-0005-0000-0000-0000080B0000}"/>
    <cellStyle name="Normal 2 10" xfId="17" xr:uid="{00000000-0005-0000-0000-0000090B0000}"/>
    <cellStyle name="Normal 2 2" xfId="2833" xr:uid="{00000000-0005-0000-0000-00000A0B0000}"/>
    <cellStyle name="Normal 2 2 2" xfId="2834" xr:uid="{00000000-0005-0000-0000-00000B0B0000}"/>
    <cellStyle name="Normal 2 3" xfId="2835" xr:uid="{00000000-0005-0000-0000-00000C0B0000}"/>
    <cellStyle name="Normal 2 3 2" xfId="2836" xr:uid="{00000000-0005-0000-0000-00000D0B0000}"/>
    <cellStyle name="Normal 2 4" xfId="2837" xr:uid="{00000000-0005-0000-0000-00000E0B0000}"/>
    <cellStyle name="Normal 3" xfId="18" xr:uid="{00000000-0005-0000-0000-00000F0B0000}"/>
    <cellStyle name="Normal 3 2" xfId="19" xr:uid="{00000000-0005-0000-0000-0000100B0000}"/>
    <cellStyle name="Normal 3 2 2" xfId="2838" xr:uid="{00000000-0005-0000-0000-0000110B0000}"/>
    <cellStyle name="Normal 3 2 2 2" xfId="2839" xr:uid="{00000000-0005-0000-0000-0000120B0000}"/>
    <cellStyle name="Normal 3 2 3" xfId="2840" xr:uid="{00000000-0005-0000-0000-0000130B0000}"/>
    <cellStyle name="Normal 3 3" xfId="2841" xr:uid="{00000000-0005-0000-0000-0000140B0000}"/>
    <cellStyle name="Normal 3 4" xfId="2842" xr:uid="{00000000-0005-0000-0000-0000150B0000}"/>
    <cellStyle name="Normal 3 5" xfId="2843" xr:uid="{00000000-0005-0000-0000-0000160B0000}"/>
    <cellStyle name="Normal 3_CADENA DE VALOR" xfId="27" xr:uid="{00000000-0005-0000-0000-0000170B0000}"/>
    <cellStyle name="Normal 4" xfId="2844" xr:uid="{00000000-0005-0000-0000-0000180B0000}"/>
    <cellStyle name="Normal 4 2" xfId="20" xr:uid="{00000000-0005-0000-0000-0000190B0000}"/>
    <cellStyle name="Normal 5" xfId="2845" xr:uid="{00000000-0005-0000-0000-00001A0B0000}"/>
    <cellStyle name="Normal 6 2" xfId="2846" xr:uid="{00000000-0005-0000-0000-00001B0B0000}"/>
    <cellStyle name="Normal_CADENA DE VALOR" xfId="2866" xr:uid="{00000000-0005-0000-0000-00001C0B0000}"/>
    <cellStyle name="Numeric" xfId="2847" xr:uid="{00000000-0005-0000-0000-00001D0B0000}"/>
    <cellStyle name="NumericWithBorder" xfId="2848" xr:uid="{00000000-0005-0000-0000-00001E0B0000}"/>
    <cellStyle name="NumericWithBorder 2" xfId="2849" xr:uid="{00000000-0005-0000-0000-00001F0B0000}"/>
    <cellStyle name="NumericWithBorder 2 2" xfId="2850" xr:uid="{00000000-0005-0000-0000-0000200B0000}"/>
    <cellStyle name="NumericWithBorder 2 3" xfId="2851" xr:uid="{00000000-0005-0000-0000-0000210B0000}"/>
    <cellStyle name="NumericWithBorder 2 4" xfId="2852" xr:uid="{00000000-0005-0000-0000-0000220B0000}"/>
    <cellStyle name="NumericWithBorder 3" xfId="2853" xr:uid="{00000000-0005-0000-0000-0000230B0000}"/>
    <cellStyle name="NumericWithBorder 4" xfId="2854" xr:uid="{00000000-0005-0000-0000-0000240B0000}"/>
    <cellStyle name="NumericWithBorder 5" xfId="2855" xr:uid="{00000000-0005-0000-0000-0000250B0000}"/>
    <cellStyle name="Percent" xfId="2856" xr:uid="{00000000-0005-0000-0000-0000260B0000}"/>
    <cellStyle name="Percent 2" xfId="2857" xr:uid="{00000000-0005-0000-0000-0000270B0000}"/>
    <cellStyle name="Percent 2 2" xfId="2858" xr:uid="{00000000-0005-0000-0000-0000280B0000}"/>
    <cellStyle name="Porcentaje" xfId="21" builtinId="5"/>
    <cellStyle name="Porcentaje 2" xfId="24" xr:uid="{00000000-0005-0000-0000-00002A0B0000}"/>
    <cellStyle name="Porcentaje 2 2" xfId="2859" xr:uid="{00000000-0005-0000-0000-00002B0B0000}"/>
    <cellStyle name="Porcentaje 3" xfId="25" xr:uid="{00000000-0005-0000-0000-00002C0B0000}"/>
    <cellStyle name="Porcentaje 3 2" xfId="2860" xr:uid="{00000000-0005-0000-0000-00002D0B0000}"/>
    <cellStyle name="Porcentaje 4" xfId="26" xr:uid="{00000000-0005-0000-0000-00002E0B0000}"/>
    <cellStyle name="Porcentual 2" xfId="22" xr:uid="{00000000-0005-0000-0000-00002F0B0000}"/>
    <cellStyle name="Porcentual 2 2" xfId="23" xr:uid="{00000000-0005-0000-0000-0000300B0000}"/>
    <cellStyle name="Porcentual 2 2 2" xfId="2861" xr:uid="{00000000-0005-0000-0000-0000310B0000}"/>
    <cellStyle name="Porcentual 2 3" xfId="2862" xr:uid="{00000000-0005-0000-0000-0000320B0000}"/>
    <cellStyle name="Porcentual 2 3 2" xfId="2863" xr:uid="{00000000-0005-0000-0000-0000330B0000}"/>
    <cellStyle name="Porcentual 3" xfId="2864" xr:uid="{00000000-0005-0000-0000-0000340B0000}"/>
  </cellStyles>
  <dxfs count="0"/>
  <tableStyles count="0" defaultTableStyle="TableStyleMedium9" defaultPivotStyle="PivotStyleLight16"/>
  <colors>
    <mruColors>
      <color rgb="FF00FF00"/>
      <color rgb="FF0066FF"/>
      <color rgb="FFFF2600"/>
      <color rgb="FF0099FF"/>
      <color rgb="FF75DBFF"/>
      <color rgb="FF7BB800"/>
      <color rgb="FF669900"/>
      <color rgb="FF00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g"/></Relationships>
</file>

<file path=xl/drawings/_rels/drawing3.xml.rels><?xml version="1.0" encoding="UTF-8" standalone="yes"?>
<Relationships xmlns="http://schemas.openxmlformats.org/package/2006/relationships"><Relationship Id="rId1" Type="http://schemas.openxmlformats.org/officeDocument/2006/relationships/image" Target="../media/image2.jp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261809</xdr:colOff>
      <xdr:row>0</xdr:row>
      <xdr:rowOff>217236</xdr:rowOff>
    </xdr:from>
    <xdr:to>
      <xdr:col>3</xdr:col>
      <xdr:colOff>651709</xdr:colOff>
      <xdr:row>2</xdr:row>
      <xdr:rowOff>123211</xdr:rowOff>
    </xdr:to>
    <xdr:pic>
      <xdr:nvPicPr>
        <xdr:cNvPr id="4" name="Imagen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1809" y="217236"/>
          <a:ext cx="1793584" cy="47413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59531</xdr:colOff>
      <xdr:row>0</xdr:row>
      <xdr:rowOff>237067</xdr:rowOff>
    </xdr:from>
    <xdr:to>
      <xdr:col>3</xdr:col>
      <xdr:colOff>511866</xdr:colOff>
      <xdr:row>2</xdr:row>
      <xdr:rowOff>39687</xdr:rowOff>
    </xdr:to>
    <xdr:pic>
      <xdr:nvPicPr>
        <xdr:cNvPr id="4" name="Imagen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54844" y="237067"/>
          <a:ext cx="2247689" cy="71543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330200</xdr:colOff>
      <xdr:row>0</xdr:row>
      <xdr:rowOff>240396</xdr:rowOff>
    </xdr:from>
    <xdr:to>
      <xdr:col>2</xdr:col>
      <xdr:colOff>1637110</xdr:colOff>
      <xdr:row>2</xdr:row>
      <xdr:rowOff>169334</xdr:rowOff>
    </xdr:to>
    <xdr:pic>
      <xdr:nvPicPr>
        <xdr:cNvPr id="2" name="Imagen 1">
          <a:extLst>
            <a:ext uri="{FF2B5EF4-FFF2-40B4-BE49-F238E27FC236}">
              <a16:creationId xmlns:a16="http://schemas.microsoft.com/office/drawing/2014/main" id="{1B60A315-1018-4011-9426-FDD63D659A7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30200" y="240396"/>
          <a:ext cx="3360738" cy="83679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698500</xdr:colOff>
      <xdr:row>0</xdr:row>
      <xdr:rowOff>177800</xdr:rowOff>
    </xdr:from>
    <xdr:to>
      <xdr:col>2</xdr:col>
      <xdr:colOff>33670</xdr:colOff>
      <xdr:row>2</xdr:row>
      <xdr:rowOff>1241</xdr:rowOff>
    </xdr:to>
    <xdr:pic>
      <xdr:nvPicPr>
        <xdr:cNvPr id="2" name="Imagen 1">
          <a:extLst>
            <a:ext uri="{FF2B5EF4-FFF2-40B4-BE49-F238E27FC236}">
              <a16:creationId xmlns:a16="http://schemas.microsoft.com/office/drawing/2014/main" id="{CE35CE6B-7C55-4172-8F41-6E9471C1B354}"/>
            </a:ext>
          </a:extLst>
        </xdr:cNvPr>
        <xdr:cNvPicPr>
          <a:picLocks noChangeAspect="1"/>
        </xdr:cNvPicPr>
      </xdr:nvPicPr>
      <xdr:blipFill>
        <a:blip xmlns:r="http://schemas.openxmlformats.org/officeDocument/2006/relationships" r:embed="rId1"/>
        <a:stretch>
          <a:fillRect/>
        </a:stretch>
      </xdr:blipFill>
      <xdr:spPr>
        <a:xfrm>
          <a:off x="698500" y="177800"/>
          <a:ext cx="1633870" cy="49381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9525</xdr:colOff>
      <xdr:row>0</xdr:row>
      <xdr:rowOff>200025</xdr:rowOff>
    </xdr:from>
    <xdr:to>
      <xdr:col>1</xdr:col>
      <xdr:colOff>1038225</xdr:colOff>
      <xdr:row>2</xdr:row>
      <xdr:rowOff>247650</xdr:rowOff>
    </xdr:to>
    <xdr:pic>
      <xdr:nvPicPr>
        <xdr:cNvPr id="2" name="Imagen 1">
          <a:extLst>
            <a:ext uri="{FF2B5EF4-FFF2-40B4-BE49-F238E27FC236}">
              <a16:creationId xmlns:a16="http://schemas.microsoft.com/office/drawing/2014/main" id="{14919275-2EDE-324A-B12B-43AE1B1315C9}"/>
            </a:ext>
          </a:extLst>
        </xdr:cNvPr>
        <xdr:cNvPicPr>
          <a:picLocks noChangeAspect="1"/>
        </xdr:cNvPicPr>
      </xdr:nvPicPr>
      <xdr:blipFill>
        <a:blip xmlns:r="http://schemas.openxmlformats.org/officeDocument/2006/relationships" r:embed="rId1"/>
        <a:stretch>
          <a:fillRect/>
        </a:stretch>
      </xdr:blipFill>
      <xdr:spPr>
        <a:xfrm>
          <a:off x="9525" y="200025"/>
          <a:ext cx="2286000" cy="83502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12161BA7/285_V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carolinanino/Documents/SDA-2020/Plan%20de%20Accio&#769;n%20NCSA/12161BA7/285_V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USUARIOS\Documents\0810-2021\Octubre\FormatosCargadosParaPublicar\PA-7778-Sep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riables"/>
      <sheetName val="285"/>
      <sheetName val="Meta 11"/>
      <sheetName val="Meta12"/>
      <sheetName val="GESTIÓN"/>
    </sheetNames>
    <sheetDataSet>
      <sheetData sheetId="0" refreshError="1">
        <row r="1">
          <cell r="A1" t="str">
            <v>GRUPO ETAREO</v>
          </cell>
          <cell r="C1" t="str">
            <v>CONDICION POBLACIONAL</v>
          </cell>
          <cell r="H1" t="str">
            <v>GRUPOS ETNICOS</v>
          </cell>
        </row>
        <row r="2">
          <cell r="A2" t="str">
            <v xml:space="preserve">0-5 años Primera infancia </v>
          </cell>
          <cell r="C2" t="str">
            <v>Todos los Grupos</v>
          </cell>
          <cell r="H2" t="str">
            <v>Todos los grupos</v>
          </cell>
        </row>
        <row r="3">
          <cell r="A3" t="str">
            <v xml:space="preserve">6 - 13 años Infancia </v>
          </cell>
          <cell r="C3" t="str">
            <v>Adultos-as trabajador-a formal</v>
          </cell>
          <cell r="H3" t="str">
            <v>Afrocolombianos</v>
          </cell>
        </row>
        <row r="4">
          <cell r="A4" t="str">
            <v>14 - 17 años Adolescencia</v>
          </cell>
          <cell r="C4" t="str">
            <v>Adultos-as trabajador-a informal</v>
          </cell>
          <cell r="H4" t="str">
            <v>Indígenas</v>
          </cell>
        </row>
        <row r="5">
          <cell r="A5" t="str">
            <v>18 - 26 años Juventud</v>
          </cell>
          <cell r="C5" t="str">
            <v>Ciudadanos-as habitantes de calle</v>
          </cell>
          <cell r="H5" t="str">
            <v>No identifica grupos étnicos</v>
          </cell>
        </row>
        <row r="6">
          <cell r="A6" t="str">
            <v>27 - 59 años Adultez</v>
          </cell>
          <cell r="C6" t="str">
            <v>Comunidad en general</v>
          </cell>
          <cell r="H6" t="str">
            <v>Otros Grupos étnicos</v>
          </cell>
        </row>
        <row r="7">
          <cell r="A7" t="str">
            <v>60 años o más. Personas Mayores</v>
          </cell>
          <cell r="C7" t="str">
            <v>Familias en emergencia social y catastrófica</v>
          </cell>
          <cell r="H7" t="str">
            <v>Rom</v>
          </cell>
        </row>
        <row r="8">
          <cell r="A8" t="str">
            <v>Grupo Etario Sin Definir</v>
          </cell>
          <cell r="C8" t="str">
            <v>Familias en situacion de vulnerabilidad</v>
          </cell>
          <cell r="H8" t="str">
            <v>Raizales</v>
          </cell>
        </row>
        <row r="9">
          <cell r="C9" t="str">
            <v>Familias ubicadas en zonas de alto deterioro urbano</v>
          </cell>
        </row>
        <row r="10">
          <cell r="C10" t="str">
            <v>Jovenes desescolarizados</v>
          </cell>
        </row>
        <row r="11">
          <cell r="C11" t="str">
            <v>Jovenes escolarizados</v>
          </cell>
        </row>
        <row r="12">
          <cell r="C12" t="str">
            <v>Mujeres gestantes y lactantes</v>
          </cell>
        </row>
        <row r="13">
          <cell r="C13" t="str">
            <v>Niños y niñas de primera infancia</v>
          </cell>
        </row>
        <row r="14">
          <cell r="C14" t="str">
            <v>Niños, niñas y adolescentes desescolarizados</v>
          </cell>
        </row>
        <row r="15">
          <cell r="C15" t="str">
            <v>Niños, niñas y adolescentes en riesgo social vinculacion temprana al trabajo o acompañamiento</v>
          </cell>
        </row>
        <row r="16">
          <cell r="C16" t="str">
            <v>Niños, niñas y adolescentes escolarizados</v>
          </cell>
        </row>
        <row r="17">
          <cell r="C17" t="str">
            <v>Personas cabezas de familia</v>
          </cell>
        </row>
        <row r="18">
          <cell r="C18" t="str">
            <v>Personas con discapacidad</v>
          </cell>
        </row>
        <row r="19">
          <cell r="C19" t="str">
            <v>Personas consumidoras de sustancias psicoactivas</v>
          </cell>
        </row>
        <row r="20">
          <cell r="C20" t="str">
            <v>Personas en situacion de desplazamiento</v>
          </cell>
        </row>
        <row r="21">
          <cell r="C21" t="str">
            <v>Personas vinculadas a la prostitución</v>
          </cell>
        </row>
        <row r="22">
          <cell r="C22" t="str">
            <v>Reincorporados - as</v>
          </cell>
        </row>
        <row r="23">
          <cell r="C23" t="str">
            <v>Sector LGBT</v>
          </cell>
        </row>
        <row r="24">
          <cell r="C24" t="str">
            <v>Servidores y servidoras públicos</v>
          </cell>
        </row>
      </sheetData>
      <sheetData sheetId="1"/>
      <sheetData sheetId="2">
        <row r="1">
          <cell r="A1" t="str">
            <v>GRUPO ETAREO</v>
          </cell>
        </row>
      </sheetData>
      <sheetData sheetId="3">
        <row r="1">
          <cell r="A1" t="str">
            <v>GRUPO ETAREO</v>
          </cell>
        </row>
      </sheetData>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riables"/>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STIÓN"/>
      <sheetName val="INVERSIÓN"/>
      <sheetName val="TERRITORIALIZACIÓN "/>
      <sheetName val="ACTIVIDADES"/>
      <sheetName val="SPI"/>
    </sheetNames>
    <sheetDataSet>
      <sheetData sheetId="0" refreshError="1"/>
      <sheetData sheetId="1" refreshError="1">
        <row r="10">
          <cell r="AQ10">
            <v>1</v>
          </cell>
          <cell r="AS10">
            <v>1</v>
          </cell>
          <cell r="BA10">
            <v>1</v>
          </cell>
        </row>
        <row r="11">
          <cell r="AP11">
            <v>0</v>
          </cell>
          <cell r="AQ11">
            <v>145468477</v>
          </cell>
          <cell r="AR11">
            <v>0</v>
          </cell>
          <cell r="BA11">
            <v>1534521300</v>
          </cell>
        </row>
        <row r="13">
          <cell r="AP13">
            <v>0</v>
          </cell>
          <cell r="AQ13">
            <v>0</v>
          </cell>
          <cell r="AR13">
            <v>0</v>
          </cell>
          <cell r="AS13">
            <v>0</v>
          </cell>
          <cell r="AT13">
            <v>0</v>
          </cell>
          <cell r="BA13">
            <v>0</v>
          </cell>
        </row>
        <row r="14">
          <cell r="AP14">
            <v>0</v>
          </cell>
          <cell r="AQ14">
            <v>0</v>
          </cell>
          <cell r="AR14">
            <v>9064999</v>
          </cell>
          <cell r="BA14">
            <v>337734142</v>
          </cell>
        </row>
        <row r="17">
          <cell r="AP17">
            <v>0.75</v>
          </cell>
          <cell r="AQ17">
            <v>0.85</v>
          </cell>
          <cell r="AR17">
            <v>0.85</v>
          </cell>
          <cell r="BA17">
            <v>8</v>
          </cell>
        </row>
        <row r="18">
          <cell r="AP18">
            <v>24890000</v>
          </cell>
          <cell r="AQ18">
            <v>37967600</v>
          </cell>
          <cell r="AR18">
            <v>0</v>
          </cell>
          <cell r="BA18">
            <v>1389997314</v>
          </cell>
        </row>
        <row r="20">
          <cell r="AP20">
            <v>0</v>
          </cell>
          <cell r="AQ20">
            <v>0</v>
          </cell>
          <cell r="AR20">
            <v>0</v>
          </cell>
          <cell r="AS20">
            <v>0</v>
          </cell>
          <cell r="AT20">
            <v>0</v>
          </cell>
          <cell r="BA20">
            <v>0</v>
          </cell>
        </row>
        <row r="21">
          <cell r="AP21">
            <v>0</v>
          </cell>
          <cell r="AQ21">
            <v>49887783</v>
          </cell>
          <cell r="AR21">
            <v>0</v>
          </cell>
          <cell r="BA21">
            <v>220512384</v>
          </cell>
        </row>
        <row r="24">
          <cell r="AP24">
            <v>0.26</v>
          </cell>
          <cell r="AQ24">
            <v>0.17</v>
          </cell>
          <cell r="AR24">
            <v>0.13</v>
          </cell>
          <cell r="BA24">
            <v>1.9999999999999996</v>
          </cell>
        </row>
        <row r="25">
          <cell r="AP25">
            <v>0</v>
          </cell>
          <cell r="AQ25">
            <v>62546600</v>
          </cell>
          <cell r="AR25">
            <v>0</v>
          </cell>
          <cell r="BA25">
            <v>2930900316</v>
          </cell>
        </row>
        <row r="27">
          <cell r="AP27">
            <v>0</v>
          </cell>
          <cell r="AQ27">
            <v>0</v>
          </cell>
          <cell r="AR27">
            <v>0</v>
          </cell>
          <cell r="AS27">
            <v>0</v>
          </cell>
          <cell r="AT27">
            <v>0</v>
          </cell>
          <cell r="BA27">
            <v>0</v>
          </cell>
        </row>
        <row r="28">
          <cell r="AP28">
            <v>0</v>
          </cell>
          <cell r="AQ28">
            <v>16343157</v>
          </cell>
          <cell r="AR28">
            <v>100496560</v>
          </cell>
          <cell r="BA28">
            <v>592742679</v>
          </cell>
        </row>
        <row r="31">
          <cell r="BA31">
            <v>893</v>
          </cell>
        </row>
        <row r="32">
          <cell r="BA32">
            <v>1587481000.0000005</v>
          </cell>
        </row>
        <row r="34">
          <cell r="AS34">
            <v>0</v>
          </cell>
          <cell r="BA34">
            <v>0</v>
          </cell>
        </row>
        <row r="35">
          <cell r="BA35">
            <v>131226434</v>
          </cell>
        </row>
        <row r="38">
          <cell r="AP38">
            <v>1</v>
          </cell>
          <cell r="AQ38">
            <v>1</v>
          </cell>
          <cell r="AR38">
            <v>1</v>
          </cell>
          <cell r="AS38">
            <v>1</v>
          </cell>
          <cell r="AT38">
            <v>1</v>
          </cell>
          <cell r="BA38">
            <v>1</v>
          </cell>
        </row>
        <row r="39">
          <cell r="AP39">
            <v>0</v>
          </cell>
          <cell r="AQ39">
            <v>87584607.333333299</v>
          </cell>
          <cell r="AR39">
            <v>36764000</v>
          </cell>
          <cell r="BA39">
            <v>749390000</v>
          </cell>
        </row>
        <row r="41">
          <cell r="AP41">
            <v>0</v>
          </cell>
          <cell r="AQ41">
            <v>0</v>
          </cell>
          <cell r="AR41">
            <v>0</v>
          </cell>
          <cell r="AS41">
            <v>0</v>
          </cell>
          <cell r="AT41">
            <v>0</v>
          </cell>
          <cell r="BA41">
            <v>0</v>
          </cell>
        </row>
        <row r="42">
          <cell r="AP42">
            <v>0</v>
          </cell>
          <cell r="AQ42">
            <v>11094200</v>
          </cell>
          <cell r="AR42">
            <v>2650000</v>
          </cell>
          <cell r="BA42">
            <v>84042144</v>
          </cell>
        </row>
        <row r="45">
          <cell r="AP45">
            <v>265</v>
          </cell>
          <cell r="AQ45">
            <v>295</v>
          </cell>
          <cell r="AR45">
            <v>203</v>
          </cell>
          <cell r="BA45">
            <v>4707</v>
          </cell>
        </row>
        <row r="46">
          <cell r="AP46">
            <v>0</v>
          </cell>
          <cell r="AQ46">
            <v>44034333.333333336</v>
          </cell>
          <cell r="AR46">
            <v>0</v>
          </cell>
          <cell r="BA46">
            <v>1294148000</v>
          </cell>
        </row>
        <row r="48">
          <cell r="AP48">
            <v>0</v>
          </cell>
          <cell r="AQ48">
            <v>0</v>
          </cell>
          <cell r="AR48">
            <v>0</v>
          </cell>
          <cell r="AS48">
            <v>0</v>
          </cell>
          <cell r="AT48">
            <v>0</v>
          </cell>
          <cell r="BA48">
            <v>0</v>
          </cell>
        </row>
        <row r="49">
          <cell r="AP49">
            <v>0</v>
          </cell>
          <cell r="AQ49">
            <v>3761399</v>
          </cell>
          <cell r="AR49">
            <v>0</v>
          </cell>
          <cell r="BA49">
            <v>274333630</v>
          </cell>
        </row>
        <row r="52">
          <cell r="AP52">
            <v>1</v>
          </cell>
          <cell r="AQ52">
            <v>1</v>
          </cell>
          <cell r="AR52">
            <v>0.91300000000000003</v>
          </cell>
          <cell r="AS52">
            <v>1</v>
          </cell>
          <cell r="AT52">
            <v>1</v>
          </cell>
          <cell r="BA52">
            <v>1</v>
          </cell>
        </row>
        <row r="53">
          <cell r="AP53">
            <v>0</v>
          </cell>
          <cell r="AQ53">
            <v>36785066.666666672</v>
          </cell>
          <cell r="AR53">
            <v>0</v>
          </cell>
          <cell r="BA53">
            <v>557942070</v>
          </cell>
        </row>
        <row r="55">
          <cell r="AP55">
            <v>0</v>
          </cell>
          <cell r="AQ55">
            <v>0</v>
          </cell>
          <cell r="AR55">
            <v>0</v>
          </cell>
          <cell r="AS55">
            <v>0</v>
          </cell>
          <cell r="AT55">
            <v>0</v>
          </cell>
          <cell r="BA55">
            <v>0</v>
          </cell>
        </row>
        <row r="56">
          <cell r="AP56">
            <v>0</v>
          </cell>
          <cell r="AQ56">
            <v>0</v>
          </cell>
          <cell r="AR56">
            <v>0</v>
          </cell>
          <cell r="BA56">
            <v>131174135</v>
          </cell>
        </row>
      </sheetData>
      <sheetData sheetId="2" refreshError="1"/>
      <sheetData sheetId="3" refreshError="1"/>
      <sheetData sheetId="4"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rmcab.ambientebogota.gov.co/" TargetMode="External"/><Relationship Id="rId1" Type="http://schemas.openxmlformats.org/officeDocument/2006/relationships/hyperlink" Target="http://rmcab.ambientebogota.gov.co/"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C27"/>
  <sheetViews>
    <sheetView showGridLines="0" zoomScale="57" zoomScaleNormal="57" zoomScaleSheetLayoutView="70" zoomScalePageLayoutView="60" workbookViewId="0">
      <pane ySplit="9" topLeftCell="A10" activePane="bottomLeft" state="frozen"/>
      <selection activeCell="C9" sqref="C9"/>
      <selection pane="bottomLeft" activeCell="A10" sqref="A10:I10"/>
    </sheetView>
  </sheetViews>
  <sheetFormatPr baseColWidth="10" defaultColWidth="7" defaultRowHeight="46.5" customHeight="1" x14ac:dyDescent="0.25"/>
  <cols>
    <col min="1" max="3" width="7" style="1"/>
    <col min="4" max="4" width="25.5703125" style="1" customWidth="1"/>
    <col min="5" max="5" width="7" style="1"/>
    <col min="6" max="6" width="17.5703125" style="1" customWidth="1"/>
    <col min="7" max="7" width="14" style="1" customWidth="1"/>
    <col min="8" max="8" width="11.5703125" style="1" customWidth="1"/>
    <col min="9" max="9" width="12.7109375" style="13" customWidth="1"/>
    <col min="10" max="27" width="0" style="17" hidden="1" customWidth="1"/>
    <col min="28" max="28" width="11.5703125" style="17" customWidth="1"/>
    <col min="29" max="29" width="17" style="17" customWidth="1"/>
    <col min="30" max="30" width="15" style="17" customWidth="1"/>
    <col min="31" max="59" width="10.7109375" style="17" customWidth="1"/>
    <col min="60" max="60" width="21" style="17" customWidth="1"/>
    <col min="61" max="89" width="0" style="17" hidden="1" customWidth="1"/>
    <col min="90" max="90" width="22.28515625" style="17" customWidth="1"/>
    <col min="91" max="118" width="0" style="17" hidden="1" customWidth="1"/>
    <col min="119" max="119" width="10.5703125" style="17" hidden="1" customWidth="1"/>
    <col min="120" max="120" width="18.5703125" style="17" customWidth="1"/>
    <col min="121" max="149" width="0" style="17" hidden="1" customWidth="1"/>
    <col min="150" max="154" width="18.7109375" style="1" customWidth="1"/>
    <col min="155" max="155" width="81.5703125" style="1" customWidth="1"/>
    <col min="156" max="156" width="12.7109375" style="1" customWidth="1"/>
    <col min="157" max="157" width="16.42578125" style="1" customWidth="1"/>
    <col min="158" max="158" width="46.28515625" style="1" customWidth="1"/>
    <col min="159" max="159" width="35" style="1" customWidth="1"/>
    <col min="160" max="16384" width="7" style="1"/>
  </cols>
  <sheetData>
    <row r="1" spans="1:159" s="19" customFormat="1" ht="21" customHeight="1" x14ac:dyDescent="0.5">
      <c r="A1" s="396"/>
      <c r="B1" s="397"/>
      <c r="C1" s="397"/>
      <c r="D1" s="397"/>
      <c r="E1" s="397"/>
      <c r="F1" s="397"/>
      <c r="G1" s="400" t="s">
        <v>39</v>
      </c>
      <c r="H1" s="400"/>
      <c r="I1" s="400"/>
      <c r="J1" s="400"/>
      <c r="K1" s="400"/>
      <c r="L1" s="400"/>
      <c r="M1" s="400"/>
      <c r="N1" s="400"/>
      <c r="O1" s="400"/>
      <c r="P1" s="400"/>
      <c r="Q1" s="400"/>
      <c r="R1" s="400"/>
      <c r="S1" s="400"/>
      <c r="T1" s="400"/>
      <c r="U1" s="400"/>
      <c r="V1" s="400"/>
      <c r="W1" s="400"/>
      <c r="X1" s="400"/>
      <c r="Y1" s="400"/>
      <c r="Z1" s="400"/>
      <c r="AA1" s="400"/>
      <c r="AB1" s="400"/>
      <c r="AC1" s="400"/>
      <c r="AD1" s="400"/>
      <c r="AE1" s="400"/>
      <c r="AF1" s="400"/>
      <c r="AG1" s="400"/>
      <c r="AH1" s="400"/>
      <c r="AI1" s="400"/>
      <c r="AJ1" s="400"/>
      <c r="AK1" s="400"/>
      <c r="AL1" s="400"/>
      <c r="AM1" s="400"/>
      <c r="AN1" s="400"/>
      <c r="AO1" s="400"/>
      <c r="AP1" s="400"/>
      <c r="AQ1" s="400"/>
      <c r="AR1" s="400"/>
      <c r="AS1" s="400"/>
      <c r="AT1" s="400"/>
      <c r="AU1" s="400"/>
      <c r="AV1" s="400"/>
      <c r="AW1" s="400"/>
      <c r="AX1" s="400"/>
      <c r="AY1" s="400"/>
      <c r="AZ1" s="400"/>
      <c r="BA1" s="400"/>
      <c r="BB1" s="400"/>
      <c r="BC1" s="400"/>
      <c r="BD1" s="400"/>
      <c r="BE1" s="400"/>
      <c r="BF1" s="400"/>
      <c r="BG1" s="400"/>
      <c r="BH1" s="400"/>
      <c r="BI1" s="400"/>
      <c r="BJ1" s="400"/>
      <c r="BK1" s="400"/>
      <c r="BL1" s="400"/>
      <c r="BM1" s="400"/>
      <c r="BN1" s="400"/>
      <c r="BO1" s="400"/>
      <c r="BP1" s="400"/>
      <c r="BQ1" s="400"/>
      <c r="BR1" s="400"/>
      <c r="BS1" s="400"/>
      <c r="BT1" s="400"/>
      <c r="BU1" s="400"/>
      <c r="BV1" s="400"/>
      <c r="BW1" s="400"/>
      <c r="BX1" s="400"/>
      <c r="BY1" s="400"/>
      <c r="BZ1" s="400"/>
      <c r="CA1" s="400"/>
      <c r="CB1" s="400"/>
      <c r="CC1" s="400"/>
      <c r="CD1" s="400"/>
      <c r="CE1" s="400"/>
      <c r="CF1" s="400"/>
      <c r="CG1" s="400"/>
      <c r="CH1" s="400"/>
      <c r="CI1" s="400"/>
      <c r="CJ1" s="400"/>
      <c r="CK1" s="400"/>
      <c r="CL1" s="400"/>
      <c r="CM1" s="400"/>
      <c r="CN1" s="400"/>
      <c r="CO1" s="400"/>
      <c r="CP1" s="400"/>
      <c r="CQ1" s="400"/>
      <c r="CR1" s="400"/>
      <c r="CS1" s="400"/>
      <c r="CT1" s="400"/>
      <c r="CU1" s="400"/>
      <c r="CV1" s="400"/>
      <c r="CW1" s="400"/>
      <c r="CX1" s="400"/>
      <c r="CY1" s="400"/>
      <c r="CZ1" s="400"/>
      <c r="DA1" s="400"/>
      <c r="DB1" s="400"/>
      <c r="DC1" s="400"/>
      <c r="DD1" s="400"/>
      <c r="DE1" s="400"/>
      <c r="DF1" s="400"/>
      <c r="DG1" s="400"/>
      <c r="DH1" s="400"/>
      <c r="DI1" s="400"/>
      <c r="DJ1" s="400"/>
      <c r="DK1" s="400"/>
      <c r="DL1" s="400"/>
      <c r="DM1" s="400"/>
      <c r="DN1" s="400"/>
      <c r="DO1" s="400"/>
      <c r="DP1" s="400"/>
      <c r="DQ1" s="400"/>
      <c r="DR1" s="400"/>
      <c r="DS1" s="400"/>
      <c r="DT1" s="400"/>
      <c r="DU1" s="400"/>
      <c r="DV1" s="400"/>
      <c r="DW1" s="400"/>
      <c r="DX1" s="400"/>
      <c r="DY1" s="400"/>
      <c r="DZ1" s="400"/>
      <c r="EA1" s="400"/>
      <c r="EB1" s="400"/>
      <c r="EC1" s="400"/>
      <c r="ED1" s="400"/>
      <c r="EE1" s="400"/>
      <c r="EF1" s="400"/>
      <c r="EG1" s="400"/>
      <c r="EH1" s="400"/>
      <c r="EI1" s="400"/>
      <c r="EJ1" s="400"/>
      <c r="EK1" s="400"/>
      <c r="EL1" s="400"/>
      <c r="EM1" s="400"/>
      <c r="EN1" s="400"/>
      <c r="EO1" s="400"/>
      <c r="EP1" s="400"/>
      <c r="EQ1" s="400"/>
      <c r="ER1" s="400"/>
      <c r="ES1" s="400"/>
      <c r="ET1" s="400"/>
      <c r="EU1" s="400"/>
      <c r="EV1" s="400"/>
      <c r="EW1" s="400"/>
      <c r="EX1" s="400"/>
      <c r="EY1" s="400"/>
      <c r="EZ1" s="400"/>
      <c r="FA1" s="400"/>
      <c r="FB1" s="400"/>
      <c r="FC1" s="401"/>
    </row>
    <row r="2" spans="1:159" s="19" customFormat="1" ht="24" customHeight="1" x14ac:dyDescent="0.6">
      <c r="A2" s="398"/>
      <c r="B2" s="399"/>
      <c r="C2" s="399"/>
      <c r="D2" s="399"/>
      <c r="E2" s="399"/>
      <c r="F2" s="399"/>
      <c r="G2" s="402" t="s">
        <v>260</v>
      </c>
      <c r="H2" s="402"/>
      <c r="I2" s="402"/>
      <c r="J2" s="402"/>
      <c r="K2" s="402"/>
      <c r="L2" s="402"/>
      <c r="M2" s="402"/>
      <c r="N2" s="402"/>
      <c r="O2" s="402"/>
      <c r="P2" s="402"/>
      <c r="Q2" s="402"/>
      <c r="R2" s="402"/>
      <c r="S2" s="402"/>
      <c r="T2" s="402"/>
      <c r="U2" s="402"/>
      <c r="V2" s="402"/>
      <c r="W2" s="402"/>
      <c r="X2" s="402"/>
      <c r="Y2" s="402"/>
      <c r="Z2" s="402"/>
      <c r="AA2" s="402"/>
      <c r="AB2" s="402"/>
      <c r="AC2" s="402"/>
      <c r="AD2" s="402"/>
      <c r="AE2" s="402"/>
      <c r="AF2" s="402"/>
      <c r="AG2" s="402"/>
      <c r="AH2" s="402"/>
      <c r="AI2" s="402"/>
      <c r="AJ2" s="402"/>
      <c r="AK2" s="402"/>
      <c r="AL2" s="402"/>
      <c r="AM2" s="402"/>
      <c r="AN2" s="402"/>
      <c r="AO2" s="402"/>
      <c r="AP2" s="402"/>
      <c r="AQ2" s="402"/>
      <c r="AR2" s="402"/>
      <c r="AS2" s="402"/>
      <c r="AT2" s="402"/>
      <c r="AU2" s="402"/>
      <c r="AV2" s="402"/>
      <c r="AW2" s="402"/>
      <c r="AX2" s="402"/>
      <c r="AY2" s="402"/>
      <c r="AZ2" s="402"/>
      <c r="BA2" s="402"/>
      <c r="BB2" s="402"/>
      <c r="BC2" s="402"/>
      <c r="BD2" s="402"/>
      <c r="BE2" s="402"/>
      <c r="BF2" s="402"/>
      <c r="BG2" s="402"/>
      <c r="BH2" s="402"/>
      <c r="BI2" s="402"/>
      <c r="BJ2" s="402"/>
      <c r="BK2" s="402"/>
      <c r="BL2" s="402"/>
      <c r="BM2" s="402"/>
      <c r="BN2" s="402"/>
      <c r="BO2" s="402"/>
      <c r="BP2" s="402"/>
      <c r="BQ2" s="402"/>
      <c r="BR2" s="402"/>
      <c r="BS2" s="402"/>
      <c r="BT2" s="402"/>
      <c r="BU2" s="402"/>
      <c r="BV2" s="402"/>
      <c r="BW2" s="402"/>
      <c r="BX2" s="402"/>
      <c r="BY2" s="402"/>
      <c r="BZ2" s="402"/>
      <c r="CA2" s="402"/>
      <c r="CB2" s="402"/>
      <c r="CC2" s="402"/>
      <c r="CD2" s="402"/>
      <c r="CE2" s="402"/>
      <c r="CF2" s="402"/>
      <c r="CG2" s="402"/>
      <c r="CH2" s="402"/>
      <c r="CI2" s="402"/>
      <c r="CJ2" s="402"/>
      <c r="CK2" s="402"/>
      <c r="CL2" s="402"/>
      <c r="CM2" s="402"/>
      <c r="CN2" s="402"/>
      <c r="CO2" s="402"/>
      <c r="CP2" s="402"/>
      <c r="CQ2" s="402"/>
      <c r="CR2" s="402"/>
      <c r="CS2" s="402"/>
      <c r="CT2" s="402"/>
      <c r="CU2" s="402"/>
      <c r="CV2" s="402"/>
      <c r="CW2" s="402"/>
      <c r="CX2" s="402"/>
      <c r="CY2" s="402"/>
      <c r="CZ2" s="402"/>
      <c r="DA2" s="402"/>
      <c r="DB2" s="402"/>
      <c r="DC2" s="402"/>
      <c r="DD2" s="402"/>
      <c r="DE2" s="402"/>
      <c r="DF2" s="402"/>
      <c r="DG2" s="402"/>
      <c r="DH2" s="402"/>
      <c r="DI2" s="402"/>
      <c r="DJ2" s="402"/>
      <c r="DK2" s="402"/>
      <c r="DL2" s="402"/>
      <c r="DM2" s="402"/>
      <c r="DN2" s="402"/>
      <c r="DO2" s="402"/>
      <c r="DP2" s="402"/>
      <c r="DQ2" s="402"/>
      <c r="DR2" s="402"/>
      <c r="DS2" s="402"/>
      <c r="DT2" s="402"/>
      <c r="DU2" s="402"/>
      <c r="DV2" s="402"/>
      <c r="DW2" s="402"/>
      <c r="DX2" s="402"/>
      <c r="DY2" s="402"/>
      <c r="DZ2" s="402"/>
      <c r="EA2" s="402"/>
      <c r="EB2" s="402"/>
      <c r="EC2" s="402"/>
      <c r="ED2" s="402"/>
      <c r="EE2" s="402"/>
      <c r="EF2" s="402"/>
      <c r="EG2" s="402"/>
      <c r="EH2" s="402"/>
      <c r="EI2" s="402"/>
      <c r="EJ2" s="402"/>
      <c r="EK2" s="402"/>
      <c r="EL2" s="402"/>
      <c r="EM2" s="402"/>
      <c r="EN2" s="402"/>
      <c r="EO2" s="402"/>
      <c r="EP2" s="402"/>
      <c r="EQ2" s="402"/>
      <c r="ER2" s="402"/>
      <c r="ES2" s="402"/>
      <c r="ET2" s="402"/>
      <c r="EU2" s="402"/>
      <c r="EV2" s="402"/>
      <c r="EW2" s="402"/>
      <c r="EX2" s="402"/>
      <c r="EY2" s="402"/>
      <c r="EZ2" s="402"/>
      <c r="FA2" s="402"/>
      <c r="FB2" s="402"/>
      <c r="FC2" s="403"/>
    </row>
    <row r="3" spans="1:159" s="18" customFormat="1" ht="19.5" customHeight="1" x14ac:dyDescent="0.4">
      <c r="A3" s="398"/>
      <c r="B3" s="399"/>
      <c r="C3" s="399"/>
      <c r="D3" s="399"/>
      <c r="E3" s="399"/>
      <c r="F3" s="399"/>
      <c r="G3" s="404" t="s">
        <v>48</v>
      </c>
      <c r="H3" s="404"/>
      <c r="I3" s="404"/>
      <c r="J3" s="404"/>
      <c r="K3" s="404"/>
      <c r="L3" s="404"/>
      <c r="M3" s="404"/>
      <c r="N3" s="404"/>
      <c r="O3" s="404"/>
      <c r="P3" s="404"/>
      <c r="Q3" s="404"/>
      <c r="R3" s="404"/>
      <c r="S3" s="404"/>
      <c r="T3" s="404"/>
      <c r="U3" s="404"/>
      <c r="V3" s="404"/>
      <c r="W3" s="404"/>
      <c r="X3" s="404"/>
      <c r="Y3" s="404"/>
      <c r="Z3" s="404"/>
      <c r="AA3" s="404"/>
      <c r="AB3" s="404"/>
      <c r="AC3" s="404"/>
      <c r="AD3" s="404"/>
      <c r="AE3" s="404"/>
      <c r="AF3" s="404"/>
      <c r="AG3" s="404"/>
      <c r="AH3" s="404"/>
      <c r="AI3" s="404"/>
      <c r="AJ3" s="404"/>
      <c r="AK3" s="404"/>
      <c r="AL3" s="404"/>
      <c r="AM3" s="404"/>
      <c r="AN3" s="404"/>
      <c r="AO3" s="404"/>
      <c r="AP3" s="404"/>
      <c r="AQ3" s="404"/>
      <c r="AR3" s="404"/>
      <c r="AS3" s="404"/>
      <c r="AT3" s="404"/>
      <c r="AU3" s="404"/>
      <c r="AV3" s="404"/>
      <c r="AW3" s="404"/>
      <c r="AX3" s="404"/>
      <c r="AY3" s="404"/>
      <c r="AZ3" s="404"/>
      <c r="BA3" s="404"/>
      <c r="BB3" s="404"/>
      <c r="BC3" s="404"/>
      <c r="BD3" s="404"/>
      <c r="BE3" s="404"/>
      <c r="BF3" s="404"/>
      <c r="BG3" s="404"/>
      <c r="BH3" s="404"/>
      <c r="BI3" s="404"/>
      <c r="BJ3" s="404"/>
      <c r="BK3" s="404"/>
      <c r="BL3" s="404"/>
      <c r="BM3" s="404"/>
      <c r="BN3" s="404"/>
      <c r="BO3" s="404"/>
      <c r="BP3" s="404"/>
      <c r="BQ3" s="404"/>
      <c r="BR3" s="404"/>
      <c r="BS3" s="404"/>
      <c r="BT3" s="404"/>
      <c r="BU3" s="404"/>
      <c r="BV3" s="404"/>
      <c r="BW3" s="404"/>
      <c r="BX3" s="404"/>
      <c r="BY3" s="404"/>
      <c r="BZ3" s="404"/>
      <c r="CA3" s="404"/>
      <c r="CB3" s="404"/>
      <c r="CC3" s="404"/>
      <c r="CD3" s="404"/>
      <c r="CE3" s="404"/>
      <c r="CF3" s="404"/>
      <c r="CG3" s="404"/>
      <c r="CH3" s="404"/>
      <c r="CI3" s="404"/>
      <c r="CJ3" s="404"/>
      <c r="CK3" s="404"/>
      <c r="CL3" s="404"/>
      <c r="CM3" s="404"/>
      <c r="CN3" s="404"/>
      <c r="CO3" s="404"/>
      <c r="CP3" s="404"/>
      <c r="CQ3" s="404"/>
      <c r="CR3" s="404"/>
      <c r="CS3" s="404"/>
      <c r="CT3" s="404"/>
      <c r="CU3" s="404"/>
      <c r="CV3" s="404"/>
      <c r="CW3" s="404"/>
      <c r="CX3" s="404"/>
      <c r="CY3" s="404"/>
      <c r="CZ3" s="404"/>
      <c r="DA3" s="404"/>
      <c r="DB3" s="404"/>
      <c r="DC3" s="404"/>
      <c r="DD3" s="404"/>
      <c r="DE3" s="404"/>
      <c r="DF3" s="404"/>
      <c r="DG3" s="404"/>
      <c r="DH3" s="404"/>
      <c r="DI3" s="404"/>
      <c r="DJ3" s="404"/>
      <c r="DK3" s="404"/>
      <c r="DL3" s="404"/>
      <c r="DM3" s="404"/>
      <c r="DN3" s="404"/>
      <c r="DO3" s="404"/>
      <c r="DP3" s="404"/>
      <c r="DQ3" s="404"/>
      <c r="DR3" s="404"/>
      <c r="DS3" s="404"/>
      <c r="DT3" s="404"/>
      <c r="DU3" s="404"/>
      <c r="DV3" s="404"/>
      <c r="DW3" s="404"/>
      <c r="DX3" s="404"/>
      <c r="DY3" s="404"/>
      <c r="DZ3" s="404"/>
      <c r="EA3" s="404"/>
      <c r="EB3" s="404"/>
      <c r="EC3" s="404"/>
      <c r="ED3" s="404"/>
      <c r="EE3" s="404"/>
      <c r="EF3" s="404"/>
      <c r="EG3" s="404"/>
      <c r="EH3" s="404"/>
      <c r="EI3" s="404"/>
      <c r="EJ3" s="404"/>
      <c r="EK3" s="404"/>
      <c r="EL3" s="404"/>
      <c r="EM3" s="404"/>
      <c r="EN3" s="404"/>
      <c r="EO3" s="404"/>
      <c r="EP3" s="404"/>
      <c r="EQ3" s="404"/>
      <c r="ER3" s="404"/>
      <c r="ES3" s="404"/>
      <c r="ET3" s="405" t="s">
        <v>244</v>
      </c>
      <c r="EU3" s="405"/>
      <c r="EV3" s="405"/>
      <c r="EW3" s="405"/>
      <c r="EX3" s="405"/>
      <c r="EY3" s="405"/>
      <c r="EZ3" s="405"/>
      <c r="FA3" s="405"/>
      <c r="FB3" s="405"/>
      <c r="FC3" s="406"/>
    </row>
    <row r="4" spans="1:159" ht="14.25" customHeight="1" x14ac:dyDescent="0.25">
      <c r="A4" s="414" t="s">
        <v>0</v>
      </c>
      <c r="B4" s="415"/>
      <c r="C4" s="415"/>
      <c r="D4" s="415"/>
      <c r="E4" s="415"/>
      <c r="F4" s="415"/>
      <c r="G4" s="409" t="s">
        <v>266</v>
      </c>
      <c r="H4" s="409"/>
      <c r="I4" s="409"/>
      <c r="J4" s="409"/>
      <c r="K4" s="409"/>
      <c r="L4" s="409"/>
      <c r="M4" s="409"/>
      <c r="N4" s="409"/>
      <c r="O4" s="409"/>
      <c r="P4" s="409"/>
      <c r="Q4" s="409"/>
      <c r="R4" s="409"/>
      <c r="S4" s="409"/>
      <c r="T4" s="409"/>
      <c r="U4" s="409"/>
      <c r="V4" s="409"/>
      <c r="W4" s="409"/>
      <c r="X4" s="409"/>
      <c r="Y4" s="409"/>
      <c r="Z4" s="409"/>
      <c r="AA4" s="409"/>
      <c r="AB4" s="409"/>
      <c r="AC4" s="409"/>
      <c r="AD4" s="409"/>
      <c r="AE4" s="409"/>
      <c r="AF4" s="409"/>
      <c r="AG4" s="409"/>
      <c r="AH4" s="409"/>
      <c r="AI4" s="409"/>
      <c r="AJ4" s="409"/>
      <c r="AK4" s="409"/>
      <c r="AL4" s="409"/>
      <c r="AM4" s="409"/>
      <c r="AN4" s="409"/>
      <c r="AO4" s="409"/>
      <c r="AP4" s="409"/>
      <c r="AQ4" s="409"/>
      <c r="AR4" s="409"/>
      <c r="AS4" s="409"/>
      <c r="AT4" s="409"/>
      <c r="AU4" s="409"/>
      <c r="AV4" s="409"/>
      <c r="AW4" s="409"/>
      <c r="AX4" s="409"/>
      <c r="AY4" s="409"/>
      <c r="AZ4" s="409"/>
      <c r="BA4" s="409"/>
      <c r="BB4" s="409"/>
      <c r="BC4" s="409"/>
      <c r="BD4" s="409"/>
      <c r="BE4" s="409"/>
      <c r="BF4" s="409"/>
      <c r="BG4" s="409"/>
      <c r="BH4" s="409"/>
      <c r="BI4" s="409"/>
      <c r="BJ4" s="409"/>
      <c r="BK4" s="409"/>
      <c r="BL4" s="409"/>
      <c r="BM4" s="409"/>
      <c r="BN4" s="409"/>
      <c r="BO4" s="409"/>
      <c r="BP4" s="409"/>
      <c r="BQ4" s="409"/>
      <c r="BR4" s="409"/>
      <c r="BS4" s="409"/>
      <c r="BT4" s="409"/>
      <c r="BU4" s="409"/>
      <c r="BV4" s="409"/>
      <c r="BW4" s="409"/>
      <c r="BX4" s="409"/>
      <c r="BY4" s="409"/>
      <c r="BZ4" s="409"/>
      <c r="CA4" s="409"/>
      <c r="CB4" s="409"/>
      <c r="CC4" s="409"/>
      <c r="CD4" s="409"/>
      <c r="CE4" s="409"/>
      <c r="CF4" s="409"/>
      <c r="CG4" s="409"/>
      <c r="CH4" s="409"/>
      <c r="CI4" s="409"/>
      <c r="CJ4" s="409"/>
      <c r="CK4" s="409"/>
      <c r="CL4" s="409"/>
      <c r="CM4" s="409"/>
      <c r="CN4" s="409"/>
      <c r="CO4" s="409"/>
      <c r="CP4" s="409"/>
      <c r="CQ4" s="409"/>
      <c r="CR4" s="409"/>
      <c r="CS4" s="409"/>
      <c r="CT4" s="409"/>
      <c r="CU4" s="409"/>
      <c r="CV4" s="409"/>
      <c r="CW4" s="409"/>
      <c r="CX4" s="409"/>
      <c r="CY4" s="409"/>
      <c r="CZ4" s="409"/>
      <c r="DA4" s="409"/>
      <c r="DB4" s="409"/>
      <c r="DC4" s="409"/>
      <c r="DD4" s="409"/>
      <c r="DE4" s="409"/>
      <c r="DF4" s="409"/>
      <c r="DG4" s="409"/>
      <c r="DH4" s="409"/>
      <c r="DI4" s="409"/>
      <c r="DJ4" s="409"/>
      <c r="DK4" s="409"/>
      <c r="DL4" s="409"/>
      <c r="DM4" s="409"/>
      <c r="DN4" s="409"/>
      <c r="DO4" s="409"/>
      <c r="DP4" s="409"/>
      <c r="DQ4" s="409"/>
      <c r="DR4" s="409"/>
      <c r="DS4" s="409"/>
      <c r="DT4" s="409"/>
      <c r="DU4" s="409"/>
      <c r="DV4" s="409"/>
      <c r="DW4" s="409"/>
      <c r="DX4" s="409"/>
      <c r="DY4" s="409"/>
      <c r="DZ4" s="409"/>
      <c r="EA4" s="409"/>
      <c r="EB4" s="409"/>
      <c r="EC4" s="409"/>
      <c r="ED4" s="409"/>
      <c r="EE4" s="409"/>
      <c r="EF4" s="409"/>
      <c r="EG4" s="409"/>
      <c r="EH4" s="409"/>
      <c r="EI4" s="409"/>
      <c r="EJ4" s="409"/>
      <c r="EK4" s="409"/>
      <c r="EL4" s="409"/>
      <c r="EM4" s="409"/>
      <c r="EN4" s="409"/>
      <c r="EO4" s="409"/>
      <c r="EP4" s="409"/>
      <c r="EQ4" s="409"/>
      <c r="ER4" s="409"/>
      <c r="ES4" s="409"/>
      <c r="ET4" s="409"/>
      <c r="EU4" s="409"/>
      <c r="EV4" s="409"/>
      <c r="EW4" s="409"/>
      <c r="EX4" s="409"/>
      <c r="EY4" s="409"/>
      <c r="EZ4" s="409"/>
      <c r="FA4" s="409"/>
      <c r="FB4" s="409"/>
      <c r="FC4" s="410"/>
    </row>
    <row r="5" spans="1:159" ht="19.5" customHeight="1" x14ac:dyDescent="0.25">
      <c r="A5" s="414" t="s">
        <v>2</v>
      </c>
      <c r="B5" s="415"/>
      <c r="C5" s="415"/>
      <c r="D5" s="415"/>
      <c r="E5" s="415"/>
      <c r="F5" s="415"/>
      <c r="G5" s="409" t="s">
        <v>267</v>
      </c>
      <c r="H5" s="409"/>
      <c r="I5" s="409"/>
      <c r="J5" s="409"/>
      <c r="K5" s="409"/>
      <c r="L5" s="409"/>
      <c r="M5" s="409"/>
      <c r="N5" s="409"/>
      <c r="O5" s="409"/>
      <c r="P5" s="409"/>
      <c r="Q5" s="409"/>
      <c r="R5" s="409"/>
      <c r="S5" s="409"/>
      <c r="T5" s="409"/>
      <c r="U5" s="409"/>
      <c r="V5" s="409"/>
      <c r="W5" s="409"/>
      <c r="X5" s="409"/>
      <c r="Y5" s="409"/>
      <c r="Z5" s="409"/>
      <c r="AA5" s="409"/>
      <c r="AB5" s="409"/>
      <c r="AC5" s="409"/>
      <c r="AD5" s="409"/>
      <c r="AE5" s="409"/>
      <c r="AF5" s="409"/>
      <c r="AG5" s="409"/>
      <c r="AH5" s="409"/>
      <c r="AI5" s="409"/>
      <c r="AJ5" s="409"/>
      <c r="AK5" s="409"/>
      <c r="AL5" s="409"/>
      <c r="AM5" s="409"/>
      <c r="AN5" s="409"/>
      <c r="AO5" s="409"/>
      <c r="AP5" s="409"/>
      <c r="AQ5" s="409"/>
      <c r="AR5" s="409"/>
      <c r="AS5" s="409"/>
      <c r="AT5" s="409"/>
      <c r="AU5" s="409"/>
      <c r="AV5" s="409"/>
      <c r="AW5" s="409"/>
      <c r="AX5" s="409"/>
      <c r="AY5" s="409"/>
      <c r="AZ5" s="409"/>
      <c r="BA5" s="409"/>
      <c r="BB5" s="409"/>
      <c r="BC5" s="409"/>
      <c r="BD5" s="409"/>
      <c r="BE5" s="409"/>
      <c r="BF5" s="409"/>
      <c r="BG5" s="409"/>
      <c r="BH5" s="409"/>
      <c r="BI5" s="409"/>
      <c r="BJ5" s="409"/>
      <c r="BK5" s="409"/>
      <c r="BL5" s="409"/>
      <c r="BM5" s="409"/>
      <c r="BN5" s="409"/>
      <c r="BO5" s="409"/>
      <c r="BP5" s="409"/>
      <c r="BQ5" s="409"/>
      <c r="BR5" s="409"/>
      <c r="BS5" s="409"/>
      <c r="BT5" s="409"/>
      <c r="BU5" s="409"/>
      <c r="BV5" s="409"/>
      <c r="BW5" s="409"/>
      <c r="BX5" s="409"/>
      <c r="BY5" s="409"/>
      <c r="BZ5" s="409"/>
      <c r="CA5" s="409"/>
      <c r="CB5" s="409"/>
      <c r="CC5" s="409"/>
      <c r="CD5" s="409"/>
      <c r="CE5" s="409"/>
      <c r="CF5" s="409"/>
      <c r="CG5" s="409"/>
      <c r="CH5" s="409"/>
      <c r="CI5" s="409"/>
      <c r="CJ5" s="409"/>
      <c r="CK5" s="409"/>
      <c r="CL5" s="409"/>
      <c r="CM5" s="409"/>
      <c r="CN5" s="409"/>
      <c r="CO5" s="409"/>
      <c r="CP5" s="409"/>
      <c r="CQ5" s="409"/>
      <c r="CR5" s="409"/>
      <c r="CS5" s="409"/>
      <c r="CT5" s="409"/>
      <c r="CU5" s="409"/>
      <c r="CV5" s="409"/>
      <c r="CW5" s="409"/>
      <c r="CX5" s="409"/>
      <c r="CY5" s="409"/>
      <c r="CZ5" s="409"/>
      <c r="DA5" s="409"/>
      <c r="DB5" s="409"/>
      <c r="DC5" s="409"/>
      <c r="DD5" s="409"/>
      <c r="DE5" s="409"/>
      <c r="DF5" s="409"/>
      <c r="DG5" s="409"/>
      <c r="DH5" s="409"/>
      <c r="DI5" s="409"/>
      <c r="DJ5" s="409"/>
      <c r="DK5" s="409"/>
      <c r="DL5" s="409"/>
      <c r="DM5" s="409"/>
      <c r="DN5" s="409"/>
      <c r="DO5" s="409"/>
      <c r="DP5" s="409"/>
      <c r="DQ5" s="409"/>
      <c r="DR5" s="409"/>
      <c r="DS5" s="409"/>
      <c r="DT5" s="409"/>
      <c r="DU5" s="409"/>
      <c r="DV5" s="409"/>
      <c r="DW5" s="409"/>
      <c r="DX5" s="409"/>
      <c r="DY5" s="409"/>
      <c r="DZ5" s="409"/>
      <c r="EA5" s="409"/>
      <c r="EB5" s="409"/>
      <c r="EC5" s="409"/>
      <c r="ED5" s="409"/>
      <c r="EE5" s="409"/>
      <c r="EF5" s="409"/>
      <c r="EG5" s="409"/>
      <c r="EH5" s="409"/>
      <c r="EI5" s="409"/>
      <c r="EJ5" s="409"/>
      <c r="EK5" s="409"/>
      <c r="EL5" s="409"/>
      <c r="EM5" s="409"/>
      <c r="EN5" s="409"/>
      <c r="EO5" s="409"/>
      <c r="EP5" s="409"/>
      <c r="EQ5" s="409"/>
      <c r="ER5" s="409"/>
      <c r="ES5" s="409"/>
      <c r="ET5" s="409"/>
      <c r="EU5" s="409"/>
      <c r="EV5" s="409"/>
      <c r="EW5" s="409"/>
      <c r="EX5" s="409"/>
      <c r="EY5" s="409"/>
      <c r="EZ5" s="409"/>
      <c r="FA5" s="409"/>
      <c r="FB5" s="409"/>
      <c r="FC5" s="410"/>
    </row>
    <row r="6" spans="1:159" ht="21" customHeight="1" x14ac:dyDescent="0.25">
      <c r="A6" s="414" t="s">
        <v>56</v>
      </c>
      <c r="B6" s="415"/>
      <c r="C6" s="415"/>
      <c r="D6" s="415"/>
      <c r="E6" s="415"/>
      <c r="F6" s="415"/>
      <c r="G6" s="409" t="s">
        <v>268</v>
      </c>
      <c r="H6" s="409"/>
      <c r="I6" s="409"/>
      <c r="J6" s="409"/>
      <c r="K6" s="409"/>
      <c r="L6" s="409"/>
      <c r="M6" s="409"/>
      <c r="N6" s="409"/>
      <c r="O6" s="409"/>
      <c r="P6" s="409"/>
      <c r="Q6" s="409"/>
      <c r="R6" s="409"/>
      <c r="S6" s="409"/>
      <c r="T6" s="409"/>
      <c r="U6" s="409"/>
      <c r="V6" s="409"/>
      <c r="W6" s="409"/>
      <c r="X6" s="409"/>
      <c r="Y6" s="409"/>
      <c r="Z6" s="409"/>
      <c r="AA6" s="409"/>
      <c r="AB6" s="409"/>
      <c r="AC6" s="409"/>
      <c r="AD6" s="409"/>
      <c r="AE6" s="409"/>
      <c r="AF6" s="409"/>
      <c r="AG6" s="409"/>
      <c r="AH6" s="409"/>
      <c r="AI6" s="409"/>
      <c r="AJ6" s="409"/>
      <c r="AK6" s="409"/>
      <c r="AL6" s="409"/>
      <c r="AM6" s="409"/>
      <c r="AN6" s="409"/>
      <c r="AO6" s="409"/>
      <c r="AP6" s="409"/>
      <c r="AQ6" s="409"/>
      <c r="AR6" s="409"/>
      <c r="AS6" s="409"/>
      <c r="AT6" s="409"/>
      <c r="AU6" s="409"/>
      <c r="AV6" s="409"/>
      <c r="AW6" s="409"/>
      <c r="AX6" s="409"/>
      <c r="AY6" s="409"/>
      <c r="AZ6" s="409"/>
      <c r="BA6" s="409"/>
      <c r="BB6" s="409"/>
      <c r="BC6" s="409"/>
      <c r="BD6" s="409"/>
      <c r="BE6" s="409"/>
      <c r="BF6" s="409"/>
      <c r="BG6" s="409"/>
      <c r="BH6" s="409"/>
      <c r="BI6" s="409"/>
      <c r="BJ6" s="409"/>
      <c r="BK6" s="409"/>
      <c r="BL6" s="409"/>
      <c r="BM6" s="409"/>
      <c r="BN6" s="409"/>
      <c r="BO6" s="409"/>
      <c r="BP6" s="409"/>
      <c r="BQ6" s="409"/>
      <c r="BR6" s="409"/>
      <c r="BS6" s="409"/>
      <c r="BT6" s="409"/>
      <c r="BU6" s="409"/>
      <c r="BV6" s="409"/>
      <c r="BW6" s="409"/>
      <c r="BX6" s="409"/>
      <c r="BY6" s="409"/>
      <c r="BZ6" s="409"/>
      <c r="CA6" s="409"/>
      <c r="CB6" s="409"/>
      <c r="CC6" s="409"/>
      <c r="CD6" s="409"/>
      <c r="CE6" s="409"/>
      <c r="CF6" s="409"/>
      <c r="CG6" s="409"/>
      <c r="CH6" s="409"/>
      <c r="CI6" s="409"/>
      <c r="CJ6" s="409"/>
      <c r="CK6" s="409"/>
      <c r="CL6" s="409"/>
      <c r="CM6" s="409"/>
      <c r="CN6" s="409"/>
      <c r="CO6" s="409"/>
      <c r="CP6" s="409"/>
      <c r="CQ6" s="409"/>
      <c r="CR6" s="409"/>
      <c r="CS6" s="409"/>
      <c r="CT6" s="409"/>
      <c r="CU6" s="409"/>
      <c r="CV6" s="409"/>
      <c r="CW6" s="409"/>
      <c r="CX6" s="409"/>
      <c r="CY6" s="409"/>
      <c r="CZ6" s="409"/>
      <c r="DA6" s="409"/>
      <c r="DB6" s="409"/>
      <c r="DC6" s="409"/>
      <c r="DD6" s="409"/>
      <c r="DE6" s="409"/>
      <c r="DF6" s="409"/>
      <c r="DG6" s="409"/>
      <c r="DH6" s="409"/>
      <c r="DI6" s="409"/>
      <c r="DJ6" s="409"/>
      <c r="DK6" s="409"/>
      <c r="DL6" s="409"/>
      <c r="DM6" s="409"/>
      <c r="DN6" s="409"/>
      <c r="DO6" s="409"/>
      <c r="DP6" s="409"/>
      <c r="DQ6" s="409"/>
      <c r="DR6" s="409"/>
      <c r="DS6" s="409"/>
      <c r="DT6" s="409"/>
      <c r="DU6" s="409"/>
      <c r="DV6" s="409"/>
      <c r="DW6" s="409"/>
      <c r="DX6" s="409"/>
      <c r="DY6" s="409"/>
      <c r="DZ6" s="409"/>
      <c r="EA6" s="409"/>
      <c r="EB6" s="409"/>
      <c r="EC6" s="409"/>
      <c r="ED6" s="409"/>
      <c r="EE6" s="409"/>
      <c r="EF6" s="409"/>
      <c r="EG6" s="409"/>
      <c r="EH6" s="409"/>
      <c r="EI6" s="409"/>
      <c r="EJ6" s="409"/>
      <c r="EK6" s="409"/>
      <c r="EL6" s="409"/>
      <c r="EM6" s="409"/>
      <c r="EN6" s="409"/>
      <c r="EO6" s="409"/>
      <c r="EP6" s="409"/>
      <c r="EQ6" s="409"/>
      <c r="ER6" s="409"/>
      <c r="ES6" s="409"/>
      <c r="ET6" s="409"/>
      <c r="EU6" s="409"/>
      <c r="EV6" s="409"/>
      <c r="EW6" s="409"/>
      <c r="EX6" s="409"/>
      <c r="EY6" s="409"/>
      <c r="EZ6" s="409"/>
      <c r="FA6" s="409"/>
      <c r="FB6" s="409"/>
      <c r="FC6" s="410"/>
    </row>
    <row r="7" spans="1:159" ht="17.25" customHeight="1" thickBot="1" x14ac:dyDescent="0.3">
      <c r="A7" s="394" t="s">
        <v>1</v>
      </c>
      <c r="B7" s="395"/>
      <c r="C7" s="395"/>
      <c r="D7" s="395"/>
      <c r="E7" s="395"/>
      <c r="F7" s="395"/>
      <c r="G7" s="411" t="s">
        <v>269</v>
      </c>
      <c r="H7" s="411"/>
      <c r="I7" s="411"/>
      <c r="J7" s="411"/>
      <c r="K7" s="411"/>
      <c r="L7" s="411"/>
      <c r="M7" s="411"/>
      <c r="N7" s="411"/>
      <c r="O7" s="411"/>
      <c r="P7" s="411"/>
      <c r="Q7" s="411"/>
      <c r="R7" s="411"/>
      <c r="S7" s="411"/>
      <c r="T7" s="411"/>
      <c r="U7" s="411"/>
      <c r="V7" s="411"/>
      <c r="W7" s="411"/>
      <c r="X7" s="411"/>
      <c r="Y7" s="411"/>
      <c r="Z7" s="411"/>
      <c r="AA7" s="411"/>
      <c r="AB7" s="411"/>
      <c r="AC7" s="411"/>
      <c r="AD7" s="411"/>
      <c r="AE7" s="411"/>
      <c r="AF7" s="411"/>
      <c r="AG7" s="411"/>
      <c r="AH7" s="411"/>
      <c r="AI7" s="411"/>
      <c r="AJ7" s="411"/>
      <c r="AK7" s="411"/>
      <c r="AL7" s="411"/>
      <c r="AM7" s="411"/>
      <c r="AN7" s="411"/>
      <c r="AO7" s="411"/>
      <c r="AP7" s="411"/>
      <c r="AQ7" s="411"/>
      <c r="AR7" s="411"/>
      <c r="AS7" s="411"/>
      <c r="AT7" s="411"/>
      <c r="AU7" s="411"/>
      <c r="AV7" s="411"/>
      <c r="AW7" s="411"/>
      <c r="AX7" s="411"/>
      <c r="AY7" s="411"/>
      <c r="AZ7" s="411"/>
      <c r="BA7" s="411"/>
      <c r="BB7" s="411"/>
      <c r="BC7" s="411"/>
      <c r="BD7" s="411"/>
      <c r="BE7" s="411"/>
      <c r="BF7" s="411"/>
      <c r="BG7" s="411"/>
      <c r="BH7" s="411"/>
      <c r="BI7" s="411"/>
      <c r="BJ7" s="411"/>
      <c r="BK7" s="411"/>
      <c r="BL7" s="411"/>
      <c r="BM7" s="411"/>
      <c r="BN7" s="411"/>
      <c r="BO7" s="411"/>
      <c r="BP7" s="411"/>
      <c r="BQ7" s="411"/>
      <c r="BR7" s="411"/>
      <c r="BS7" s="411"/>
      <c r="BT7" s="411"/>
      <c r="BU7" s="411"/>
      <c r="BV7" s="411"/>
      <c r="BW7" s="411"/>
      <c r="BX7" s="411"/>
      <c r="BY7" s="411"/>
      <c r="BZ7" s="411"/>
      <c r="CA7" s="411"/>
      <c r="CB7" s="411"/>
      <c r="CC7" s="411"/>
      <c r="CD7" s="411"/>
      <c r="CE7" s="411"/>
      <c r="CF7" s="411"/>
      <c r="CG7" s="411"/>
      <c r="CH7" s="411"/>
      <c r="CI7" s="411"/>
      <c r="CJ7" s="411"/>
      <c r="CK7" s="411"/>
      <c r="CL7" s="411"/>
      <c r="CM7" s="411"/>
      <c r="CN7" s="411"/>
      <c r="CO7" s="411"/>
      <c r="CP7" s="411"/>
      <c r="CQ7" s="411"/>
      <c r="CR7" s="411"/>
      <c r="CS7" s="411"/>
      <c r="CT7" s="411"/>
      <c r="CU7" s="411"/>
      <c r="CV7" s="411"/>
      <c r="CW7" s="411"/>
      <c r="CX7" s="411"/>
      <c r="CY7" s="411"/>
      <c r="CZ7" s="411"/>
      <c r="DA7" s="411"/>
      <c r="DB7" s="411"/>
      <c r="DC7" s="411"/>
      <c r="DD7" s="411"/>
      <c r="DE7" s="411"/>
      <c r="DF7" s="411"/>
      <c r="DG7" s="411"/>
      <c r="DH7" s="411"/>
      <c r="DI7" s="411"/>
      <c r="DJ7" s="411"/>
      <c r="DK7" s="411"/>
      <c r="DL7" s="411"/>
      <c r="DM7" s="411"/>
      <c r="DN7" s="411"/>
      <c r="DO7" s="411"/>
      <c r="DP7" s="411"/>
      <c r="DQ7" s="411"/>
      <c r="DR7" s="411"/>
      <c r="DS7" s="411"/>
      <c r="DT7" s="411"/>
      <c r="DU7" s="411"/>
      <c r="DV7" s="411"/>
      <c r="DW7" s="411"/>
      <c r="DX7" s="411"/>
      <c r="DY7" s="411"/>
      <c r="DZ7" s="411"/>
      <c r="EA7" s="411"/>
      <c r="EB7" s="411"/>
      <c r="EC7" s="411"/>
      <c r="ED7" s="411"/>
      <c r="EE7" s="411"/>
      <c r="EF7" s="411"/>
      <c r="EG7" s="411"/>
      <c r="EH7" s="411"/>
      <c r="EI7" s="411"/>
      <c r="EJ7" s="411"/>
      <c r="EK7" s="411"/>
      <c r="EL7" s="411"/>
      <c r="EM7" s="411"/>
      <c r="EN7" s="411"/>
      <c r="EO7" s="411"/>
      <c r="EP7" s="411"/>
      <c r="EQ7" s="411"/>
      <c r="ER7" s="411"/>
      <c r="ES7" s="411"/>
      <c r="ET7" s="411"/>
      <c r="EU7" s="411"/>
      <c r="EV7" s="411"/>
      <c r="EW7" s="411"/>
      <c r="EX7" s="411"/>
      <c r="EY7" s="411"/>
      <c r="EZ7" s="411"/>
      <c r="FA7" s="411"/>
      <c r="FB7" s="411"/>
      <c r="FC7" s="412"/>
    </row>
    <row r="8" spans="1:159" ht="24.75" customHeight="1" x14ac:dyDescent="0.25">
      <c r="A8" s="41"/>
      <c r="B8" s="40"/>
      <c r="C8" s="40"/>
      <c r="D8" s="40"/>
      <c r="E8" s="40"/>
      <c r="F8" s="40"/>
      <c r="G8" s="40"/>
      <c r="H8" s="40"/>
      <c r="I8" s="40"/>
      <c r="J8" s="40"/>
      <c r="K8" s="40"/>
      <c r="L8" s="40"/>
      <c r="M8" s="40"/>
      <c r="N8" s="40"/>
      <c r="O8" s="40"/>
      <c r="P8" s="40"/>
      <c r="Q8" s="40"/>
      <c r="R8" s="40"/>
      <c r="S8" s="40"/>
      <c r="T8" s="40"/>
      <c r="U8" s="235"/>
      <c r="V8" s="40"/>
      <c r="W8" s="40"/>
      <c r="X8" s="40"/>
      <c r="Y8" s="235"/>
      <c r="Z8" s="40"/>
      <c r="AA8" s="40"/>
      <c r="AB8" s="40"/>
      <c r="AC8" s="40"/>
      <c r="AD8" s="40"/>
      <c r="AE8" s="40"/>
      <c r="AF8" s="40"/>
      <c r="AG8" s="40"/>
      <c r="AH8" s="40"/>
      <c r="AI8" s="40"/>
      <c r="AJ8" s="40"/>
      <c r="AK8" s="40"/>
      <c r="AL8" s="40"/>
      <c r="AM8" s="40"/>
      <c r="AN8" s="40"/>
      <c r="AO8" s="40"/>
      <c r="AP8" s="236"/>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c r="EO8" s="40"/>
      <c r="EP8" s="40"/>
      <c r="EQ8" s="40"/>
      <c r="ER8" s="40"/>
      <c r="ES8" s="40"/>
      <c r="ET8" s="40"/>
      <c r="EU8" s="40"/>
      <c r="EV8" s="40"/>
      <c r="EW8" s="40"/>
      <c r="EX8" s="40"/>
      <c r="EY8" s="40"/>
      <c r="EZ8" s="40"/>
      <c r="FA8" s="40"/>
      <c r="FB8" s="40"/>
      <c r="FC8" s="40"/>
    </row>
    <row r="9" spans="1:159" s="2" customFormat="1" ht="46.5" customHeight="1" x14ac:dyDescent="0.2">
      <c r="A9" s="408" t="s">
        <v>70</v>
      </c>
      <c r="B9" s="408"/>
      <c r="C9" s="408"/>
      <c r="D9" s="408"/>
      <c r="E9" s="408"/>
      <c r="F9" s="408"/>
      <c r="G9" s="408"/>
      <c r="H9" s="408"/>
      <c r="I9" s="408"/>
      <c r="J9" s="408" t="s">
        <v>232</v>
      </c>
      <c r="K9" s="408"/>
      <c r="L9" s="408"/>
      <c r="M9" s="408"/>
      <c r="N9" s="408"/>
      <c r="O9" s="408"/>
      <c r="P9" s="408"/>
      <c r="Q9" s="408"/>
      <c r="R9" s="408"/>
      <c r="S9" s="408"/>
      <c r="T9" s="408"/>
      <c r="U9" s="408"/>
      <c r="V9" s="408"/>
      <c r="W9" s="408"/>
      <c r="X9" s="408"/>
      <c r="Y9" s="408"/>
      <c r="Z9" s="408"/>
      <c r="AA9" s="408"/>
      <c r="AB9" s="408"/>
      <c r="AC9" s="408"/>
      <c r="AD9" s="408"/>
      <c r="AE9" s="408"/>
      <c r="AF9" s="408"/>
      <c r="AG9" s="408"/>
      <c r="AH9" s="408"/>
      <c r="AI9" s="408"/>
      <c r="AJ9" s="408"/>
      <c r="AK9" s="408"/>
      <c r="AL9" s="408"/>
      <c r="AM9" s="408"/>
      <c r="AN9" s="408"/>
      <c r="AO9" s="408"/>
      <c r="AP9" s="408"/>
      <c r="AQ9" s="408"/>
      <c r="AR9" s="408"/>
      <c r="AS9" s="408"/>
      <c r="AT9" s="408"/>
      <c r="AU9" s="408"/>
      <c r="AV9" s="408"/>
      <c r="AW9" s="408"/>
      <c r="AX9" s="408"/>
      <c r="AY9" s="408"/>
      <c r="AZ9" s="408"/>
      <c r="BA9" s="408"/>
      <c r="BB9" s="408"/>
      <c r="BC9" s="408"/>
      <c r="BD9" s="408"/>
      <c r="BE9" s="408"/>
      <c r="BF9" s="408"/>
      <c r="BG9" s="408"/>
      <c r="BH9" s="408"/>
      <c r="BI9" s="408"/>
      <c r="BJ9" s="408"/>
      <c r="BK9" s="408"/>
      <c r="BL9" s="408"/>
      <c r="BM9" s="408"/>
      <c r="BN9" s="408"/>
      <c r="BO9" s="408"/>
      <c r="BP9" s="408"/>
      <c r="BQ9" s="408"/>
      <c r="BR9" s="408"/>
      <c r="BS9" s="408"/>
      <c r="BT9" s="408"/>
      <c r="BU9" s="408"/>
      <c r="BV9" s="408"/>
      <c r="BW9" s="408"/>
      <c r="BX9" s="408"/>
      <c r="BY9" s="408"/>
      <c r="BZ9" s="408"/>
      <c r="CA9" s="408"/>
      <c r="CB9" s="408"/>
      <c r="CC9" s="408"/>
      <c r="CD9" s="408"/>
      <c r="CE9" s="408"/>
      <c r="CF9" s="408"/>
      <c r="CG9" s="408"/>
      <c r="CH9" s="408"/>
      <c r="CI9" s="408"/>
      <c r="CJ9" s="408"/>
      <c r="CK9" s="408"/>
      <c r="CL9" s="408"/>
      <c r="CM9" s="408"/>
      <c r="CN9" s="408"/>
      <c r="CO9" s="408"/>
      <c r="CP9" s="408"/>
      <c r="CQ9" s="408"/>
      <c r="CR9" s="408"/>
      <c r="CS9" s="408"/>
      <c r="CT9" s="408"/>
      <c r="CU9" s="408"/>
      <c r="CV9" s="408"/>
      <c r="CW9" s="408"/>
      <c r="CX9" s="408"/>
      <c r="CY9" s="408"/>
      <c r="CZ9" s="408"/>
      <c r="DA9" s="408"/>
      <c r="DB9" s="408"/>
      <c r="DC9" s="408"/>
      <c r="DD9" s="408"/>
      <c r="DE9" s="408"/>
      <c r="DF9" s="408"/>
      <c r="DG9" s="408"/>
      <c r="DH9" s="408"/>
      <c r="DI9" s="408"/>
      <c r="DJ9" s="408"/>
      <c r="DK9" s="408"/>
      <c r="DL9" s="408"/>
      <c r="DM9" s="408"/>
      <c r="DN9" s="408"/>
      <c r="DO9" s="408"/>
      <c r="DP9" s="408"/>
      <c r="DQ9" s="408"/>
      <c r="DR9" s="408"/>
      <c r="DS9" s="408"/>
      <c r="DT9" s="408"/>
      <c r="DU9" s="408"/>
      <c r="DV9" s="408"/>
      <c r="DW9" s="408"/>
      <c r="DX9" s="408"/>
      <c r="DY9" s="408"/>
      <c r="DZ9" s="408"/>
      <c r="EA9" s="408"/>
      <c r="EB9" s="408"/>
      <c r="EC9" s="408"/>
      <c r="ED9" s="408"/>
      <c r="EE9" s="408"/>
      <c r="EF9" s="408"/>
      <c r="EG9" s="408"/>
      <c r="EH9" s="408"/>
      <c r="EI9" s="408"/>
      <c r="EJ9" s="408"/>
      <c r="EK9" s="408"/>
      <c r="EL9" s="408"/>
      <c r="EM9" s="408"/>
      <c r="EN9" s="408"/>
      <c r="EO9" s="408"/>
      <c r="EP9" s="408"/>
      <c r="EQ9" s="408"/>
      <c r="ER9" s="408"/>
      <c r="ES9" s="408"/>
      <c r="ET9" s="413" t="s">
        <v>224</v>
      </c>
      <c r="EU9" s="413" t="s">
        <v>225</v>
      </c>
      <c r="EV9" s="413" t="s">
        <v>226</v>
      </c>
      <c r="EW9" s="413" t="s">
        <v>286</v>
      </c>
      <c r="EX9" s="413" t="s">
        <v>250</v>
      </c>
      <c r="EY9" s="413" t="s">
        <v>251</v>
      </c>
      <c r="EZ9" s="413" t="s">
        <v>252</v>
      </c>
      <c r="FA9" s="413" t="s">
        <v>253</v>
      </c>
      <c r="FB9" s="413" t="s">
        <v>255</v>
      </c>
      <c r="FC9" s="413" t="s">
        <v>254</v>
      </c>
    </row>
    <row r="10" spans="1:159" s="2" customFormat="1" ht="46.5" customHeight="1" x14ac:dyDescent="0.2">
      <c r="A10" s="408" t="s">
        <v>80</v>
      </c>
      <c r="B10" s="408"/>
      <c r="C10" s="408"/>
      <c r="D10" s="408"/>
      <c r="E10" s="408"/>
      <c r="F10" s="408"/>
      <c r="G10" s="408"/>
      <c r="H10" s="408"/>
      <c r="I10" s="408"/>
      <c r="J10" s="421" t="s">
        <v>49</v>
      </c>
      <c r="K10" s="421"/>
      <c r="L10" s="421"/>
      <c r="M10" s="421"/>
      <c r="N10" s="421"/>
      <c r="O10" s="421"/>
      <c r="P10" s="421"/>
      <c r="Q10" s="421"/>
      <c r="R10" s="421"/>
      <c r="S10" s="421"/>
      <c r="T10" s="421"/>
      <c r="U10" s="421"/>
      <c r="V10" s="421"/>
      <c r="W10" s="421"/>
      <c r="X10" s="421"/>
      <c r="Y10" s="421"/>
      <c r="Z10" s="421"/>
      <c r="AA10" s="421"/>
      <c r="AB10" s="421"/>
      <c r="AC10" s="421"/>
      <c r="AD10" s="421" t="s">
        <v>50</v>
      </c>
      <c r="AE10" s="421"/>
      <c r="AF10" s="421"/>
      <c r="AG10" s="421"/>
      <c r="AH10" s="421"/>
      <c r="AI10" s="421"/>
      <c r="AJ10" s="421"/>
      <c r="AK10" s="421"/>
      <c r="AL10" s="421"/>
      <c r="AM10" s="421"/>
      <c r="AN10" s="421"/>
      <c r="AO10" s="421"/>
      <c r="AP10" s="421"/>
      <c r="AQ10" s="421"/>
      <c r="AR10" s="421"/>
      <c r="AS10" s="421"/>
      <c r="AT10" s="421"/>
      <c r="AU10" s="421"/>
      <c r="AV10" s="421"/>
      <c r="AW10" s="421"/>
      <c r="AX10" s="421"/>
      <c r="AY10" s="421"/>
      <c r="AZ10" s="421"/>
      <c r="BA10" s="421"/>
      <c r="BB10" s="421"/>
      <c r="BC10" s="421"/>
      <c r="BD10" s="421"/>
      <c r="BE10" s="421"/>
      <c r="BF10" s="421"/>
      <c r="BG10" s="421"/>
      <c r="BH10" s="421" t="s">
        <v>62</v>
      </c>
      <c r="BI10" s="421"/>
      <c r="BJ10" s="421"/>
      <c r="BK10" s="421"/>
      <c r="BL10" s="421"/>
      <c r="BM10" s="421"/>
      <c r="BN10" s="421"/>
      <c r="BO10" s="421"/>
      <c r="BP10" s="421"/>
      <c r="BQ10" s="421"/>
      <c r="BR10" s="421"/>
      <c r="BS10" s="421"/>
      <c r="BT10" s="421"/>
      <c r="BU10" s="421"/>
      <c r="BV10" s="421"/>
      <c r="BW10" s="421"/>
      <c r="BX10" s="421"/>
      <c r="BY10" s="421"/>
      <c r="BZ10" s="421"/>
      <c r="CA10" s="421"/>
      <c r="CB10" s="421"/>
      <c r="CC10" s="421"/>
      <c r="CD10" s="421"/>
      <c r="CE10" s="421"/>
      <c r="CF10" s="421"/>
      <c r="CG10" s="421"/>
      <c r="CH10" s="421"/>
      <c r="CI10" s="421"/>
      <c r="CJ10" s="421"/>
      <c r="CK10" s="421"/>
      <c r="CL10" s="421" t="s">
        <v>63</v>
      </c>
      <c r="CM10" s="421"/>
      <c r="CN10" s="421"/>
      <c r="CO10" s="421"/>
      <c r="CP10" s="421"/>
      <c r="CQ10" s="421"/>
      <c r="CR10" s="421"/>
      <c r="CS10" s="421"/>
      <c r="CT10" s="421"/>
      <c r="CU10" s="421"/>
      <c r="CV10" s="421"/>
      <c r="CW10" s="421"/>
      <c r="CX10" s="421"/>
      <c r="CY10" s="421"/>
      <c r="CZ10" s="421"/>
      <c r="DA10" s="421"/>
      <c r="DB10" s="421"/>
      <c r="DC10" s="421"/>
      <c r="DD10" s="421"/>
      <c r="DE10" s="421"/>
      <c r="DF10" s="421"/>
      <c r="DG10" s="421"/>
      <c r="DH10" s="421"/>
      <c r="DI10" s="421"/>
      <c r="DJ10" s="421"/>
      <c r="DK10" s="421"/>
      <c r="DL10" s="421"/>
      <c r="DM10" s="421"/>
      <c r="DN10" s="421"/>
      <c r="DO10" s="421"/>
      <c r="DP10" s="421" t="s">
        <v>64</v>
      </c>
      <c r="DQ10" s="421"/>
      <c r="DR10" s="421"/>
      <c r="DS10" s="421"/>
      <c r="DT10" s="421"/>
      <c r="DU10" s="421"/>
      <c r="DV10" s="421"/>
      <c r="DW10" s="421"/>
      <c r="DX10" s="421"/>
      <c r="DY10" s="421"/>
      <c r="DZ10" s="421"/>
      <c r="EA10" s="421"/>
      <c r="EB10" s="421"/>
      <c r="EC10" s="421"/>
      <c r="ED10" s="421"/>
      <c r="EE10" s="421"/>
      <c r="EF10" s="421"/>
      <c r="EG10" s="421"/>
      <c r="EH10" s="421"/>
      <c r="EI10" s="421"/>
      <c r="EJ10" s="421"/>
      <c r="EK10" s="421"/>
      <c r="EL10" s="421"/>
      <c r="EM10" s="421"/>
      <c r="EN10" s="421"/>
      <c r="EO10" s="421"/>
      <c r="EP10" s="421"/>
      <c r="EQ10" s="421"/>
      <c r="ER10" s="421"/>
      <c r="ES10" s="421"/>
      <c r="ET10" s="413"/>
      <c r="EU10" s="413"/>
      <c r="EV10" s="413"/>
      <c r="EW10" s="413"/>
      <c r="EX10" s="413"/>
      <c r="EY10" s="413"/>
      <c r="EZ10" s="413"/>
      <c r="FA10" s="413"/>
      <c r="FB10" s="413"/>
      <c r="FC10" s="413"/>
    </row>
    <row r="11" spans="1:159" s="2" customFormat="1" ht="78.75" customHeight="1" x14ac:dyDescent="0.2">
      <c r="A11" s="230" t="s">
        <v>71</v>
      </c>
      <c r="B11" s="230" t="s">
        <v>72</v>
      </c>
      <c r="C11" s="230" t="s">
        <v>73</v>
      </c>
      <c r="D11" s="230" t="s">
        <v>74</v>
      </c>
      <c r="E11" s="230" t="s">
        <v>75</v>
      </c>
      <c r="F11" s="230" t="s">
        <v>76</v>
      </c>
      <c r="G11" s="230" t="s">
        <v>77</v>
      </c>
      <c r="H11" s="230" t="s">
        <v>78</v>
      </c>
      <c r="I11" s="231" t="s">
        <v>79</v>
      </c>
      <c r="J11" s="231" t="s">
        <v>241</v>
      </c>
      <c r="K11" s="237" t="s">
        <v>213</v>
      </c>
      <c r="L11" s="230" t="s">
        <v>222</v>
      </c>
      <c r="M11" s="237" t="s">
        <v>214</v>
      </c>
      <c r="N11" s="230" t="s">
        <v>58</v>
      </c>
      <c r="O11" s="237" t="s">
        <v>215</v>
      </c>
      <c r="P11" s="230" t="s">
        <v>59</v>
      </c>
      <c r="Q11" s="237" t="s">
        <v>216</v>
      </c>
      <c r="R11" s="230" t="s">
        <v>60</v>
      </c>
      <c r="S11" s="237" t="s">
        <v>217</v>
      </c>
      <c r="T11" s="230" t="s">
        <v>61</v>
      </c>
      <c r="U11" s="237" t="s">
        <v>218</v>
      </c>
      <c r="V11" s="230" t="s">
        <v>51</v>
      </c>
      <c r="W11" s="237" t="s">
        <v>219</v>
      </c>
      <c r="X11" s="230" t="s">
        <v>223</v>
      </c>
      <c r="Y11" s="229" t="s">
        <v>221</v>
      </c>
      <c r="Z11" s="238" t="s">
        <v>256</v>
      </c>
      <c r="AA11" s="228" t="s">
        <v>257</v>
      </c>
      <c r="AB11" s="239" t="s">
        <v>258</v>
      </c>
      <c r="AC11" s="228" t="s">
        <v>259</v>
      </c>
      <c r="AD11" s="231" t="s">
        <v>241</v>
      </c>
      <c r="AE11" s="237" t="s">
        <v>208</v>
      </c>
      <c r="AF11" s="230" t="s">
        <v>52</v>
      </c>
      <c r="AG11" s="237" t="s">
        <v>209</v>
      </c>
      <c r="AH11" s="230" t="s">
        <v>53</v>
      </c>
      <c r="AI11" s="237" t="s">
        <v>210</v>
      </c>
      <c r="AJ11" s="230" t="s">
        <v>54</v>
      </c>
      <c r="AK11" s="237" t="s">
        <v>211</v>
      </c>
      <c r="AL11" s="230" t="s">
        <v>55</v>
      </c>
      <c r="AM11" s="237" t="s">
        <v>212</v>
      </c>
      <c r="AN11" s="230" t="s">
        <v>57</v>
      </c>
      <c r="AO11" s="237" t="s">
        <v>213</v>
      </c>
      <c r="AP11" s="230" t="s">
        <v>222</v>
      </c>
      <c r="AQ11" s="237" t="s">
        <v>214</v>
      </c>
      <c r="AR11" s="230" t="s">
        <v>58</v>
      </c>
      <c r="AS11" s="237" t="s">
        <v>215</v>
      </c>
      <c r="AT11" s="230" t="s">
        <v>59</v>
      </c>
      <c r="AU11" s="237" t="s">
        <v>216</v>
      </c>
      <c r="AV11" s="230" t="s">
        <v>60</v>
      </c>
      <c r="AW11" s="237" t="s">
        <v>217</v>
      </c>
      <c r="AX11" s="230" t="s">
        <v>61</v>
      </c>
      <c r="AY11" s="237" t="s">
        <v>218</v>
      </c>
      <c r="AZ11" s="230" t="s">
        <v>51</v>
      </c>
      <c r="BA11" s="237" t="s">
        <v>219</v>
      </c>
      <c r="BB11" s="230" t="s">
        <v>223</v>
      </c>
      <c r="BC11" s="229" t="s">
        <v>221</v>
      </c>
      <c r="BD11" s="238" t="s">
        <v>248</v>
      </c>
      <c r="BE11" s="228" t="s">
        <v>247</v>
      </c>
      <c r="BF11" s="239" t="s">
        <v>246</v>
      </c>
      <c r="BG11" s="228" t="s">
        <v>245</v>
      </c>
      <c r="BH11" s="231" t="s">
        <v>241</v>
      </c>
      <c r="BI11" s="237" t="s">
        <v>208</v>
      </c>
      <c r="BJ11" s="230" t="s">
        <v>52</v>
      </c>
      <c r="BK11" s="237" t="s">
        <v>209</v>
      </c>
      <c r="BL11" s="230" t="s">
        <v>53</v>
      </c>
      <c r="BM11" s="237" t="s">
        <v>210</v>
      </c>
      <c r="BN11" s="230" t="s">
        <v>54</v>
      </c>
      <c r="BO11" s="237" t="s">
        <v>211</v>
      </c>
      <c r="BP11" s="230" t="s">
        <v>55</v>
      </c>
      <c r="BQ11" s="237" t="s">
        <v>212</v>
      </c>
      <c r="BR11" s="230" t="s">
        <v>57</v>
      </c>
      <c r="BS11" s="237" t="s">
        <v>213</v>
      </c>
      <c r="BT11" s="230" t="s">
        <v>222</v>
      </c>
      <c r="BU11" s="237" t="s">
        <v>214</v>
      </c>
      <c r="BV11" s="230" t="s">
        <v>58</v>
      </c>
      <c r="BW11" s="237" t="s">
        <v>215</v>
      </c>
      <c r="BX11" s="230" t="s">
        <v>59</v>
      </c>
      <c r="BY11" s="237" t="s">
        <v>216</v>
      </c>
      <c r="BZ11" s="230" t="s">
        <v>60</v>
      </c>
      <c r="CA11" s="237" t="s">
        <v>217</v>
      </c>
      <c r="CB11" s="230" t="s">
        <v>61</v>
      </c>
      <c r="CC11" s="237" t="s">
        <v>218</v>
      </c>
      <c r="CD11" s="230" t="s">
        <v>51</v>
      </c>
      <c r="CE11" s="237" t="s">
        <v>219</v>
      </c>
      <c r="CF11" s="230" t="s">
        <v>223</v>
      </c>
      <c r="CG11" s="229" t="s">
        <v>221</v>
      </c>
      <c r="CH11" s="239" t="s">
        <v>227</v>
      </c>
      <c r="CI11" s="228" t="s">
        <v>228</v>
      </c>
      <c r="CJ11" s="239" t="s">
        <v>229</v>
      </c>
      <c r="CK11" s="228" t="s">
        <v>230</v>
      </c>
      <c r="CL11" s="231" t="s">
        <v>241</v>
      </c>
      <c r="CM11" s="237" t="s">
        <v>208</v>
      </c>
      <c r="CN11" s="230" t="s">
        <v>52</v>
      </c>
      <c r="CO11" s="237" t="s">
        <v>209</v>
      </c>
      <c r="CP11" s="230" t="s">
        <v>53</v>
      </c>
      <c r="CQ11" s="237" t="s">
        <v>210</v>
      </c>
      <c r="CR11" s="230" t="s">
        <v>54</v>
      </c>
      <c r="CS11" s="237" t="s">
        <v>211</v>
      </c>
      <c r="CT11" s="230" t="s">
        <v>55</v>
      </c>
      <c r="CU11" s="237" t="s">
        <v>212</v>
      </c>
      <c r="CV11" s="230" t="s">
        <v>57</v>
      </c>
      <c r="CW11" s="237" t="s">
        <v>213</v>
      </c>
      <c r="CX11" s="230" t="s">
        <v>222</v>
      </c>
      <c r="CY11" s="237" t="s">
        <v>214</v>
      </c>
      <c r="CZ11" s="230" t="s">
        <v>58</v>
      </c>
      <c r="DA11" s="237" t="s">
        <v>215</v>
      </c>
      <c r="DB11" s="230" t="s">
        <v>59</v>
      </c>
      <c r="DC11" s="237" t="s">
        <v>216</v>
      </c>
      <c r="DD11" s="230" t="s">
        <v>60</v>
      </c>
      <c r="DE11" s="237" t="s">
        <v>217</v>
      </c>
      <c r="DF11" s="230" t="s">
        <v>61</v>
      </c>
      <c r="DG11" s="237" t="s">
        <v>218</v>
      </c>
      <c r="DH11" s="230" t="s">
        <v>51</v>
      </c>
      <c r="DI11" s="237" t="s">
        <v>219</v>
      </c>
      <c r="DJ11" s="230" t="s">
        <v>223</v>
      </c>
      <c r="DK11" s="229" t="s">
        <v>221</v>
      </c>
      <c r="DL11" s="238" t="s">
        <v>233</v>
      </c>
      <c r="DM11" s="228" t="s">
        <v>234</v>
      </c>
      <c r="DN11" s="238" t="s">
        <v>235</v>
      </c>
      <c r="DO11" s="228" t="s">
        <v>236</v>
      </c>
      <c r="DP11" s="231" t="s">
        <v>241</v>
      </c>
      <c r="DQ11" s="237" t="s">
        <v>208</v>
      </c>
      <c r="DR11" s="230" t="s">
        <v>52</v>
      </c>
      <c r="DS11" s="237" t="s">
        <v>209</v>
      </c>
      <c r="DT11" s="230" t="s">
        <v>53</v>
      </c>
      <c r="DU11" s="237" t="s">
        <v>210</v>
      </c>
      <c r="DV11" s="230" t="s">
        <v>54</v>
      </c>
      <c r="DW11" s="237" t="s">
        <v>211</v>
      </c>
      <c r="DX11" s="230" t="s">
        <v>55</v>
      </c>
      <c r="DY11" s="237" t="s">
        <v>212</v>
      </c>
      <c r="DZ11" s="230" t="s">
        <v>57</v>
      </c>
      <c r="EA11" s="237" t="s">
        <v>213</v>
      </c>
      <c r="EB11" s="230" t="s">
        <v>222</v>
      </c>
      <c r="EC11" s="237" t="s">
        <v>214</v>
      </c>
      <c r="ED11" s="230" t="s">
        <v>58</v>
      </c>
      <c r="EE11" s="237" t="s">
        <v>215</v>
      </c>
      <c r="EF11" s="230" t="s">
        <v>59</v>
      </c>
      <c r="EG11" s="237" t="s">
        <v>216</v>
      </c>
      <c r="EH11" s="230" t="s">
        <v>60</v>
      </c>
      <c r="EI11" s="237" t="s">
        <v>217</v>
      </c>
      <c r="EJ11" s="230" t="s">
        <v>61</v>
      </c>
      <c r="EK11" s="237" t="s">
        <v>218</v>
      </c>
      <c r="EL11" s="230" t="s">
        <v>51</v>
      </c>
      <c r="EM11" s="237" t="s">
        <v>219</v>
      </c>
      <c r="EN11" s="230" t="s">
        <v>223</v>
      </c>
      <c r="EO11" s="229" t="s">
        <v>221</v>
      </c>
      <c r="EP11" s="238" t="s">
        <v>237</v>
      </c>
      <c r="EQ11" s="228" t="s">
        <v>238</v>
      </c>
      <c r="ER11" s="238" t="s">
        <v>239</v>
      </c>
      <c r="ES11" s="228" t="s">
        <v>240</v>
      </c>
      <c r="ET11" s="413"/>
      <c r="EU11" s="413"/>
      <c r="EV11" s="413"/>
      <c r="EW11" s="413"/>
      <c r="EX11" s="413"/>
      <c r="EY11" s="413"/>
      <c r="EZ11" s="413"/>
      <c r="FA11" s="413"/>
      <c r="FB11" s="413"/>
      <c r="FC11" s="413"/>
    </row>
    <row r="12" spans="1:159" s="117" customFormat="1" ht="147" customHeight="1" x14ac:dyDescent="0.25">
      <c r="A12" s="107">
        <v>2</v>
      </c>
      <c r="B12" s="107">
        <v>35</v>
      </c>
      <c r="C12" s="59">
        <v>268</v>
      </c>
      <c r="D12" s="274" t="s">
        <v>270</v>
      </c>
      <c r="E12" s="59">
        <v>285</v>
      </c>
      <c r="F12" s="264" t="s">
        <v>271</v>
      </c>
      <c r="G12" s="59" t="s">
        <v>272</v>
      </c>
      <c r="H12" s="59" t="s">
        <v>273</v>
      </c>
      <c r="I12" s="108">
        <f>+AC12+BC12+BH12+CL12+DP12</f>
        <v>4000</v>
      </c>
      <c r="J12" s="108">
        <v>234</v>
      </c>
      <c r="K12" s="108"/>
      <c r="L12" s="108"/>
      <c r="M12" s="108"/>
      <c r="N12" s="108"/>
      <c r="O12" s="108"/>
      <c r="P12" s="108"/>
      <c r="Q12" s="108"/>
      <c r="R12" s="108"/>
      <c r="S12" s="108"/>
      <c r="T12" s="108"/>
      <c r="U12" s="108"/>
      <c r="V12" s="108"/>
      <c r="W12" s="108">
        <f>234</f>
        <v>234</v>
      </c>
      <c r="X12" s="108">
        <v>195</v>
      </c>
      <c r="Y12" s="137">
        <v>234</v>
      </c>
      <c r="Z12" s="122">
        <v>234</v>
      </c>
      <c r="AA12" s="122">
        <v>195</v>
      </c>
      <c r="AB12" s="122">
        <v>195</v>
      </c>
      <c r="AC12" s="122">
        <v>195</v>
      </c>
      <c r="AD12" s="108">
        <v>798</v>
      </c>
      <c r="AE12" s="108">
        <v>37</v>
      </c>
      <c r="AF12" s="113">
        <v>38</v>
      </c>
      <c r="AG12" s="112">
        <v>65</v>
      </c>
      <c r="AH12" s="113">
        <v>10</v>
      </c>
      <c r="AI12" s="108">
        <v>69</v>
      </c>
      <c r="AJ12" s="113">
        <v>33</v>
      </c>
      <c r="AK12" s="108">
        <v>72</v>
      </c>
      <c r="AL12" s="113">
        <v>44</v>
      </c>
      <c r="AM12" s="108">
        <v>72</v>
      </c>
      <c r="AN12" s="59">
        <v>58</v>
      </c>
      <c r="AO12" s="108">
        <v>104</v>
      </c>
      <c r="AP12" s="59">
        <v>93</v>
      </c>
      <c r="AQ12" s="108">
        <v>62</v>
      </c>
      <c r="AR12" s="113">
        <v>229</v>
      </c>
      <c r="AS12" s="108">
        <v>72</v>
      </c>
      <c r="AT12" s="108">
        <v>110</v>
      </c>
      <c r="AU12" s="108">
        <v>71</v>
      </c>
      <c r="AV12" s="108">
        <v>54</v>
      </c>
      <c r="AW12" s="108">
        <v>70</v>
      </c>
      <c r="AX12" s="108"/>
      <c r="AY12" s="108">
        <v>65</v>
      </c>
      <c r="AZ12" s="108"/>
      <c r="BA12" s="108">
        <v>39</v>
      </c>
      <c r="BB12" s="114"/>
      <c r="BC12" s="138">
        <f>BA12+AY12+AW12+AU12+AS12+AQ12+AO12+AM12+AK12+AI12+AG12+AE12</f>
        <v>798</v>
      </c>
      <c r="BD12" s="138">
        <f>+AE12+AG12+AI12+AK12+AM12+AO12+AQ12+AS12+AU12</f>
        <v>624</v>
      </c>
      <c r="BE12" s="138">
        <f>+AF12+AH12+AJ12+AL12+AN12+AP12+AR12+AT12+AV12</f>
        <v>669</v>
      </c>
      <c r="BF12" s="138">
        <f>BA12+AY12+AW12+AU12+AS12+AQ12+AO12+AM12+AK12+AI12+AG12+AE12</f>
        <v>798</v>
      </c>
      <c r="BG12" s="138">
        <f>AF12+AH12+AJ12+AL12+AN12+AP12+AR12+AT12+AV12</f>
        <v>669</v>
      </c>
      <c r="BH12" s="108">
        <v>1097</v>
      </c>
      <c r="BI12" s="108"/>
      <c r="BJ12" s="108"/>
      <c r="BK12" s="108"/>
      <c r="BL12" s="108"/>
      <c r="BM12" s="108"/>
      <c r="BN12" s="108"/>
      <c r="BO12" s="108"/>
      <c r="BP12" s="108"/>
      <c r="BQ12" s="108"/>
      <c r="BR12" s="108"/>
      <c r="BS12" s="108"/>
      <c r="BT12" s="108"/>
      <c r="BU12" s="108"/>
      <c r="BV12" s="108"/>
      <c r="BW12" s="108"/>
      <c r="BX12" s="108"/>
      <c r="BY12" s="108"/>
      <c r="BZ12" s="108"/>
      <c r="CA12" s="108"/>
      <c r="CB12" s="108"/>
      <c r="CC12" s="108"/>
      <c r="CD12" s="108"/>
      <c r="CE12" s="108"/>
      <c r="CF12" s="108"/>
      <c r="CG12" s="108"/>
      <c r="CH12" s="108"/>
      <c r="CI12" s="108"/>
      <c r="CJ12" s="108"/>
      <c r="CK12" s="108"/>
      <c r="CL12" s="108">
        <v>1428</v>
      </c>
      <c r="CM12" s="108"/>
      <c r="CN12" s="108"/>
      <c r="CO12" s="108"/>
      <c r="CP12" s="108"/>
      <c r="CQ12" s="108"/>
      <c r="CR12" s="108"/>
      <c r="CS12" s="108"/>
      <c r="CT12" s="108"/>
      <c r="CU12" s="108"/>
      <c r="CV12" s="108"/>
      <c r="CW12" s="108"/>
      <c r="CX12" s="108"/>
      <c r="CY12" s="108"/>
      <c r="CZ12" s="108"/>
      <c r="DA12" s="108"/>
      <c r="DB12" s="108"/>
      <c r="DC12" s="108"/>
      <c r="DD12" s="108"/>
      <c r="DE12" s="108"/>
      <c r="DF12" s="108"/>
      <c r="DG12" s="108"/>
      <c r="DH12" s="108"/>
      <c r="DI12" s="108"/>
      <c r="DJ12" s="108"/>
      <c r="DK12" s="108"/>
      <c r="DL12" s="108"/>
      <c r="DM12" s="108"/>
      <c r="DN12" s="108"/>
      <c r="DO12" s="108"/>
      <c r="DP12" s="108">
        <v>482</v>
      </c>
      <c r="DQ12" s="76"/>
      <c r="DR12" s="76"/>
      <c r="DS12" s="76"/>
      <c r="DT12" s="76"/>
      <c r="DU12" s="76"/>
      <c r="DV12" s="76"/>
      <c r="DW12" s="76"/>
      <c r="DX12" s="76"/>
      <c r="DY12" s="76"/>
      <c r="DZ12" s="76"/>
      <c r="EA12" s="76"/>
      <c r="EB12" s="76"/>
      <c r="EC12" s="76"/>
      <c r="ED12" s="76"/>
      <c r="EE12" s="76"/>
      <c r="EF12" s="76"/>
      <c r="EG12" s="76"/>
      <c r="EH12" s="76"/>
      <c r="EI12" s="76"/>
      <c r="EJ12" s="76"/>
      <c r="EK12" s="76"/>
      <c r="EL12" s="76"/>
      <c r="EM12" s="76"/>
      <c r="EN12" s="76"/>
      <c r="EO12" s="76"/>
      <c r="EP12" s="76"/>
      <c r="EQ12" s="76"/>
      <c r="ER12" s="76"/>
      <c r="ES12" s="76"/>
      <c r="ET12" s="120">
        <f>+AV12/AU12</f>
        <v>0.76056338028169013</v>
      </c>
      <c r="EU12" s="120">
        <f>+BE12/BD12</f>
        <v>1.0721153846153846</v>
      </c>
      <c r="EV12" s="180">
        <f>+BG12/BF12</f>
        <v>0.83834586466165417</v>
      </c>
      <c r="EW12" s="141">
        <f>+(AC12+BE12)/(AB12+BD12)</f>
        <v>1.054945054945055</v>
      </c>
      <c r="EX12" s="141">
        <f>+(AC12+BG12)/I12</f>
        <v>0.216</v>
      </c>
      <c r="EY12" s="271" t="s">
        <v>548</v>
      </c>
      <c r="EZ12" s="264" t="s">
        <v>549</v>
      </c>
      <c r="FA12" s="264" t="s">
        <v>550</v>
      </c>
      <c r="FB12" s="272" t="s">
        <v>376</v>
      </c>
      <c r="FC12" s="272" t="s">
        <v>377</v>
      </c>
    </row>
    <row r="13" spans="1:159" s="117" customFormat="1" ht="125.25" customHeight="1" x14ac:dyDescent="0.25">
      <c r="A13" s="59">
        <v>2</v>
      </c>
      <c r="B13" s="59">
        <v>35</v>
      </c>
      <c r="C13" s="59">
        <v>269</v>
      </c>
      <c r="D13" s="274" t="s">
        <v>274</v>
      </c>
      <c r="E13" s="59">
        <v>286</v>
      </c>
      <c r="F13" s="264" t="s">
        <v>271</v>
      </c>
      <c r="G13" s="59" t="s">
        <v>272</v>
      </c>
      <c r="H13" s="59" t="s">
        <v>273</v>
      </c>
      <c r="I13" s="108">
        <f>+AC13+BC13+BH13+CL13+DP13</f>
        <v>4700</v>
      </c>
      <c r="J13" s="108">
        <v>426</v>
      </c>
      <c r="K13" s="108"/>
      <c r="L13" s="108"/>
      <c r="M13" s="108"/>
      <c r="N13" s="108"/>
      <c r="O13" s="108"/>
      <c r="P13" s="108"/>
      <c r="Q13" s="108"/>
      <c r="R13" s="108"/>
      <c r="S13" s="108"/>
      <c r="T13" s="108"/>
      <c r="U13" s="108"/>
      <c r="V13" s="108"/>
      <c r="W13" s="108">
        <f>426+65</f>
        <v>491</v>
      </c>
      <c r="X13" s="108">
        <v>491</v>
      </c>
      <c r="Y13" s="137">
        <v>491</v>
      </c>
      <c r="Z13" s="122">
        <v>491</v>
      </c>
      <c r="AA13" s="122">
        <v>491</v>
      </c>
      <c r="AB13" s="122">
        <v>491</v>
      </c>
      <c r="AC13" s="122">
        <v>491</v>
      </c>
      <c r="AD13" s="108">
        <v>893</v>
      </c>
      <c r="AE13" s="108">
        <v>15</v>
      </c>
      <c r="AF13" s="113">
        <v>36</v>
      </c>
      <c r="AG13" s="112">
        <v>18</v>
      </c>
      <c r="AH13" s="113">
        <v>16</v>
      </c>
      <c r="AI13" s="108">
        <v>90</v>
      </c>
      <c r="AJ13" s="113">
        <v>104</v>
      </c>
      <c r="AK13" s="108">
        <v>97</v>
      </c>
      <c r="AL13" s="113">
        <v>116</v>
      </c>
      <c r="AM13" s="108">
        <v>97</v>
      </c>
      <c r="AN13" s="59">
        <v>76</v>
      </c>
      <c r="AO13" s="108">
        <v>97</v>
      </c>
      <c r="AP13" s="59">
        <v>115</v>
      </c>
      <c r="AQ13" s="108">
        <v>97</v>
      </c>
      <c r="AR13" s="113">
        <v>96</v>
      </c>
      <c r="AS13" s="108">
        <v>97</v>
      </c>
      <c r="AT13" s="108">
        <v>102</v>
      </c>
      <c r="AU13" s="108">
        <v>97</v>
      </c>
      <c r="AV13" s="108">
        <v>96</v>
      </c>
      <c r="AW13" s="108">
        <v>97</v>
      </c>
      <c r="AX13" s="108"/>
      <c r="AY13" s="108">
        <v>91</v>
      </c>
      <c r="AZ13" s="108"/>
      <c r="BA13" s="108">
        <v>0</v>
      </c>
      <c r="BB13" s="114"/>
      <c r="BC13" s="138">
        <f>BA13+AY13+AW13+AU13+AS13+AQ13+AO13+AM13+AK13+AI13+AG13+AE13</f>
        <v>893</v>
      </c>
      <c r="BD13" s="138">
        <f>+AE13+AG13+AI13+AK13+AM13+AO13+AQ13+AS13+AU13</f>
        <v>705</v>
      </c>
      <c r="BE13" s="138">
        <f>+AF13+AH13+AJ13+AL13+AN13+AP13+AR13+AT13+AV13</f>
        <v>757</v>
      </c>
      <c r="BF13" s="138">
        <f>BA13+AY13+AW13+AU13+AS13+AQ13+AO13+AM13+AK13+AI13+AG13+AE13</f>
        <v>893</v>
      </c>
      <c r="BG13" s="138">
        <f>AF13+AH13+AJ13+AL13+AN13+AP13+AR13+AT13+AV13</f>
        <v>757</v>
      </c>
      <c r="BH13" s="108">
        <v>1272</v>
      </c>
      <c r="BI13" s="108"/>
      <c r="BJ13" s="108"/>
      <c r="BK13" s="108"/>
      <c r="BL13" s="108"/>
      <c r="BM13" s="108"/>
      <c r="BN13" s="108"/>
      <c r="BO13" s="108"/>
      <c r="BP13" s="108"/>
      <c r="BQ13" s="108"/>
      <c r="BR13" s="108"/>
      <c r="BS13" s="108"/>
      <c r="BT13" s="108"/>
      <c r="BU13" s="108"/>
      <c r="BV13" s="108"/>
      <c r="BW13" s="108"/>
      <c r="BX13" s="108"/>
      <c r="BY13" s="108"/>
      <c r="BZ13" s="108"/>
      <c r="CA13" s="108"/>
      <c r="CB13" s="108"/>
      <c r="CC13" s="108"/>
      <c r="CD13" s="108"/>
      <c r="CE13" s="108"/>
      <c r="CF13" s="108"/>
      <c r="CG13" s="108"/>
      <c r="CH13" s="108"/>
      <c r="CI13" s="108"/>
      <c r="CJ13" s="108"/>
      <c r="CK13" s="108"/>
      <c r="CL13" s="108">
        <v>1589</v>
      </c>
      <c r="CM13" s="108"/>
      <c r="CN13" s="108"/>
      <c r="CO13" s="108"/>
      <c r="CP13" s="108"/>
      <c r="CQ13" s="108"/>
      <c r="CR13" s="108"/>
      <c r="CS13" s="108"/>
      <c r="CT13" s="108"/>
      <c r="CU13" s="108"/>
      <c r="CV13" s="108"/>
      <c r="CW13" s="108"/>
      <c r="CX13" s="108"/>
      <c r="CY13" s="108"/>
      <c r="CZ13" s="108"/>
      <c r="DA13" s="108"/>
      <c r="DB13" s="108"/>
      <c r="DC13" s="108"/>
      <c r="DD13" s="108"/>
      <c r="DE13" s="108"/>
      <c r="DF13" s="108"/>
      <c r="DG13" s="108"/>
      <c r="DH13" s="108"/>
      <c r="DI13" s="108"/>
      <c r="DJ13" s="108"/>
      <c r="DK13" s="108"/>
      <c r="DL13" s="108"/>
      <c r="DM13" s="108"/>
      <c r="DN13" s="108"/>
      <c r="DO13" s="108"/>
      <c r="DP13" s="108">
        <v>455</v>
      </c>
      <c r="DQ13" s="76"/>
      <c r="DR13" s="76"/>
      <c r="DS13" s="76"/>
      <c r="DT13" s="76"/>
      <c r="DU13" s="76"/>
      <c r="DV13" s="76"/>
      <c r="DW13" s="76"/>
      <c r="DX13" s="76"/>
      <c r="DY13" s="76"/>
      <c r="DZ13" s="76"/>
      <c r="EA13" s="76"/>
      <c r="EB13" s="76"/>
      <c r="EC13" s="76"/>
      <c r="ED13" s="76"/>
      <c r="EE13" s="76"/>
      <c r="EF13" s="76"/>
      <c r="EG13" s="76"/>
      <c r="EH13" s="76"/>
      <c r="EI13" s="76"/>
      <c r="EJ13" s="76"/>
      <c r="EK13" s="76"/>
      <c r="EL13" s="76"/>
      <c r="EM13" s="76"/>
      <c r="EN13" s="76"/>
      <c r="EO13" s="76"/>
      <c r="EP13" s="76"/>
      <c r="EQ13" s="76"/>
      <c r="ER13" s="76"/>
      <c r="ES13" s="76"/>
      <c r="ET13" s="120">
        <f>+AV13/AU13</f>
        <v>0.98969072164948457</v>
      </c>
      <c r="EU13" s="120">
        <f>+BE13/BD13</f>
        <v>1.0737588652482271</v>
      </c>
      <c r="EV13" s="180">
        <f>+BG13/BF13</f>
        <v>0.84770436730123178</v>
      </c>
      <c r="EW13" s="141">
        <f>+(AC13+BE13)/(AB13+BD13)</f>
        <v>1.0434782608695652</v>
      </c>
      <c r="EX13" s="141">
        <f>+(AC13+BG13)/I13</f>
        <v>0.26553191489361699</v>
      </c>
      <c r="EY13" s="271" t="s">
        <v>597</v>
      </c>
      <c r="EZ13" s="264" t="s">
        <v>367</v>
      </c>
      <c r="FA13" s="264" t="s">
        <v>367</v>
      </c>
      <c r="FB13" s="264" t="s">
        <v>379</v>
      </c>
      <c r="FC13" s="264" t="s">
        <v>380</v>
      </c>
    </row>
    <row r="14" spans="1:159" s="117" customFormat="1" ht="125.25" customHeight="1" x14ac:dyDescent="0.25">
      <c r="A14" s="107">
        <v>2</v>
      </c>
      <c r="B14" s="107">
        <v>35</v>
      </c>
      <c r="C14" s="59">
        <v>270</v>
      </c>
      <c r="D14" s="274" t="s">
        <v>275</v>
      </c>
      <c r="E14" s="59">
        <v>287</v>
      </c>
      <c r="F14" s="264" t="s">
        <v>276</v>
      </c>
      <c r="G14" s="59" t="s">
        <v>277</v>
      </c>
      <c r="H14" s="59" t="s">
        <v>278</v>
      </c>
      <c r="I14" s="109">
        <f>+J14</f>
        <v>1</v>
      </c>
      <c r="J14" s="109">
        <v>1</v>
      </c>
      <c r="K14" s="109"/>
      <c r="L14" s="109"/>
      <c r="M14" s="109"/>
      <c r="N14" s="109"/>
      <c r="O14" s="109"/>
      <c r="P14" s="109"/>
      <c r="Q14" s="109"/>
      <c r="R14" s="109"/>
      <c r="S14" s="109"/>
      <c r="T14" s="109"/>
      <c r="U14" s="109"/>
      <c r="V14" s="109"/>
      <c r="W14" s="109">
        <v>1</v>
      </c>
      <c r="X14" s="109">
        <v>1</v>
      </c>
      <c r="Y14" s="115">
        <v>1</v>
      </c>
      <c r="Z14" s="115">
        <v>1</v>
      </c>
      <c r="AA14" s="115">
        <v>1</v>
      </c>
      <c r="AB14" s="115">
        <v>1</v>
      </c>
      <c r="AC14" s="115">
        <v>1</v>
      </c>
      <c r="AD14" s="109">
        <v>1</v>
      </c>
      <c r="AE14" s="109">
        <v>1</v>
      </c>
      <c r="AF14" s="109">
        <v>1</v>
      </c>
      <c r="AG14" s="109">
        <v>1</v>
      </c>
      <c r="AH14" s="109">
        <v>1</v>
      </c>
      <c r="AI14" s="109">
        <v>1</v>
      </c>
      <c r="AJ14" s="109">
        <v>1</v>
      </c>
      <c r="AK14" s="109">
        <v>1</v>
      </c>
      <c r="AL14" s="109">
        <v>1</v>
      </c>
      <c r="AM14" s="109">
        <v>1</v>
      </c>
      <c r="AN14" s="120">
        <v>1</v>
      </c>
      <c r="AO14" s="109">
        <v>1</v>
      </c>
      <c r="AP14" s="120">
        <v>1</v>
      </c>
      <c r="AQ14" s="109">
        <v>1</v>
      </c>
      <c r="AR14" s="233">
        <v>1</v>
      </c>
      <c r="AS14" s="109">
        <v>1</v>
      </c>
      <c r="AT14" s="233">
        <v>1</v>
      </c>
      <c r="AU14" s="109">
        <v>1</v>
      </c>
      <c r="AV14" s="233">
        <v>1</v>
      </c>
      <c r="AW14" s="109">
        <v>1</v>
      </c>
      <c r="AX14" s="114"/>
      <c r="AY14" s="109">
        <v>1</v>
      </c>
      <c r="AZ14" s="114"/>
      <c r="BA14" s="109">
        <v>1</v>
      </c>
      <c r="BB14" s="114"/>
      <c r="BC14" s="118">
        <f>+AD14</f>
        <v>1</v>
      </c>
      <c r="BD14" s="118">
        <f t="shared" ref="BD14:BE16" si="0">+AU14</f>
        <v>1</v>
      </c>
      <c r="BE14" s="118">
        <f t="shared" si="0"/>
        <v>1</v>
      </c>
      <c r="BF14" s="118">
        <f>+AD14</f>
        <v>1</v>
      </c>
      <c r="BG14" s="118">
        <f>+AV14</f>
        <v>1</v>
      </c>
      <c r="BH14" s="109">
        <v>1</v>
      </c>
      <c r="BI14" s="109"/>
      <c r="BJ14" s="109"/>
      <c r="BK14" s="109"/>
      <c r="BL14" s="109"/>
      <c r="BM14" s="109"/>
      <c r="BN14" s="109"/>
      <c r="BO14" s="109"/>
      <c r="BP14" s="109"/>
      <c r="BQ14" s="109"/>
      <c r="BR14" s="109"/>
      <c r="BS14" s="109"/>
      <c r="BT14" s="109"/>
      <c r="BU14" s="109"/>
      <c r="BV14" s="109"/>
      <c r="BW14" s="109"/>
      <c r="BX14" s="109"/>
      <c r="BY14" s="109"/>
      <c r="BZ14" s="109"/>
      <c r="CA14" s="109"/>
      <c r="CB14" s="109"/>
      <c r="CC14" s="109"/>
      <c r="CD14" s="109"/>
      <c r="CE14" s="109"/>
      <c r="CF14" s="109"/>
      <c r="CG14" s="109"/>
      <c r="CH14" s="109"/>
      <c r="CI14" s="109"/>
      <c r="CJ14" s="109"/>
      <c r="CK14" s="109"/>
      <c r="CL14" s="109">
        <v>1</v>
      </c>
      <c r="CM14" s="109"/>
      <c r="CN14" s="109"/>
      <c r="CO14" s="109"/>
      <c r="CP14" s="109"/>
      <c r="CQ14" s="109"/>
      <c r="CR14" s="109"/>
      <c r="CS14" s="109"/>
      <c r="CT14" s="109"/>
      <c r="CU14" s="109"/>
      <c r="CV14" s="109"/>
      <c r="CW14" s="109"/>
      <c r="CX14" s="109"/>
      <c r="CY14" s="109"/>
      <c r="CZ14" s="109"/>
      <c r="DA14" s="109"/>
      <c r="DB14" s="109"/>
      <c r="DC14" s="109"/>
      <c r="DD14" s="109"/>
      <c r="DE14" s="109"/>
      <c r="DF14" s="109"/>
      <c r="DG14" s="109"/>
      <c r="DH14" s="109"/>
      <c r="DI14" s="109"/>
      <c r="DJ14" s="109"/>
      <c r="DK14" s="109"/>
      <c r="DL14" s="109"/>
      <c r="DM14" s="109"/>
      <c r="DN14" s="109"/>
      <c r="DO14" s="109"/>
      <c r="DP14" s="109">
        <v>1</v>
      </c>
      <c r="DQ14" s="39"/>
      <c r="DR14" s="39"/>
      <c r="DS14" s="39"/>
      <c r="DT14" s="39"/>
      <c r="DU14" s="39"/>
      <c r="DV14" s="39"/>
      <c r="DW14" s="39"/>
      <c r="DX14" s="39"/>
      <c r="DY14" s="39"/>
      <c r="DZ14" s="39"/>
      <c r="EA14" s="39"/>
      <c r="EB14" s="39"/>
      <c r="EC14" s="39"/>
      <c r="ED14" s="39"/>
      <c r="EE14" s="39"/>
      <c r="EF14" s="39"/>
      <c r="EG14" s="39"/>
      <c r="EH14" s="39"/>
      <c r="EI14" s="76"/>
      <c r="EJ14" s="76"/>
      <c r="EK14" s="76"/>
      <c r="EL14" s="76"/>
      <c r="EM14" s="76"/>
      <c r="EN14" s="76"/>
      <c r="EO14" s="76"/>
      <c r="EP14" s="76"/>
      <c r="EQ14" s="76"/>
      <c r="ER14" s="76"/>
      <c r="ES14" s="76"/>
      <c r="ET14" s="120">
        <f>+AV14/AU14</f>
        <v>1</v>
      </c>
      <c r="EU14" s="120">
        <f t="shared" ref="EU14:EU16" si="1">+BE14/BD14</f>
        <v>1</v>
      </c>
      <c r="EV14" s="180">
        <f>+BG14/BF14</f>
        <v>1</v>
      </c>
      <c r="EW14" s="141">
        <f>+BE14</f>
        <v>1</v>
      </c>
      <c r="EX14" s="141">
        <f>+BG14</f>
        <v>1</v>
      </c>
      <c r="EY14" s="272" t="s">
        <v>560</v>
      </c>
      <c r="EZ14" s="264" t="s">
        <v>367</v>
      </c>
      <c r="FA14" s="264" t="s">
        <v>367</v>
      </c>
      <c r="FB14" s="264" t="s">
        <v>381</v>
      </c>
      <c r="FC14" s="264" t="s">
        <v>382</v>
      </c>
    </row>
    <row r="15" spans="1:159" s="117" customFormat="1" ht="137.25" customHeight="1" x14ac:dyDescent="0.25">
      <c r="A15" s="107">
        <v>2</v>
      </c>
      <c r="B15" s="107">
        <v>35</v>
      </c>
      <c r="C15" s="59">
        <v>272</v>
      </c>
      <c r="D15" s="274" t="s">
        <v>279</v>
      </c>
      <c r="E15" s="59">
        <v>289</v>
      </c>
      <c r="F15" s="264" t="s">
        <v>280</v>
      </c>
      <c r="G15" s="59" t="s">
        <v>281</v>
      </c>
      <c r="H15" s="110" t="s">
        <v>282</v>
      </c>
      <c r="I15" s="110">
        <v>33.9</v>
      </c>
      <c r="J15" s="111"/>
      <c r="K15" s="111"/>
      <c r="L15" s="111"/>
      <c r="M15" s="111"/>
      <c r="N15" s="111"/>
      <c r="O15" s="111"/>
      <c r="P15" s="111"/>
      <c r="Q15" s="111"/>
      <c r="R15" s="111"/>
      <c r="S15" s="111"/>
      <c r="T15" s="111"/>
      <c r="U15" s="111"/>
      <c r="V15" s="111"/>
      <c r="W15" s="111"/>
      <c r="X15" s="111" t="s">
        <v>284</v>
      </c>
      <c r="Y15" s="109" t="s">
        <v>285</v>
      </c>
      <c r="Z15" s="109" t="s">
        <v>285</v>
      </c>
      <c r="AA15" s="109" t="s">
        <v>285</v>
      </c>
      <c r="AB15" s="109" t="s">
        <v>285</v>
      </c>
      <c r="AC15" s="109" t="s">
        <v>285</v>
      </c>
      <c r="AD15" s="111">
        <v>37.799999999999997</v>
      </c>
      <c r="AE15" s="111">
        <v>37.799999999999997</v>
      </c>
      <c r="AF15" s="111">
        <v>37</v>
      </c>
      <c r="AG15" s="111">
        <v>37.799999999999997</v>
      </c>
      <c r="AH15" s="111">
        <v>36</v>
      </c>
      <c r="AI15" s="111">
        <v>37.799999999999997</v>
      </c>
      <c r="AJ15" s="111">
        <v>34</v>
      </c>
      <c r="AK15" s="111">
        <v>37.799999999999997</v>
      </c>
      <c r="AL15" s="119">
        <v>34</v>
      </c>
      <c r="AM15" s="111">
        <v>37.799999999999997</v>
      </c>
      <c r="AN15" s="182">
        <v>34.4</v>
      </c>
      <c r="AO15" s="111">
        <v>37.799999999999997</v>
      </c>
      <c r="AP15" s="182">
        <v>34.4</v>
      </c>
      <c r="AQ15" s="111">
        <v>37.799999999999997</v>
      </c>
      <c r="AR15" s="234">
        <v>34.5</v>
      </c>
      <c r="AS15" s="111">
        <v>37.799999999999997</v>
      </c>
      <c r="AT15" s="234">
        <v>34.4</v>
      </c>
      <c r="AU15" s="111">
        <v>37.799999999999997</v>
      </c>
      <c r="AV15" s="234">
        <v>34.4</v>
      </c>
      <c r="AW15" s="111">
        <v>37.799999999999997</v>
      </c>
      <c r="AX15" s="114"/>
      <c r="AY15" s="111">
        <v>37.799999999999997</v>
      </c>
      <c r="AZ15" s="114"/>
      <c r="BA15" s="111">
        <v>37.799999999999997</v>
      </c>
      <c r="BB15" s="114"/>
      <c r="BC15" s="121">
        <f>+AD15</f>
        <v>37.799999999999997</v>
      </c>
      <c r="BD15" s="111">
        <f t="shared" si="0"/>
        <v>37.799999999999997</v>
      </c>
      <c r="BE15" s="121">
        <f t="shared" si="0"/>
        <v>34.4</v>
      </c>
      <c r="BF15" s="121">
        <f t="shared" ref="BF15:BF16" si="2">+AD15</f>
        <v>37.799999999999997</v>
      </c>
      <c r="BG15" s="121">
        <f>+AV15</f>
        <v>34.4</v>
      </c>
      <c r="BH15" s="111">
        <v>36.9</v>
      </c>
      <c r="BI15" s="111"/>
      <c r="BJ15" s="111"/>
      <c r="BK15" s="111"/>
      <c r="BL15" s="111"/>
      <c r="BM15" s="111"/>
      <c r="BN15" s="111"/>
      <c r="BO15" s="111"/>
      <c r="BP15" s="111"/>
      <c r="BQ15" s="111"/>
      <c r="BR15" s="111"/>
      <c r="BS15" s="111"/>
      <c r="BT15" s="111"/>
      <c r="BU15" s="111"/>
      <c r="BV15" s="111"/>
      <c r="BW15" s="111"/>
      <c r="BX15" s="111"/>
      <c r="BY15" s="111"/>
      <c r="BZ15" s="111"/>
      <c r="CA15" s="111"/>
      <c r="CB15" s="111"/>
      <c r="CC15" s="111"/>
      <c r="CD15" s="111"/>
      <c r="CE15" s="111"/>
      <c r="CF15" s="111"/>
      <c r="CG15" s="111"/>
      <c r="CH15" s="111"/>
      <c r="CI15" s="111"/>
      <c r="CJ15" s="111"/>
      <c r="CK15" s="111"/>
      <c r="CL15" s="111">
        <v>34.700000000000003</v>
      </c>
      <c r="CM15" s="111"/>
      <c r="CN15" s="111"/>
      <c r="CO15" s="111"/>
      <c r="CP15" s="111"/>
      <c r="CQ15" s="111"/>
      <c r="CR15" s="111"/>
      <c r="CS15" s="111"/>
      <c r="CT15" s="111"/>
      <c r="CU15" s="111"/>
      <c r="CV15" s="111"/>
      <c r="CW15" s="111"/>
      <c r="CX15" s="111"/>
      <c r="CY15" s="111"/>
      <c r="CZ15" s="111"/>
      <c r="DA15" s="111"/>
      <c r="DB15" s="111"/>
      <c r="DC15" s="111"/>
      <c r="DD15" s="111"/>
      <c r="DE15" s="111"/>
      <c r="DF15" s="111"/>
      <c r="DG15" s="111"/>
      <c r="DH15" s="111"/>
      <c r="DI15" s="111"/>
      <c r="DJ15" s="111"/>
      <c r="DK15" s="111"/>
      <c r="DL15" s="111"/>
      <c r="DM15" s="111"/>
      <c r="DN15" s="111"/>
      <c r="DO15" s="111"/>
      <c r="DP15" s="111">
        <v>33.9</v>
      </c>
      <c r="DQ15" s="116"/>
      <c r="DR15" s="116"/>
      <c r="DS15" s="116"/>
      <c r="DT15" s="116"/>
      <c r="DU15" s="116"/>
      <c r="DV15" s="116"/>
      <c r="DW15" s="116"/>
      <c r="DX15" s="116"/>
      <c r="DY15" s="116"/>
      <c r="DZ15" s="116"/>
      <c r="EA15" s="116"/>
      <c r="EB15" s="116"/>
      <c r="EC15" s="116"/>
      <c r="ED15" s="116"/>
      <c r="EE15" s="116"/>
      <c r="EF15" s="116"/>
      <c r="EG15" s="116"/>
      <c r="EH15" s="116"/>
      <c r="EI15" s="116"/>
      <c r="EJ15" s="116"/>
      <c r="EK15" s="116"/>
      <c r="EL15" s="116"/>
      <c r="EM15" s="116"/>
      <c r="EN15" s="116"/>
      <c r="EO15" s="116"/>
      <c r="EP15" s="116"/>
      <c r="EQ15" s="116"/>
      <c r="ER15" s="116"/>
      <c r="ES15" s="116"/>
      <c r="ET15" s="120">
        <f>+AV15/AU15</f>
        <v>0.91005291005291011</v>
      </c>
      <c r="EU15" s="120">
        <f t="shared" si="1"/>
        <v>0.91005291005291011</v>
      </c>
      <c r="EV15" s="180">
        <v>7.8</v>
      </c>
      <c r="EW15" s="141">
        <f>+(BE15)/(BC15)</f>
        <v>0.91005291005291011</v>
      </c>
      <c r="EX15" s="141">
        <v>0.88639999999999997</v>
      </c>
      <c r="EY15" s="271" t="s">
        <v>577</v>
      </c>
      <c r="EZ15" s="264" t="s">
        <v>367</v>
      </c>
      <c r="FA15" s="264" t="s">
        <v>367</v>
      </c>
      <c r="FB15" s="264" t="s">
        <v>383</v>
      </c>
      <c r="FC15" s="273" t="s">
        <v>384</v>
      </c>
    </row>
    <row r="16" spans="1:159" s="117" customFormat="1" ht="207" customHeight="1" x14ac:dyDescent="0.25">
      <c r="A16" s="107">
        <v>2</v>
      </c>
      <c r="B16" s="107">
        <v>35</v>
      </c>
      <c r="C16" s="59">
        <v>272</v>
      </c>
      <c r="D16" s="274" t="s">
        <v>279</v>
      </c>
      <c r="E16" s="59">
        <v>661</v>
      </c>
      <c r="F16" s="264" t="s">
        <v>283</v>
      </c>
      <c r="G16" s="59" t="s">
        <v>281</v>
      </c>
      <c r="H16" s="110" t="s">
        <v>282</v>
      </c>
      <c r="I16" s="110">
        <v>17.3</v>
      </c>
      <c r="J16" s="111"/>
      <c r="K16" s="111"/>
      <c r="L16" s="111"/>
      <c r="M16" s="111"/>
      <c r="N16" s="111"/>
      <c r="O16" s="111"/>
      <c r="P16" s="111"/>
      <c r="Q16" s="111"/>
      <c r="R16" s="111"/>
      <c r="S16" s="111"/>
      <c r="T16" s="111"/>
      <c r="U16" s="111"/>
      <c r="V16" s="111"/>
      <c r="W16" s="111"/>
      <c r="X16" s="111" t="s">
        <v>284</v>
      </c>
      <c r="Y16" s="109" t="s">
        <v>285</v>
      </c>
      <c r="Z16" s="109" t="s">
        <v>285</v>
      </c>
      <c r="AA16" s="109" t="s">
        <v>285</v>
      </c>
      <c r="AB16" s="109" t="s">
        <v>285</v>
      </c>
      <c r="AC16" s="109" t="s">
        <v>285</v>
      </c>
      <c r="AD16" s="111">
        <v>19.5</v>
      </c>
      <c r="AE16" s="111">
        <v>19.5</v>
      </c>
      <c r="AF16" s="111">
        <v>16</v>
      </c>
      <c r="AG16" s="111">
        <v>19.5</v>
      </c>
      <c r="AH16" s="111">
        <v>18</v>
      </c>
      <c r="AI16" s="111">
        <v>19.5</v>
      </c>
      <c r="AJ16" s="111">
        <v>17</v>
      </c>
      <c r="AK16" s="111">
        <v>19.5</v>
      </c>
      <c r="AL16" s="119">
        <v>17</v>
      </c>
      <c r="AM16" s="111">
        <v>19.5</v>
      </c>
      <c r="AN16" s="59">
        <v>17</v>
      </c>
      <c r="AO16" s="111">
        <v>19.5</v>
      </c>
      <c r="AP16" s="59">
        <v>17.3</v>
      </c>
      <c r="AQ16" s="111">
        <v>19.5</v>
      </c>
      <c r="AR16" s="240">
        <v>17.3</v>
      </c>
      <c r="AS16" s="111">
        <v>19.5</v>
      </c>
      <c r="AT16" s="113">
        <v>17.5</v>
      </c>
      <c r="AU16" s="111">
        <v>19.5</v>
      </c>
      <c r="AV16" s="113">
        <v>17.600000000000001</v>
      </c>
      <c r="AW16" s="111">
        <v>19.5</v>
      </c>
      <c r="AX16" s="113"/>
      <c r="AY16" s="111">
        <v>19.5</v>
      </c>
      <c r="AZ16" s="113"/>
      <c r="BA16" s="111">
        <v>19.5</v>
      </c>
      <c r="BB16" s="113"/>
      <c r="BC16" s="121">
        <f t="shared" ref="BC16" si="3">+AD16</f>
        <v>19.5</v>
      </c>
      <c r="BD16" s="111">
        <f t="shared" si="0"/>
        <v>19.5</v>
      </c>
      <c r="BE16" s="121">
        <f t="shared" si="0"/>
        <v>17.600000000000001</v>
      </c>
      <c r="BF16" s="121">
        <f t="shared" si="2"/>
        <v>19.5</v>
      </c>
      <c r="BG16" s="121">
        <f>+AV16</f>
        <v>17.600000000000001</v>
      </c>
      <c r="BH16" s="111">
        <v>19</v>
      </c>
      <c r="BI16" s="111"/>
      <c r="BJ16" s="111"/>
      <c r="BK16" s="111"/>
      <c r="BL16" s="111"/>
      <c r="BM16" s="111"/>
      <c r="BN16" s="111"/>
      <c r="BO16" s="111"/>
      <c r="BP16" s="111"/>
      <c r="BQ16" s="111"/>
      <c r="BR16" s="111"/>
      <c r="BS16" s="111"/>
      <c r="BT16" s="111"/>
      <c r="BU16" s="111"/>
      <c r="BV16" s="111"/>
      <c r="BW16" s="111"/>
      <c r="BX16" s="111"/>
      <c r="BY16" s="111"/>
      <c r="BZ16" s="111"/>
      <c r="CA16" s="111"/>
      <c r="CB16" s="111"/>
      <c r="CC16" s="111"/>
      <c r="CD16" s="111"/>
      <c r="CE16" s="111"/>
      <c r="CF16" s="111"/>
      <c r="CG16" s="111"/>
      <c r="CH16" s="111"/>
      <c r="CI16" s="111"/>
      <c r="CJ16" s="111"/>
      <c r="CK16" s="111"/>
      <c r="CL16" s="111">
        <v>17.8</v>
      </c>
      <c r="CM16" s="111"/>
      <c r="CN16" s="111"/>
      <c r="CO16" s="111"/>
      <c r="CP16" s="111"/>
      <c r="CQ16" s="111"/>
      <c r="CR16" s="111"/>
      <c r="CS16" s="111"/>
      <c r="CT16" s="111"/>
      <c r="CU16" s="111"/>
      <c r="CV16" s="111"/>
      <c r="CW16" s="111"/>
      <c r="CX16" s="111"/>
      <c r="CY16" s="111"/>
      <c r="CZ16" s="111"/>
      <c r="DA16" s="111"/>
      <c r="DB16" s="111"/>
      <c r="DC16" s="111"/>
      <c r="DD16" s="111"/>
      <c r="DE16" s="111"/>
      <c r="DF16" s="111"/>
      <c r="DG16" s="111"/>
      <c r="DH16" s="111"/>
      <c r="DI16" s="111"/>
      <c r="DJ16" s="111"/>
      <c r="DK16" s="111"/>
      <c r="DL16" s="111"/>
      <c r="DM16" s="111"/>
      <c r="DN16" s="111"/>
      <c r="DO16" s="111"/>
      <c r="DP16" s="111">
        <v>17.3</v>
      </c>
      <c r="DQ16" s="113"/>
      <c r="DR16" s="113"/>
      <c r="DS16" s="113"/>
      <c r="DT16" s="113"/>
      <c r="DU16" s="113"/>
      <c r="DV16" s="113"/>
      <c r="DW16" s="113"/>
      <c r="DX16" s="113"/>
      <c r="DY16" s="113"/>
      <c r="DZ16" s="113"/>
      <c r="EA16" s="113"/>
      <c r="EB16" s="113"/>
      <c r="EC16" s="113"/>
      <c r="ED16" s="113"/>
      <c r="EE16" s="113"/>
      <c r="EF16" s="113"/>
      <c r="EG16" s="113"/>
      <c r="EH16" s="113"/>
      <c r="EI16" s="113"/>
      <c r="EJ16" s="113"/>
      <c r="EK16" s="113"/>
      <c r="EL16" s="113"/>
      <c r="EM16" s="113"/>
      <c r="EN16" s="113"/>
      <c r="EO16" s="113"/>
      <c r="EP16" s="113"/>
      <c r="EQ16" s="113"/>
      <c r="ER16" s="113"/>
      <c r="ES16" s="113"/>
      <c r="ET16" s="120">
        <f>+AV16/AU16</f>
        <v>0.90256410256410269</v>
      </c>
      <c r="EU16" s="120">
        <f t="shared" si="1"/>
        <v>0.90256410256410269</v>
      </c>
      <c r="EV16" s="180">
        <v>10.5</v>
      </c>
      <c r="EW16" s="141">
        <f>+(BE16)/(BC16)</f>
        <v>0.90256410256410269</v>
      </c>
      <c r="EX16" s="141">
        <v>0.875</v>
      </c>
      <c r="EY16" s="271" t="s">
        <v>578</v>
      </c>
      <c r="EZ16" s="264" t="s">
        <v>367</v>
      </c>
      <c r="FA16" s="264" t="s">
        <v>367</v>
      </c>
      <c r="FB16" s="264" t="s">
        <v>383</v>
      </c>
      <c r="FC16" s="273" t="s">
        <v>384</v>
      </c>
    </row>
    <row r="17" spans="1:159" s="36" customFormat="1" ht="46.5" customHeight="1" x14ac:dyDescent="0.25">
      <c r="A17" s="86"/>
      <c r="B17" s="86"/>
      <c r="C17" s="87"/>
      <c r="D17" s="88"/>
      <c r="E17" s="89"/>
      <c r="F17" s="90"/>
      <c r="G17" s="91"/>
      <c r="H17" s="92"/>
      <c r="I17" s="87"/>
      <c r="J17" s="87"/>
      <c r="K17" s="87"/>
      <c r="L17" s="87"/>
      <c r="M17" s="87"/>
      <c r="N17" s="87"/>
      <c r="O17" s="87"/>
      <c r="P17" s="87"/>
      <c r="Q17" s="87"/>
      <c r="R17" s="87"/>
      <c r="S17" s="87"/>
      <c r="T17" s="87"/>
      <c r="U17" s="87"/>
      <c r="V17" s="93"/>
      <c r="W17" s="87"/>
      <c r="X17" s="93"/>
      <c r="Y17" s="87"/>
      <c r="Z17" s="87"/>
      <c r="AA17" s="87"/>
      <c r="AB17" s="87"/>
      <c r="AC17" s="93"/>
      <c r="AD17" s="87"/>
      <c r="AE17" s="87"/>
      <c r="AF17" s="87"/>
      <c r="AG17" s="87"/>
      <c r="AH17" s="87"/>
      <c r="AI17" s="87"/>
      <c r="AJ17" s="87"/>
      <c r="AK17" s="87"/>
      <c r="AL17" s="87"/>
      <c r="AM17" s="87"/>
      <c r="AN17" s="87"/>
      <c r="AO17" s="87"/>
      <c r="AP17" s="87"/>
      <c r="AQ17" s="87"/>
      <c r="AR17" s="87"/>
      <c r="AS17" s="87"/>
      <c r="AT17" s="87"/>
      <c r="AU17" s="87"/>
      <c r="AV17" s="87"/>
      <c r="AW17" s="87"/>
      <c r="AX17" s="87"/>
      <c r="AY17" s="87"/>
      <c r="AZ17" s="87"/>
      <c r="BA17" s="87"/>
      <c r="BB17" s="87"/>
      <c r="BC17" s="99"/>
      <c r="BD17" s="99"/>
      <c r="BE17" s="99"/>
      <c r="BF17" s="99"/>
      <c r="BG17" s="93"/>
      <c r="BH17" s="100"/>
      <c r="BI17" s="93"/>
      <c r="BJ17" s="93"/>
      <c r="BK17" s="93"/>
      <c r="BL17" s="93"/>
      <c r="BM17" s="93"/>
      <c r="BN17" s="93"/>
      <c r="BO17" s="93"/>
      <c r="BP17" s="93"/>
      <c r="BQ17" s="93"/>
      <c r="BR17" s="93"/>
      <c r="BS17" s="93"/>
      <c r="BT17" s="93"/>
      <c r="BU17" s="93"/>
      <c r="BV17" s="93"/>
      <c r="BW17" s="93"/>
      <c r="BX17" s="93"/>
      <c r="BY17" s="93"/>
      <c r="BZ17" s="93"/>
      <c r="CA17" s="93"/>
      <c r="CB17" s="93"/>
      <c r="CC17" s="93"/>
      <c r="CD17" s="93"/>
      <c r="CE17" s="93"/>
      <c r="CF17" s="93"/>
      <c r="CG17" s="93"/>
      <c r="CH17" s="93"/>
      <c r="CI17" s="93"/>
      <c r="CJ17" s="93"/>
      <c r="CK17" s="93"/>
      <c r="CL17" s="94"/>
      <c r="CM17" s="87"/>
      <c r="CN17" s="87"/>
      <c r="CO17" s="87"/>
      <c r="CP17" s="87"/>
      <c r="CQ17" s="87"/>
      <c r="CR17" s="87"/>
      <c r="CS17" s="87"/>
      <c r="CT17" s="87"/>
      <c r="CU17" s="87"/>
      <c r="CV17" s="87"/>
      <c r="CW17" s="87"/>
      <c r="CX17" s="87"/>
      <c r="CY17" s="87"/>
      <c r="CZ17" s="87"/>
      <c r="DA17" s="87"/>
      <c r="DB17" s="87"/>
      <c r="DC17" s="87"/>
      <c r="DD17" s="87"/>
      <c r="DE17" s="87"/>
      <c r="DF17" s="87"/>
      <c r="DG17" s="87"/>
      <c r="DH17" s="87"/>
      <c r="DI17" s="87"/>
      <c r="DJ17" s="87"/>
      <c r="DK17" s="87"/>
      <c r="DL17" s="87"/>
      <c r="DM17" s="87"/>
      <c r="DN17" s="87"/>
      <c r="DO17" s="87"/>
      <c r="DP17" s="94"/>
      <c r="DQ17" s="87"/>
      <c r="DR17" s="87"/>
      <c r="DS17" s="87"/>
      <c r="DT17" s="87"/>
      <c r="DU17" s="87"/>
      <c r="DV17" s="87"/>
      <c r="DW17" s="87"/>
      <c r="DX17" s="87"/>
      <c r="DY17" s="87"/>
      <c r="DZ17" s="87"/>
      <c r="EA17" s="87"/>
      <c r="EB17" s="87"/>
      <c r="EC17" s="87"/>
      <c r="ED17" s="87"/>
      <c r="EE17" s="87"/>
      <c r="EF17" s="87"/>
      <c r="EG17" s="87"/>
      <c r="EH17" s="87"/>
      <c r="EI17" s="87"/>
      <c r="EJ17" s="87"/>
      <c r="EK17" s="87"/>
      <c r="EL17" s="87"/>
      <c r="EM17" s="87"/>
      <c r="EN17" s="87"/>
      <c r="EO17" s="87"/>
      <c r="EP17" s="87"/>
      <c r="EQ17" s="87"/>
      <c r="ER17" s="87"/>
      <c r="ES17" s="87"/>
      <c r="ET17" s="101"/>
      <c r="EU17" s="101"/>
      <c r="EV17" s="102"/>
      <c r="EW17" s="103"/>
      <c r="EX17" s="103"/>
      <c r="EY17" s="95"/>
      <c r="EZ17" s="96"/>
      <c r="FA17" s="96"/>
      <c r="FB17" s="97"/>
      <c r="FC17" s="98"/>
    </row>
    <row r="18" spans="1:159" ht="46.5" customHeight="1" x14ac:dyDescent="0.4">
      <c r="D18" s="22" t="s">
        <v>35</v>
      </c>
      <c r="I18" s="17"/>
      <c r="Y18" s="71"/>
      <c r="Z18" s="67"/>
      <c r="AA18" s="69"/>
      <c r="AC18" s="67"/>
      <c r="AV18" s="83"/>
      <c r="AW18" s="83"/>
      <c r="AX18" s="83"/>
      <c r="AY18" s="83"/>
      <c r="AZ18" s="83"/>
      <c r="BA18" s="83"/>
      <c r="BB18" s="83"/>
      <c r="BC18" s="83"/>
      <c r="BD18" s="83"/>
      <c r="BE18" s="83"/>
      <c r="BF18" s="83"/>
      <c r="BG18" s="83"/>
    </row>
    <row r="19" spans="1:159" customFormat="1" ht="46.5" customHeight="1" x14ac:dyDescent="0.25">
      <c r="D19" s="37" t="s">
        <v>36</v>
      </c>
      <c r="E19" s="407" t="s">
        <v>37</v>
      </c>
      <c r="F19" s="407"/>
      <c r="G19" s="407"/>
      <c r="H19" s="407"/>
      <c r="I19" s="407"/>
      <c r="J19" s="407"/>
      <c r="K19" s="420" t="s">
        <v>38</v>
      </c>
      <c r="L19" s="420"/>
      <c r="M19" s="420"/>
      <c r="N19" s="420"/>
      <c r="O19" s="420"/>
      <c r="P19" s="420"/>
      <c r="Q19" s="420"/>
      <c r="R19" s="420"/>
      <c r="S19" s="420"/>
      <c r="T19" s="38"/>
      <c r="U19" s="57"/>
      <c r="V19" s="38"/>
      <c r="W19" s="38"/>
      <c r="X19" s="38"/>
      <c r="Y19" s="58"/>
      <c r="Z19" s="68"/>
      <c r="AA19" s="38"/>
      <c r="AB19" s="38"/>
      <c r="AC19" s="38"/>
      <c r="AD19" s="75"/>
      <c r="AE19" s="38"/>
      <c r="AF19" s="85"/>
      <c r="AG19" s="85"/>
      <c r="AH19" s="85"/>
      <c r="AI19" s="85"/>
      <c r="AJ19" s="104"/>
      <c r="AK19" s="104"/>
      <c r="AL19" s="104"/>
      <c r="AM19" s="104"/>
      <c r="AN19" s="104"/>
      <c r="AO19" s="104"/>
      <c r="AP19" s="104"/>
      <c r="AQ19" s="104"/>
      <c r="AR19" s="104"/>
      <c r="AS19" s="104"/>
      <c r="AT19" s="104"/>
      <c r="AU19" s="104"/>
      <c r="AV19" s="85"/>
      <c r="AW19" s="85"/>
      <c r="AX19" s="85"/>
      <c r="AY19" s="85"/>
      <c r="AZ19" s="85"/>
      <c r="BA19" s="85"/>
      <c r="BB19" s="85"/>
      <c r="BC19" s="85"/>
      <c r="BD19" s="85"/>
      <c r="BE19" s="85"/>
      <c r="BF19" s="85"/>
      <c r="BG19" s="85"/>
      <c r="BH19" s="38"/>
      <c r="BI19" s="84"/>
      <c r="BJ19" s="84"/>
      <c r="BK19" s="84"/>
      <c r="BL19" s="84"/>
      <c r="BM19" s="84"/>
      <c r="BN19" s="84"/>
      <c r="BO19" s="84"/>
      <c r="BP19" s="84"/>
      <c r="BQ19" s="84"/>
      <c r="BR19" s="84"/>
      <c r="BS19" s="84"/>
      <c r="BT19" s="84"/>
      <c r="BU19" s="84"/>
      <c r="BV19" s="84"/>
      <c r="BW19" s="84"/>
      <c r="BX19" s="84"/>
      <c r="BY19" s="84"/>
      <c r="BZ19" s="84"/>
      <c r="CA19" s="84"/>
      <c r="CB19" s="84"/>
      <c r="CC19" s="84"/>
      <c r="CD19" s="84"/>
      <c r="CE19" s="84"/>
      <c r="CF19" s="84"/>
      <c r="CG19" s="84"/>
      <c r="CH19" s="84"/>
      <c r="CI19" s="84"/>
      <c r="CJ19" s="84"/>
      <c r="CK19" s="84"/>
      <c r="CL19" s="38"/>
      <c r="CM19" s="84"/>
      <c r="CN19" s="84"/>
      <c r="CO19" s="84"/>
      <c r="CP19" s="84"/>
      <c r="CQ19" s="84"/>
      <c r="CR19" s="84"/>
      <c r="CS19" s="84"/>
      <c r="CT19" s="84"/>
      <c r="CU19" s="84"/>
      <c r="CV19" s="84"/>
      <c r="CW19" s="38"/>
      <c r="CX19" s="38"/>
      <c r="CY19" s="38"/>
      <c r="CZ19" s="38"/>
      <c r="DA19" s="38"/>
      <c r="DB19" s="38"/>
      <c r="DC19" s="38"/>
      <c r="DD19" s="38"/>
      <c r="DE19" s="38"/>
      <c r="DF19" s="38"/>
      <c r="DG19" s="38"/>
      <c r="DH19" s="38"/>
      <c r="DI19" s="38"/>
      <c r="DJ19" s="38"/>
      <c r="DK19" s="38"/>
      <c r="DL19" s="38"/>
      <c r="DM19" s="38"/>
      <c r="DN19" s="38"/>
      <c r="DO19" s="38"/>
      <c r="DP19" s="38"/>
      <c r="DQ19" s="84"/>
      <c r="DR19" s="84"/>
      <c r="DS19" s="84"/>
      <c r="DT19" s="84"/>
      <c r="DU19" s="84"/>
      <c r="DV19" s="84"/>
      <c r="DW19" s="84"/>
      <c r="DX19" s="84"/>
      <c r="DY19" s="84"/>
      <c r="DZ19" s="84"/>
      <c r="EA19" s="84"/>
      <c r="EB19" s="84"/>
      <c r="EC19" s="84"/>
      <c r="ED19" s="84"/>
      <c r="EE19" s="84"/>
      <c r="EF19" s="84"/>
      <c r="EG19" s="38"/>
      <c r="EH19" s="38"/>
      <c r="EI19" s="38"/>
      <c r="EJ19" s="38"/>
      <c r="EK19" s="38"/>
      <c r="EL19" s="38"/>
      <c r="EM19" s="38"/>
      <c r="EN19" s="38"/>
      <c r="EO19" s="38"/>
      <c r="EP19" s="38"/>
      <c r="EQ19" s="38"/>
      <c r="ER19" s="38"/>
      <c r="ES19" s="38"/>
      <c r="FB19" s="74"/>
    </row>
    <row r="20" spans="1:159" customFormat="1" ht="46.5" customHeight="1" x14ac:dyDescent="0.25">
      <c r="D20" s="21">
        <v>13</v>
      </c>
      <c r="E20" s="416" t="s">
        <v>81</v>
      </c>
      <c r="F20" s="416"/>
      <c r="G20" s="416"/>
      <c r="H20" s="416"/>
      <c r="I20" s="416"/>
      <c r="J20" s="416"/>
      <c r="K20" s="417" t="s">
        <v>82</v>
      </c>
      <c r="L20" s="417"/>
      <c r="M20" s="417"/>
      <c r="N20" s="417"/>
      <c r="O20" s="417"/>
      <c r="P20" s="417"/>
      <c r="Q20" s="417"/>
      <c r="R20" s="417"/>
      <c r="S20" s="417"/>
      <c r="T20" s="38"/>
      <c r="U20" s="57"/>
      <c r="V20" s="38"/>
      <c r="W20" s="38"/>
      <c r="X20" s="38"/>
      <c r="Y20" s="418"/>
      <c r="Z20" s="419"/>
      <c r="AA20" s="419"/>
      <c r="AB20" s="419"/>
      <c r="AC20" s="419"/>
      <c r="AD20" s="419"/>
      <c r="AE20" s="419"/>
      <c r="AF20" s="419"/>
      <c r="AG20" s="419"/>
      <c r="AH20" s="419"/>
      <c r="AI20" s="419"/>
      <c r="AJ20" s="419"/>
      <c r="AK20" s="419"/>
      <c r="AL20" s="419"/>
      <c r="AM20" s="419"/>
      <c r="AN20" s="419"/>
      <c r="AO20" s="419"/>
      <c r="AP20" s="419"/>
      <c r="AQ20" s="419"/>
      <c r="AR20" s="419"/>
      <c r="AS20" s="419"/>
      <c r="AT20" s="419"/>
      <c r="AU20" s="419"/>
      <c r="AV20" s="419"/>
      <c r="AW20" s="419"/>
      <c r="AX20" s="419"/>
      <c r="AY20" s="419"/>
      <c r="AZ20" s="419"/>
      <c r="BA20" s="419"/>
      <c r="BB20" s="419"/>
      <c r="BC20" s="419"/>
      <c r="BD20" s="419"/>
      <c r="BE20" s="419"/>
      <c r="BF20" s="419"/>
      <c r="BG20" s="419"/>
      <c r="BH20" s="38"/>
      <c r="BI20" s="84"/>
      <c r="BJ20" s="84"/>
      <c r="BK20" s="84"/>
      <c r="BL20" s="84"/>
      <c r="BM20" s="84"/>
      <c r="BN20" s="84"/>
      <c r="BO20" s="84"/>
      <c r="BP20" s="84"/>
      <c r="BQ20" s="84"/>
      <c r="BR20" s="84"/>
      <c r="BS20" s="84"/>
      <c r="BT20" s="84"/>
      <c r="BU20" s="84"/>
      <c r="BV20" s="84"/>
      <c r="BW20" s="84"/>
      <c r="BX20" s="84"/>
      <c r="BY20" s="84"/>
      <c r="BZ20" s="84"/>
      <c r="CA20" s="84"/>
      <c r="CB20" s="84"/>
      <c r="CC20" s="84"/>
      <c r="CD20" s="84"/>
      <c r="CE20" s="84"/>
      <c r="CF20" s="84"/>
      <c r="CG20" s="84"/>
      <c r="CH20" s="84"/>
      <c r="CI20" s="84"/>
      <c r="CJ20" s="84"/>
      <c r="CK20" s="84"/>
      <c r="CL20" s="38"/>
      <c r="CM20" s="84"/>
      <c r="CN20" s="84"/>
      <c r="CO20" s="84"/>
      <c r="CP20" s="84"/>
      <c r="CQ20" s="84"/>
      <c r="CR20" s="84"/>
      <c r="CS20" s="84"/>
      <c r="CT20" s="84"/>
      <c r="CU20" s="84"/>
      <c r="CV20" s="84"/>
      <c r="CW20" s="38"/>
      <c r="CX20" s="38"/>
      <c r="CY20" s="38"/>
      <c r="CZ20" s="38"/>
      <c r="DA20" s="38"/>
      <c r="DB20" s="38"/>
      <c r="DC20" s="38"/>
      <c r="DD20" s="38"/>
      <c r="DE20" s="38"/>
      <c r="DF20" s="38"/>
      <c r="DG20" s="38"/>
      <c r="DH20" s="38"/>
      <c r="DI20" s="38"/>
      <c r="DJ20" s="38"/>
      <c r="DK20" s="38"/>
      <c r="DL20" s="38"/>
      <c r="DM20" s="38"/>
      <c r="DN20" s="38"/>
      <c r="DO20" s="38"/>
      <c r="DP20" s="38"/>
      <c r="DQ20" s="84"/>
      <c r="DR20" s="84"/>
      <c r="DS20" s="84"/>
      <c r="DT20" s="84"/>
      <c r="DU20" s="84"/>
      <c r="DV20" s="84"/>
      <c r="DW20" s="84"/>
      <c r="DX20" s="84"/>
      <c r="DY20" s="84"/>
      <c r="DZ20" s="84"/>
      <c r="EA20" s="84"/>
      <c r="EB20" s="84"/>
      <c r="EC20" s="84"/>
      <c r="ED20" s="84"/>
      <c r="EE20" s="84"/>
      <c r="EF20" s="84"/>
      <c r="EG20" s="38"/>
      <c r="EH20" s="38"/>
      <c r="EI20" s="38"/>
      <c r="EJ20" s="38"/>
      <c r="EK20" s="38"/>
      <c r="EL20" s="38"/>
      <c r="EM20" s="38"/>
      <c r="EN20" s="38"/>
      <c r="EO20" s="38"/>
      <c r="EP20" s="38"/>
      <c r="EQ20" s="38"/>
      <c r="ER20" s="38"/>
      <c r="ES20" s="38"/>
    </row>
    <row r="21" spans="1:159" customFormat="1" ht="46.5" customHeight="1" x14ac:dyDescent="0.25">
      <c r="D21" s="21">
        <v>14</v>
      </c>
      <c r="E21" s="416" t="s">
        <v>265</v>
      </c>
      <c r="F21" s="416"/>
      <c r="G21" s="416"/>
      <c r="H21" s="416"/>
      <c r="I21" s="416"/>
      <c r="J21" s="416"/>
      <c r="K21" s="417"/>
      <c r="L21" s="417"/>
      <c r="M21" s="417"/>
      <c r="N21" s="417"/>
      <c r="O21" s="417"/>
      <c r="P21" s="417"/>
      <c r="Q21" s="417"/>
      <c r="R21" s="417"/>
      <c r="S21" s="417"/>
      <c r="T21" s="38"/>
      <c r="U21" s="57"/>
      <c r="V21" s="38"/>
      <c r="W21" s="38"/>
      <c r="X21" s="38"/>
      <c r="Y21" s="58"/>
      <c r="Z21" s="38"/>
      <c r="AA21" s="38"/>
      <c r="AB21" s="38"/>
      <c r="AC21" s="38"/>
      <c r="AD21" s="75"/>
      <c r="AE21" s="38"/>
      <c r="AF21" s="85"/>
      <c r="AG21" s="85"/>
      <c r="AH21" s="85"/>
      <c r="AI21" s="85"/>
      <c r="AJ21" s="104"/>
      <c r="AK21" s="104"/>
      <c r="AL21" s="104"/>
      <c r="AM21" s="104"/>
      <c r="AN21" s="104"/>
      <c r="AO21" s="104"/>
      <c r="AP21" s="104"/>
      <c r="AQ21" s="104"/>
      <c r="AR21" s="104"/>
      <c r="AS21" s="104"/>
      <c r="AT21" s="104"/>
      <c r="AU21" s="104"/>
      <c r="AV21" s="85"/>
      <c r="AW21" s="85"/>
      <c r="AX21" s="85"/>
      <c r="AY21" s="85"/>
      <c r="AZ21" s="85"/>
      <c r="BA21" s="85"/>
      <c r="BB21" s="85"/>
      <c r="BC21" s="85"/>
      <c r="BD21" s="85"/>
      <c r="BE21" s="85"/>
      <c r="BF21" s="85"/>
      <c r="BG21" s="85"/>
      <c r="BH21" s="38"/>
      <c r="BI21" s="84"/>
      <c r="BJ21" s="84"/>
      <c r="BK21" s="84"/>
      <c r="BL21" s="84"/>
      <c r="BM21" s="84"/>
      <c r="BN21" s="84"/>
      <c r="BO21" s="84"/>
      <c r="BP21" s="84"/>
      <c r="BQ21" s="84"/>
      <c r="BR21" s="84"/>
      <c r="BS21" s="84"/>
      <c r="BT21" s="84"/>
      <c r="BU21" s="84"/>
      <c r="BV21" s="84"/>
      <c r="BW21" s="84"/>
      <c r="BX21" s="84"/>
      <c r="BY21" s="84"/>
      <c r="BZ21" s="84"/>
      <c r="CA21" s="84"/>
      <c r="CB21" s="84"/>
      <c r="CC21" s="84"/>
      <c r="CD21" s="84"/>
      <c r="CE21" s="84"/>
      <c r="CF21" s="84"/>
      <c r="CG21" s="84"/>
      <c r="CH21" s="84"/>
      <c r="CI21" s="84"/>
      <c r="CJ21" s="84"/>
      <c r="CK21" s="84"/>
      <c r="CL21" s="38"/>
      <c r="CM21" s="84"/>
      <c r="CN21" s="84"/>
      <c r="CO21" s="84"/>
      <c r="CP21" s="84"/>
      <c r="CQ21" s="84"/>
      <c r="CR21" s="84"/>
      <c r="CS21" s="84"/>
      <c r="CT21" s="84"/>
      <c r="CU21" s="84"/>
      <c r="CV21" s="84"/>
      <c r="CW21" s="38"/>
      <c r="CX21" s="38"/>
      <c r="CY21" s="38"/>
      <c r="CZ21" s="38"/>
      <c r="DA21" s="38"/>
      <c r="DB21" s="38"/>
      <c r="DC21" s="38"/>
      <c r="DD21" s="38"/>
      <c r="DE21" s="38"/>
      <c r="DF21" s="38"/>
      <c r="DG21" s="38"/>
      <c r="DH21" s="38"/>
      <c r="DI21" s="38"/>
      <c r="DJ21" s="38"/>
      <c r="DK21" s="38"/>
      <c r="DL21" s="38"/>
      <c r="DM21" s="38"/>
      <c r="DN21" s="38"/>
      <c r="DO21" s="38"/>
      <c r="DP21" s="38"/>
      <c r="DQ21" s="84"/>
      <c r="DR21" s="84"/>
      <c r="DS21" s="84"/>
      <c r="DT21" s="84"/>
      <c r="DU21" s="84"/>
      <c r="DV21" s="84"/>
      <c r="DW21" s="84"/>
      <c r="DX21" s="84"/>
      <c r="DY21" s="84"/>
      <c r="DZ21" s="84"/>
      <c r="EA21" s="84"/>
      <c r="EB21" s="84"/>
      <c r="EC21" s="84"/>
      <c r="ED21" s="84"/>
      <c r="EE21" s="84"/>
      <c r="EF21" s="84"/>
      <c r="EG21" s="38"/>
      <c r="EH21" s="38"/>
      <c r="EI21" s="38"/>
      <c r="EJ21" s="38"/>
      <c r="EK21" s="38"/>
      <c r="EL21" s="38"/>
      <c r="EM21" s="38"/>
      <c r="EN21" s="38"/>
      <c r="EO21" s="38"/>
      <c r="EP21" s="38"/>
      <c r="EQ21" s="38"/>
      <c r="ER21" s="38"/>
      <c r="ES21" s="38"/>
    </row>
    <row r="23" spans="1:159" ht="46.5" customHeight="1" x14ac:dyDescent="0.25">
      <c r="AV23" s="67"/>
      <c r="AW23" s="67"/>
      <c r="AX23" s="67"/>
      <c r="AY23" s="67"/>
      <c r="AZ23" s="67"/>
      <c r="BA23" s="67"/>
      <c r="BB23" s="67"/>
      <c r="BC23" s="67"/>
      <c r="BD23" s="67"/>
      <c r="BE23" s="67"/>
      <c r="BF23" s="67"/>
      <c r="BG23" s="67"/>
    </row>
    <row r="27" spans="1:159" ht="46.5" customHeight="1" x14ac:dyDescent="0.25">
      <c r="AC27" s="83"/>
    </row>
  </sheetData>
  <mergeCells count="38">
    <mergeCell ref="E21:J21"/>
    <mergeCell ref="K21:S21"/>
    <mergeCell ref="FC9:FC11"/>
    <mergeCell ref="EY9:EY11"/>
    <mergeCell ref="EZ9:EZ11"/>
    <mergeCell ref="Y20:BG20"/>
    <mergeCell ref="E20:J20"/>
    <mergeCell ref="K20:S20"/>
    <mergeCell ref="K19:S19"/>
    <mergeCell ref="DP10:ES10"/>
    <mergeCell ref="ET9:ET11"/>
    <mergeCell ref="EU9:EU11"/>
    <mergeCell ref="J10:AC10"/>
    <mergeCell ref="AD10:BG10"/>
    <mergeCell ref="BH10:CK10"/>
    <mergeCell ref="CL10:DO10"/>
    <mergeCell ref="E19:J19"/>
    <mergeCell ref="A9:I9"/>
    <mergeCell ref="A10:I10"/>
    <mergeCell ref="G4:FC4"/>
    <mergeCell ref="G5:FC5"/>
    <mergeCell ref="G6:FC6"/>
    <mergeCell ref="G7:FC7"/>
    <mergeCell ref="EV9:EV11"/>
    <mergeCell ref="EX9:EX11"/>
    <mergeCell ref="EW9:EW11"/>
    <mergeCell ref="FA9:FA11"/>
    <mergeCell ref="FB9:FB11"/>
    <mergeCell ref="J9:ES9"/>
    <mergeCell ref="A4:F4"/>
    <mergeCell ref="A5:F5"/>
    <mergeCell ref="A6:F6"/>
    <mergeCell ref="A7:F7"/>
    <mergeCell ref="A1:F3"/>
    <mergeCell ref="G1:FC1"/>
    <mergeCell ref="G2:FC2"/>
    <mergeCell ref="G3:ES3"/>
    <mergeCell ref="ET3:FC3"/>
  </mergeCells>
  <phoneticPr fontId="8" type="noConversion"/>
  <dataValidations count="1">
    <dataValidation type="list" allowBlank="1" showInputMessage="1" showErrorMessage="1" sqref="H12:H16" xr:uid="{CCF6A82D-A6D6-8740-914C-E75B34190004}">
      <formula1>#REF!</formula1>
    </dataValidation>
  </dataValidations>
  <hyperlinks>
    <hyperlink ref="FC16" r:id="rId1" xr:uid="{D284B116-FFFA-4C4F-9091-74211F81FE13}"/>
    <hyperlink ref="FC15" r:id="rId2" xr:uid="{81762577-E733-D647-BC9D-582E2C977361}"/>
  </hyperlinks>
  <printOptions horizontalCentered="1" verticalCentered="1"/>
  <pageMargins left="0" right="0" top="0.55118110236220474" bottom="0" header="0.31496062992125984" footer="0.31496062992125984"/>
  <pageSetup scale="20" fitToWidth="0" orientation="landscape"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C74"/>
  <sheetViews>
    <sheetView showGridLines="0" tabSelected="1" zoomScale="59" zoomScaleNormal="59" zoomScaleSheetLayoutView="40" zoomScalePageLayoutView="73" workbookViewId="0">
      <selection activeCell="G18" sqref="G18"/>
    </sheetView>
  </sheetViews>
  <sheetFormatPr baseColWidth="10" defaultColWidth="10.7109375" defaultRowHeight="29.25" customHeight="1" x14ac:dyDescent="0.25"/>
  <cols>
    <col min="1" max="1" width="9" style="1" customWidth="1"/>
    <col min="2" max="2" width="8.7109375" style="1" customWidth="1"/>
    <col min="3" max="3" width="18.140625" style="1" customWidth="1"/>
    <col min="4" max="4" width="10.7109375" style="5" customWidth="1"/>
    <col min="5" max="5" width="16.42578125" style="5" customWidth="1"/>
    <col min="6" max="6" width="21.140625" style="16" customWidth="1"/>
    <col min="7" max="8" width="30.7109375" style="6" customWidth="1"/>
    <col min="9" max="22" width="30.7109375" style="6" hidden="1" customWidth="1"/>
    <col min="23" max="56" width="30.7109375" style="6" customWidth="1"/>
    <col min="57" max="57" width="25.42578125" style="6" bestFit="1" customWidth="1"/>
    <col min="58" max="58" width="25.140625" style="6" bestFit="1" customWidth="1"/>
    <col min="59" max="59" width="26.5703125" style="6" hidden="1" customWidth="1"/>
    <col min="60" max="60" width="24.85546875" style="6" hidden="1" customWidth="1"/>
    <col min="61" max="61" width="14.7109375" style="6" hidden="1" customWidth="1"/>
    <col min="62" max="62" width="15.7109375" style="6" hidden="1" customWidth="1"/>
    <col min="63" max="63" width="14.7109375" style="6" hidden="1" customWidth="1"/>
    <col min="64" max="64" width="15.7109375" style="6" hidden="1" customWidth="1"/>
    <col min="65" max="65" width="14.7109375" style="6" hidden="1" customWidth="1"/>
    <col min="66" max="66" width="15.7109375" style="6" hidden="1" customWidth="1"/>
    <col min="67" max="67" width="14.7109375" style="6" hidden="1" customWidth="1"/>
    <col min="68" max="68" width="15.7109375" style="6" hidden="1" customWidth="1"/>
    <col min="69" max="69" width="14.7109375" style="6" hidden="1" customWidth="1"/>
    <col min="70" max="70" width="15.7109375" style="6" hidden="1" customWidth="1"/>
    <col min="71" max="71" width="14.7109375" style="6" hidden="1" customWidth="1"/>
    <col min="72" max="72" width="15.7109375" style="6" hidden="1" customWidth="1"/>
    <col min="73" max="73" width="14.7109375" style="6" hidden="1" customWidth="1"/>
    <col min="74" max="74" width="15.7109375" style="6" hidden="1" customWidth="1"/>
    <col min="75" max="75" width="14.7109375" style="6" hidden="1" customWidth="1"/>
    <col min="76" max="76" width="15.7109375" style="6" hidden="1" customWidth="1"/>
    <col min="77" max="77" width="14.7109375" style="6" hidden="1" customWidth="1"/>
    <col min="78" max="78" width="15.7109375" style="6" hidden="1" customWidth="1"/>
    <col min="79" max="79" width="14.7109375" style="6" hidden="1" customWidth="1"/>
    <col min="80" max="80" width="15.7109375" style="6" hidden="1" customWidth="1"/>
    <col min="81" max="81" width="14.7109375" style="6" hidden="1" customWidth="1"/>
    <col min="82" max="82" width="15.7109375" style="6" hidden="1" customWidth="1"/>
    <col min="83" max="83" width="16.5703125" style="6" hidden="1" customWidth="1"/>
    <col min="84" max="84" width="20.42578125" style="6" hidden="1" customWidth="1"/>
    <col min="85" max="85" width="24.85546875" style="6" hidden="1" customWidth="1"/>
    <col min="86" max="86" width="20.42578125" style="6" hidden="1" customWidth="1"/>
    <col min="87" max="87" width="24.85546875" style="6" hidden="1" customWidth="1"/>
    <col min="88" max="88" width="27" style="6" bestFit="1" customWidth="1"/>
    <col min="89" max="89" width="14.7109375" style="6" hidden="1" customWidth="1"/>
    <col min="90" max="90" width="15.7109375" style="6" hidden="1" customWidth="1"/>
    <col min="91" max="91" width="14.7109375" style="6" hidden="1" customWidth="1"/>
    <col min="92" max="92" width="15.7109375" style="6" hidden="1" customWidth="1"/>
    <col min="93" max="93" width="14.7109375" style="6" hidden="1" customWidth="1"/>
    <col min="94" max="94" width="15.7109375" style="6" hidden="1" customWidth="1"/>
    <col min="95" max="95" width="14.7109375" style="6" hidden="1" customWidth="1"/>
    <col min="96" max="96" width="15.7109375" style="6" hidden="1" customWidth="1"/>
    <col min="97" max="97" width="14.7109375" style="6" hidden="1" customWidth="1"/>
    <col min="98" max="98" width="15.7109375" style="6" hidden="1" customWidth="1"/>
    <col min="99" max="99" width="14.7109375" style="6" hidden="1" customWidth="1"/>
    <col min="100" max="100" width="15.7109375" style="6" hidden="1" customWidth="1"/>
    <col min="101" max="101" width="14.7109375" style="6" hidden="1" customWidth="1"/>
    <col min="102" max="102" width="15.7109375" style="6" hidden="1" customWidth="1"/>
    <col min="103" max="103" width="14.7109375" style="6" hidden="1" customWidth="1"/>
    <col min="104" max="104" width="15.7109375" style="6" hidden="1" customWidth="1"/>
    <col min="105" max="105" width="14.7109375" style="6" hidden="1" customWidth="1"/>
    <col min="106" max="106" width="15.7109375" style="6" hidden="1" customWidth="1"/>
    <col min="107" max="107" width="14.7109375" style="6" hidden="1" customWidth="1"/>
    <col min="108" max="108" width="15.7109375" style="6" hidden="1" customWidth="1"/>
    <col min="109" max="109" width="14.7109375" style="6" hidden="1" customWidth="1"/>
    <col min="110" max="110" width="15.7109375" style="6" hidden="1" customWidth="1"/>
    <col min="111" max="111" width="14.7109375" style="6" hidden="1" customWidth="1"/>
    <col min="112" max="112" width="15.7109375" style="6" hidden="1" customWidth="1"/>
    <col min="113" max="113" width="16.5703125" style="6" hidden="1" customWidth="1"/>
    <col min="114" max="114" width="20.42578125" style="6" hidden="1" customWidth="1"/>
    <col min="115" max="115" width="18" style="6" hidden="1" customWidth="1"/>
    <col min="116" max="116" width="20.42578125" style="6" hidden="1" customWidth="1"/>
    <col min="117" max="117" width="17.140625" style="6" hidden="1" customWidth="1"/>
    <col min="118" max="118" width="25.42578125" style="6" bestFit="1" customWidth="1"/>
    <col min="119" max="147" width="15.7109375" style="6" hidden="1" customWidth="1"/>
    <col min="148" max="148" width="13.5703125" style="17" customWidth="1"/>
    <col min="149" max="149" width="14" style="17" customWidth="1"/>
    <col min="150" max="150" width="13.7109375" style="1" customWidth="1"/>
    <col min="151" max="151" width="15.5703125" style="1" customWidth="1"/>
    <col min="152" max="152" width="14.42578125" style="1" customWidth="1"/>
    <col min="153" max="153" width="62.42578125" style="1" customWidth="1"/>
    <col min="154" max="154" width="26.42578125" style="1" customWidth="1"/>
    <col min="155" max="155" width="24.85546875" style="1" customWidth="1"/>
    <col min="156" max="156" width="38" style="1" customWidth="1"/>
    <col min="157" max="157" width="38.28515625" style="1" customWidth="1"/>
    <col min="158" max="158" width="6" style="1" bestFit="1" customWidth="1"/>
    <col min="159" max="160" width="10.7109375" style="1" customWidth="1"/>
    <col min="161" max="16384" width="10.7109375" style="1"/>
  </cols>
  <sheetData>
    <row r="1" spans="1:159" s="124" customFormat="1" ht="29.25" customHeight="1" x14ac:dyDescent="0.35">
      <c r="A1" s="435"/>
      <c r="B1" s="436"/>
      <c r="C1" s="436"/>
      <c r="D1" s="436"/>
      <c r="E1" s="436"/>
      <c r="F1" s="444" t="s">
        <v>39</v>
      </c>
      <c r="G1" s="444"/>
      <c r="H1" s="444"/>
      <c r="I1" s="444"/>
      <c r="J1" s="444"/>
      <c r="K1" s="444"/>
      <c r="L1" s="444"/>
      <c r="M1" s="444"/>
      <c r="N1" s="444"/>
      <c r="O1" s="444"/>
      <c r="P1" s="444"/>
      <c r="Q1" s="444"/>
      <c r="R1" s="444"/>
      <c r="S1" s="444"/>
      <c r="T1" s="444"/>
      <c r="U1" s="444"/>
      <c r="V1" s="444"/>
      <c r="W1" s="444"/>
      <c r="X1" s="444"/>
      <c r="Y1" s="444"/>
      <c r="Z1" s="444"/>
      <c r="AA1" s="444"/>
      <c r="AB1" s="444"/>
      <c r="AC1" s="444"/>
      <c r="AD1" s="444"/>
      <c r="AE1" s="444"/>
      <c r="AF1" s="444"/>
      <c r="AG1" s="444"/>
      <c r="AH1" s="444"/>
      <c r="AI1" s="444"/>
      <c r="AJ1" s="444"/>
      <c r="AK1" s="444"/>
      <c r="AL1" s="444"/>
      <c r="AM1" s="444"/>
      <c r="AN1" s="444"/>
      <c r="AO1" s="444"/>
      <c r="AP1" s="444"/>
      <c r="AQ1" s="444"/>
      <c r="AR1" s="444"/>
      <c r="AS1" s="444"/>
      <c r="AT1" s="444"/>
      <c r="AU1" s="444"/>
      <c r="AV1" s="444"/>
      <c r="AW1" s="444"/>
      <c r="AX1" s="444"/>
      <c r="AY1" s="444"/>
      <c r="AZ1" s="444"/>
      <c r="BA1" s="444"/>
      <c r="BB1" s="444"/>
      <c r="BC1" s="444"/>
      <c r="BD1" s="444"/>
      <c r="BE1" s="444"/>
      <c r="BF1" s="444"/>
      <c r="BG1" s="444"/>
      <c r="BH1" s="444"/>
      <c r="BI1" s="444"/>
      <c r="BJ1" s="444"/>
      <c r="BK1" s="444"/>
      <c r="BL1" s="444"/>
      <c r="BM1" s="444"/>
      <c r="BN1" s="444"/>
      <c r="BO1" s="444"/>
      <c r="BP1" s="444"/>
      <c r="BQ1" s="444"/>
      <c r="BR1" s="444"/>
      <c r="BS1" s="444"/>
      <c r="BT1" s="444"/>
      <c r="BU1" s="444"/>
      <c r="BV1" s="444"/>
      <c r="BW1" s="444"/>
      <c r="BX1" s="444"/>
      <c r="BY1" s="444"/>
      <c r="BZ1" s="444"/>
      <c r="CA1" s="444"/>
      <c r="CB1" s="444"/>
      <c r="CC1" s="444"/>
      <c r="CD1" s="444"/>
      <c r="CE1" s="444"/>
      <c r="CF1" s="444"/>
      <c r="CG1" s="444"/>
      <c r="CH1" s="444"/>
      <c r="CI1" s="444"/>
      <c r="CJ1" s="444"/>
      <c r="CK1" s="444"/>
      <c r="CL1" s="444"/>
      <c r="CM1" s="444"/>
      <c r="CN1" s="444"/>
      <c r="CO1" s="444"/>
      <c r="CP1" s="444"/>
      <c r="CQ1" s="444"/>
      <c r="CR1" s="444"/>
      <c r="CS1" s="444"/>
      <c r="CT1" s="444"/>
      <c r="CU1" s="444"/>
      <c r="CV1" s="444"/>
      <c r="CW1" s="444"/>
      <c r="CX1" s="444"/>
      <c r="CY1" s="444"/>
      <c r="CZ1" s="444"/>
      <c r="DA1" s="444"/>
      <c r="DB1" s="444"/>
      <c r="DC1" s="444"/>
      <c r="DD1" s="444"/>
      <c r="DE1" s="444"/>
      <c r="DF1" s="444"/>
      <c r="DG1" s="444"/>
      <c r="DH1" s="444"/>
      <c r="DI1" s="444"/>
      <c r="DJ1" s="444"/>
      <c r="DK1" s="444"/>
      <c r="DL1" s="444"/>
      <c r="DM1" s="444"/>
      <c r="DN1" s="444"/>
      <c r="DO1" s="444"/>
      <c r="DP1" s="444"/>
      <c r="DQ1" s="444"/>
      <c r="DR1" s="444"/>
      <c r="DS1" s="444"/>
      <c r="DT1" s="444"/>
      <c r="DU1" s="444"/>
      <c r="DV1" s="444"/>
      <c r="DW1" s="444"/>
      <c r="DX1" s="444"/>
      <c r="DY1" s="444"/>
      <c r="DZ1" s="444"/>
      <c r="EA1" s="444"/>
      <c r="EB1" s="444"/>
      <c r="EC1" s="444"/>
      <c r="ED1" s="444"/>
      <c r="EE1" s="444"/>
      <c r="EF1" s="444"/>
      <c r="EG1" s="444"/>
      <c r="EH1" s="444"/>
      <c r="EI1" s="444"/>
      <c r="EJ1" s="444"/>
      <c r="EK1" s="444"/>
      <c r="EL1" s="444"/>
      <c r="EM1" s="444"/>
      <c r="EN1" s="444"/>
      <c r="EO1" s="444"/>
      <c r="EP1" s="444"/>
      <c r="EQ1" s="444"/>
      <c r="ER1" s="444"/>
      <c r="ES1" s="444"/>
      <c r="ET1" s="444"/>
      <c r="EU1" s="444"/>
      <c r="EV1" s="444"/>
      <c r="EW1" s="444"/>
      <c r="EX1" s="444"/>
      <c r="EY1" s="444"/>
      <c r="EZ1" s="444"/>
      <c r="FA1" s="445"/>
    </row>
    <row r="2" spans="1:159" s="124" customFormat="1" ht="42" customHeight="1" x14ac:dyDescent="0.35">
      <c r="A2" s="437"/>
      <c r="B2" s="438"/>
      <c r="C2" s="438"/>
      <c r="D2" s="438"/>
      <c r="E2" s="438"/>
      <c r="F2" s="446" t="s">
        <v>261</v>
      </c>
      <c r="G2" s="446"/>
      <c r="H2" s="446"/>
      <c r="I2" s="446"/>
      <c r="J2" s="446"/>
      <c r="K2" s="446"/>
      <c r="L2" s="446"/>
      <c r="M2" s="446"/>
      <c r="N2" s="446"/>
      <c r="O2" s="446"/>
      <c r="P2" s="446"/>
      <c r="Q2" s="446"/>
      <c r="R2" s="446"/>
      <c r="S2" s="446"/>
      <c r="T2" s="446"/>
      <c r="U2" s="446"/>
      <c r="V2" s="446"/>
      <c r="W2" s="446"/>
      <c r="X2" s="446"/>
      <c r="Y2" s="446"/>
      <c r="Z2" s="446"/>
      <c r="AA2" s="446"/>
      <c r="AB2" s="446"/>
      <c r="AC2" s="446"/>
      <c r="AD2" s="446"/>
      <c r="AE2" s="446"/>
      <c r="AF2" s="446"/>
      <c r="AG2" s="446"/>
      <c r="AH2" s="446"/>
      <c r="AI2" s="446"/>
      <c r="AJ2" s="446"/>
      <c r="AK2" s="446"/>
      <c r="AL2" s="446"/>
      <c r="AM2" s="446"/>
      <c r="AN2" s="446"/>
      <c r="AO2" s="446"/>
      <c r="AP2" s="446"/>
      <c r="AQ2" s="446"/>
      <c r="AR2" s="446"/>
      <c r="AS2" s="446"/>
      <c r="AT2" s="446"/>
      <c r="AU2" s="446"/>
      <c r="AV2" s="446"/>
      <c r="AW2" s="446"/>
      <c r="AX2" s="446"/>
      <c r="AY2" s="446"/>
      <c r="AZ2" s="446"/>
      <c r="BA2" s="446"/>
      <c r="BB2" s="446"/>
      <c r="BC2" s="446"/>
      <c r="BD2" s="446"/>
      <c r="BE2" s="446"/>
      <c r="BF2" s="446"/>
      <c r="BG2" s="446"/>
      <c r="BH2" s="446"/>
      <c r="BI2" s="446"/>
      <c r="BJ2" s="446"/>
      <c r="BK2" s="446"/>
      <c r="BL2" s="446"/>
      <c r="BM2" s="446"/>
      <c r="BN2" s="446"/>
      <c r="BO2" s="446"/>
      <c r="BP2" s="446"/>
      <c r="BQ2" s="446"/>
      <c r="BR2" s="446"/>
      <c r="BS2" s="446"/>
      <c r="BT2" s="446"/>
      <c r="BU2" s="446"/>
      <c r="BV2" s="446"/>
      <c r="BW2" s="446"/>
      <c r="BX2" s="446"/>
      <c r="BY2" s="446"/>
      <c r="BZ2" s="446"/>
      <c r="CA2" s="446"/>
      <c r="CB2" s="446"/>
      <c r="CC2" s="446"/>
      <c r="CD2" s="446"/>
      <c r="CE2" s="446"/>
      <c r="CF2" s="446"/>
      <c r="CG2" s="446"/>
      <c r="CH2" s="446"/>
      <c r="CI2" s="446"/>
      <c r="CJ2" s="446"/>
      <c r="CK2" s="446"/>
      <c r="CL2" s="446"/>
      <c r="CM2" s="446"/>
      <c r="CN2" s="446"/>
      <c r="CO2" s="446"/>
      <c r="CP2" s="446"/>
      <c r="CQ2" s="446"/>
      <c r="CR2" s="446"/>
      <c r="CS2" s="446"/>
      <c r="CT2" s="446"/>
      <c r="CU2" s="446"/>
      <c r="CV2" s="446"/>
      <c r="CW2" s="446"/>
      <c r="CX2" s="446"/>
      <c r="CY2" s="446"/>
      <c r="CZ2" s="446"/>
      <c r="DA2" s="446"/>
      <c r="DB2" s="446"/>
      <c r="DC2" s="446"/>
      <c r="DD2" s="446"/>
      <c r="DE2" s="446"/>
      <c r="DF2" s="446"/>
      <c r="DG2" s="446"/>
      <c r="DH2" s="446"/>
      <c r="DI2" s="446"/>
      <c r="DJ2" s="446"/>
      <c r="DK2" s="446"/>
      <c r="DL2" s="446"/>
      <c r="DM2" s="446"/>
      <c r="DN2" s="446"/>
      <c r="DO2" s="446"/>
      <c r="DP2" s="446"/>
      <c r="DQ2" s="446"/>
      <c r="DR2" s="446"/>
      <c r="DS2" s="446"/>
      <c r="DT2" s="446"/>
      <c r="DU2" s="446"/>
      <c r="DV2" s="446"/>
      <c r="DW2" s="446"/>
      <c r="DX2" s="446"/>
      <c r="DY2" s="446"/>
      <c r="DZ2" s="446"/>
      <c r="EA2" s="446"/>
      <c r="EB2" s="446"/>
      <c r="EC2" s="446"/>
      <c r="ED2" s="446"/>
      <c r="EE2" s="446"/>
      <c r="EF2" s="446"/>
      <c r="EG2" s="446"/>
      <c r="EH2" s="446"/>
      <c r="EI2" s="446"/>
      <c r="EJ2" s="446"/>
      <c r="EK2" s="446"/>
      <c r="EL2" s="446"/>
      <c r="EM2" s="446"/>
      <c r="EN2" s="446"/>
      <c r="EO2" s="446"/>
      <c r="EP2" s="446"/>
      <c r="EQ2" s="446"/>
      <c r="ER2" s="446"/>
      <c r="ES2" s="446"/>
      <c r="ET2" s="446"/>
      <c r="EU2" s="446"/>
      <c r="EV2" s="446"/>
      <c r="EW2" s="446"/>
      <c r="EX2" s="446"/>
      <c r="EY2" s="446"/>
      <c r="EZ2" s="446"/>
      <c r="FA2" s="447"/>
    </row>
    <row r="3" spans="1:159" s="18" customFormat="1" ht="31.5" customHeight="1" x14ac:dyDescent="0.4">
      <c r="A3" s="437"/>
      <c r="B3" s="438"/>
      <c r="C3" s="438"/>
      <c r="D3" s="438"/>
      <c r="E3" s="438"/>
      <c r="F3" s="448" t="s">
        <v>48</v>
      </c>
      <c r="G3" s="448"/>
      <c r="H3" s="448"/>
      <c r="I3" s="448"/>
      <c r="J3" s="448"/>
      <c r="K3" s="448"/>
      <c r="L3" s="448"/>
      <c r="M3" s="448"/>
      <c r="N3" s="448"/>
      <c r="O3" s="448"/>
      <c r="P3" s="448"/>
      <c r="Q3" s="448"/>
      <c r="R3" s="448"/>
      <c r="S3" s="448"/>
      <c r="T3" s="448"/>
      <c r="U3" s="448"/>
      <c r="V3" s="448"/>
      <c r="W3" s="448"/>
      <c r="X3" s="448"/>
      <c r="Y3" s="448"/>
      <c r="Z3" s="448"/>
      <c r="AA3" s="448"/>
      <c r="AB3" s="448"/>
      <c r="AC3" s="448"/>
      <c r="AD3" s="448"/>
      <c r="AE3" s="448"/>
      <c r="AF3" s="448"/>
      <c r="AG3" s="448"/>
      <c r="AH3" s="448"/>
      <c r="AI3" s="448"/>
      <c r="AJ3" s="448"/>
      <c r="AK3" s="448"/>
      <c r="AL3" s="448"/>
      <c r="AM3" s="448"/>
      <c r="AN3" s="448"/>
      <c r="AO3" s="448"/>
      <c r="AP3" s="448"/>
      <c r="AQ3" s="448"/>
      <c r="AR3" s="448"/>
      <c r="AS3" s="448"/>
      <c r="AT3" s="448"/>
      <c r="AU3" s="448"/>
      <c r="AV3" s="448"/>
      <c r="AW3" s="448"/>
      <c r="AX3" s="448"/>
      <c r="AY3" s="448"/>
      <c r="AZ3" s="448"/>
      <c r="BA3" s="448"/>
      <c r="BB3" s="448"/>
      <c r="BC3" s="448"/>
      <c r="BD3" s="448"/>
      <c r="BE3" s="448"/>
      <c r="BF3" s="448"/>
      <c r="BG3" s="448"/>
      <c r="BH3" s="448"/>
      <c r="BI3" s="448"/>
      <c r="BJ3" s="448"/>
      <c r="BK3" s="448"/>
      <c r="BL3" s="448"/>
      <c r="BM3" s="448"/>
      <c r="BN3" s="448"/>
      <c r="BO3" s="448"/>
      <c r="BP3" s="448"/>
      <c r="BQ3" s="448"/>
      <c r="BR3" s="448"/>
      <c r="BS3" s="448"/>
      <c r="BT3" s="448"/>
      <c r="BU3" s="448"/>
      <c r="BV3" s="448"/>
      <c r="BW3" s="448"/>
      <c r="BX3" s="448"/>
      <c r="BY3" s="448"/>
      <c r="BZ3" s="448"/>
      <c r="CA3" s="448"/>
      <c r="CB3" s="448"/>
      <c r="CC3" s="448"/>
      <c r="CD3" s="448"/>
      <c r="CE3" s="448"/>
      <c r="CF3" s="448"/>
      <c r="CG3" s="448"/>
      <c r="CH3" s="448"/>
      <c r="CI3" s="448"/>
      <c r="CJ3" s="448"/>
      <c r="CK3" s="448"/>
      <c r="CL3" s="448"/>
      <c r="CM3" s="448"/>
      <c r="CN3" s="448"/>
      <c r="CO3" s="448"/>
      <c r="CP3" s="448"/>
      <c r="CQ3" s="448"/>
      <c r="CR3" s="448"/>
      <c r="CS3" s="448"/>
      <c r="CT3" s="448"/>
      <c r="CU3" s="448"/>
      <c r="CV3" s="448"/>
      <c r="CW3" s="448"/>
      <c r="CX3" s="448"/>
      <c r="CY3" s="448"/>
      <c r="CZ3" s="448"/>
      <c r="DA3" s="448"/>
      <c r="DB3" s="448"/>
      <c r="DC3" s="448"/>
      <c r="DD3" s="448"/>
      <c r="DE3" s="448"/>
      <c r="DF3" s="448"/>
      <c r="DG3" s="448"/>
      <c r="DH3" s="448"/>
      <c r="DI3" s="448"/>
      <c r="DJ3" s="448"/>
      <c r="DK3" s="448"/>
      <c r="DL3" s="448"/>
      <c r="DM3" s="448"/>
      <c r="DN3" s="448"/>
      <c r="DO3" s="448"/>
      <c r="DP3" s="448"/>
      <c r="DQ3" s="448"/>
      <c r="DR3" s="448"/>
      <c r="DS3" s="448"/>
      <c r="DT3" s="448"/>
      <c r="DU3" s="448"/>
      <c r="DV3" s="448"/>
      <c r="DW3" s="448"/>
      <c r="DX3" s="448"/>
      <c r="DY3" s="448"/>
      <c r="DZ3" s="448"/>
      <c r="EA3" s="448"/>
      <c r="EB3" s="448"/>
      <c r="EC3" s="448"/>
      <c r="ED3" s="448"/>
      <c r="EE3" s="448"/>
      <c r="EF3" s="448"/>
      <c r="EG3" s="448"/>
      <c r="EH3" s="448"/>
      <c r="EI3" s="448"/>
      <c r="EJ3" s="448"/>
      <c r="EK3" s="448"/>
      <c r="EL3" s="448"/>
      <c r="EM3" s="448"/>
      <c r="EN3" s="448"/>
      <c r="EO3" s="448"/>
      <c r="EP3" s="448"/>
      <c r="EQ3" s="448"/>
      <c r="ER3" s="448" t="s">
        <v>243</v>
      </c>
      <c r="ES3" s="448"/>
      <c r="ET3" s="448"/>
      <c r="EU3" s="448"/>
      <c r="EV3" s="448"/>
      <c r="EW3" s="448"/>
      <c r="EX3" s="448"/>
      <c r="EY3" s="448"/>
      <c r="EZ3" s="448"/>
      <c r="FA3" s="451"/>
    </row>
    <row r="4" spans="1:159" ht="31.5" customHeight="1" x14ac:dyDescent="0.25">
      <c r="A4" s="439" t="s">
        <v>0</v>
      </c>
      <c r="B4" s="440"/>
      <c r="C4" s="440"/>
      <c r="D4" s="440"/>
      <c r="E4" s="440"/>
      <c r="F4" s="455" t="s">
        <v>266</v>
      </c>
      <c r="G4" s="456"/>
      <c r="H4" s="456"/>
      <c r="I4" s="456"/>
      <c r="J4" s="456"/>
      <c r="K4" s="456"/>
      <c r="L4" s="456"/>
      <c r="M4" s="456"/>
      <c r="N4" s="456"/>
      <c r="O4" s="456"/>
      <c r="P4" s="456"/>
      <c r="Q4" s="456"/>
      <c r="R4" s="456"/>
      <c r="S4" s="456"/>
      <c r="T4" s="456"/>
      <c r="U4" s="456"/>
      <c r="V4" s="456"/>
      <c r="W4" s="456"/>
      <c r="X4" s="456"/>
      <c r="Y4" s="456"/>
      <c r="Z4" s="456"/>
      <c r="AA4" s="456"/>
      <c r="AB4" s="456"/>
      <c r="AC4" s="456"/>
      <c r="AD4" s="456"/>
      <c r="AE4" s="456"/>
      <c r="AF4" s="456"/>
      <c r="AG4" s="456"/>
      <c r="AH4" s="456"/>
      <c r="AI4" s="456"/>
      <c r="AJ4" s="456"/>
      <c r="AK4" s="456"/>
      <c r="AL4" s="456"/>
      <c r="AM4" s="456"/>
      <c r="AN4" s="456"/>
      <c r="AO4" s="456"/>
      <c r="AP4" s="456"/>
      <c r="AQ4" s="456"/>
      <c r="AR4" s="456"/>
      <c r="AS4" s="456"/>
      <c r="AT4" s="456"/>
      <c r="AU4" s="456"/>
      <c r="AV4" s="456"/>
      <c r="AW4" s="456"/>
      <c r="AX4" s="456"/>
      <c r="AY4" s="456"/>
      <c r="AZ4" s="456"/>
      <c r="BA4" s="456"/>
      <c r="BB4" s="456"/>
      <c r="BC4" s="456"/>
      <c r="BD4" s="456"/>
      <c r="BE4" s="456"/>
      <c r="BF4" s="456"/>
      <c r="BG4" s="456"/>
      <c r="BH4" s="456"/>
      <c r="BI4" s="456"/>
      <c r="BJ4" s="456"/>
      <c r="BK4" s="456"/>
      <c r="BL4" s="456"/>
      <c r="BM4" s="456"/>
      <c r="BN4" s="456"/>
      <c r="BO4" s="456"/>
      <c r="BP4" s="456"/>
      <c r="BQ4" s="456"/>
      <c r="BR4" s="456"/>
      <c r="BS4" s="456"/>
      <c r="BT4" s="456"/>
      <c r="BU4" s="456"/>
      <c r="BV4" s="456"/>
      <c r="BW4" s="456"/>
      <c r="BX4" s="456"/>
      <c r="BY4" s="456"/>
      <c r="BZ4" s="456"/>
      <c r="CA4" s="456"/>
      <c r="CB4" s="456"/>
      <c r="CC4" s="456"/>
      <c r="CD4" s="456"/>
      <c r="CE4" s="456"/>
      <c r="CF4" s="456"/>
      <c r="CG4" s="456"/>
      <c r="CH4" s="456"/>
      <c r="CI4" s="456"/>
      <c r="CJ4" s="456"/>
      <c r="CK4" s="456"/>
      <c r="CL4" s="456"/>
      <c r="CM4" s="456"/>
      <c r="CN4" s="456"/>
      <c r="CO4" s="456"/>
      <c r="CP4" s="456"/>
      <c r="CQ4" s="456"/>
      <c r="CR4" s="456"/>
      <c r="CS4" s="456"/>
      <c r="CT4" s="456"/>
      <c r="CU4" s="456"/>
      <c r="CV4" s="456"/>
      <c r="CW4" s="456"/>
      <c r="CX4" s="456"/>
      <c r="CY4" s="456"/>
      <c r="CZ4" s="456"/>
      <c r="DA4" s="456"/>
      <c r="DB4" s="456"/>
      <c r="DC4" s="456"/>
      <c r="DD4" s="456"/>
      <c r="DE4" s="456"/>
      <c r="DF4" s="456"/>
      <c r="DG4" s="456"/>
      <c r="DH4" s="456"/>
      <c r="DI4" s="456"/>
      <c r="DJ4" s="456"/>
      <c r="DK4" s="456"/>
      <c r="DL4" s="456"/>
      <c r="DM4" s="456"/>
      <c r="DN4" s="456"/>
      <c r="DO4" s="456"/>
      <c r="DP4" s="456"/>
      <c r="DQ4" s="456"/>
      <c r="DR4" s="456"/>
      <c r="DS4" s="456"/>
      <c r="DT4" s="456"/>
      <c r="DU4" s="456"/>
      <c r="DV4" s="456"/>
      <c r="DW4" s="456"/>
      <c r="DX4" s="456"/>
      <c r="DY4" s="456"/>
      <c r="DZ4" s="456"/>
      <c r="EA4" s="456"/>
      <c r="EB4" s="456"/>
      <c r="EC4" s="456"/>
      <c r="ED4" s="456"/>
      <c r="EE4" s="456"/>
      <c r="EF4" s="456"/>
      <c r="EG4" s="456"/>
      <c r="EH4" s="456"/>
      <c r="EI4" s="456"/>
      <c r="EJ4" s="456"/>
      <c r="EK4" s="456"/>
      <c r="EL4" s="456"/>
      <c r="EM4" s="456"/>
      <c r="EN4" s="456"/>
      <c r="EO4" s="456"/>
      <c r="EP4" s="456"/>
      <c r="EQ4" s="456"/>
      <c r="ER4" s="456"/>
      <c r="ES4" s="456"/>
      <c r="ET4" s="456"/>
      <c r="EU4" s="456"/>
      <c r="EV4" s="456"/>
      <c r="EW4" s="456"/>
      <c r="EX4" s="456"/>
      <c r="EY4" s="456"/>
      <c r="EZ4" s="456"/>
      <c r="FA4" s="457"/>
      <c r="FB4" s="123"/>
    </row>
    <row r="5" spans="1:159" ht="27.75" customHeight="1" thickBot="1" x14ac:dyDescent="0.3">
      <c r="A5" s="441" t="s">
        <v>2</v>
      </c>
      <c r="B5" s="442"/>
      <c r="C5" s="442"/>
      <c r="D5" s="442"/>
      <c r="E5" s="442"/>
      <c r="F5" s="452" t="s">
        <v>267</v>
      </c>
      <c r="G5" s="453"/>
      <c r="H5" s="453"/>
      <c r="I5" s="453"/>
      <c r="J5" s="453"/>
      <c r="K5" s="453"/>
      <c r="L5" s="453"/>
      <c r="M5" s="453"/>
      <c r="N5" s="453"/>
      <c r="O5" s="453"/>
      <c r="P5" s="453"/>
      <c r="Q5" s="453"/>
      <c r="R5" s="453"/>
      <c r="S5" s="453"/>
      <c r="T5" s="453"/>
      <c r="U5" s="453"/>
      <c r="V5" s="453"/>
      <c r="W5" s="453"/>
      <c r="X5" s="453"/>
      <c r="Y5" s="453"/>
      <c r="Z5" s="453"/>
      <c r="AA5" s="453"/>
      <c r="AB5" s="453"/>
      <c r="AC5" s="453"/>
      <c r="AD5" s="453"/>
      <c r="AE5" s="453"/>
      <c r="AF5" s="453"/>
      <c r="AG5" s="453"/>
      <c r="AH5" s="453"/>
      <c r="AI5" s="453"/>
      <c r="AJ5" s="453"/>
      <c r="AK5" s="453"/>
      <c r="AL5" s="453"/>
      <c r="AM5" s="453"/>
      <c r="AN5" s="453"/>
      <c r="AO5" s="453"/>
      <c r="AP5" s="453"/>
      <c r="AQ5" s="453"/>
      <c r="AR5" s="453"/>
      <c r="AS5" s="453"/>
      <c r="AT5" s="453"/>
      <c r="AU5" s="453"/>
      <c r="AV5" s="453"/>
      <c r="AW5" s="453"/>
      <c r="AX5" s="453"/>
      <c r="AY5" s="453"/>
      <c r="AZ5" s="453"/>
      <c r="BA5" s="453"/>
      <c r="BB5" s="453"/>
      <c r="BC5" s="453"/>
      <c r="BD5" s="453"/>
      <c r="BE5" s="453"/>
      <c r="BF5" s="453"/>
      <c r="BG5" s="453"/>
      <c r="BH5" s="453"/>
      <c r="BI5" s="453"/>
      <c r="BJ5" s="453"/>
      <c r="BK5" s="453"/>
      <c r="BL5" s="453"/>
      <c r="BM5" s="453"/>
      <c r="BN5" s="453"/>
      <c r="BO5" s="453"/>
      <c r="BP5" s="453"/>
      <c r="BQ5" s="453"/>
      <c r="BR5" s="453"/>
      <c r="BS5" s="453"/>
      <c r="BT5" s="453"/>
      <c r="BU5" s="453"/>
      <c r="BV5" s="453"/>
      <c r="BW5" s="453"/>
      <c r="BX5" s="453"/>
      <c r="BY5" s="453"/>
      <c r="BZ5" s="453"/>
      <c r="CA5" s="453"/>
      <c r="CB5" s="453"/>
      <c r="CC5" s="453"/>
      <c r="CD5" s="453"/>
      <c r="CE5" s="453"/>
      <c r="CF5" s="453"/>
      <c r="CG5" s="453"/>
      <c r="CH5" s="453"/>
      <c r="CI5" s="453"/>
      <c r="CJ5" s="453"/>
      <c r="CK5" s="453"/>
      <c r="CL5" s="453"/>
      <c r="CM5" s="453"/>
      <c r="CN5" s="453"/>
      <c r="CO5" s="453"/>
      <c r="CP5" s="453"/>
      <c r="CQ5" s="453"/>
      <c r="CR5" s="453"/>
      <c r="CS5" s="453"/>
      <c r="CT5" s="453"/>
      <c r="CU5" s="453"/>
      <c r="CV5" s="453"/>
      <c r="CW5" s="453"/>
      <c r="CX5" s="453"/>
      <c r="CY5" s="453"/>
      <c r="CZ5" s="453"/>
      <c r="DA5" s="453"/>
      <c r="DB5" s="453"/>
      <c r="DC5" s="453"/>
      <c r="DD5" s="453"/>
      <c r="DE5" s="453"/>
      <c r="DF5" s="453"/>
      <c r="DG5" s="453"/>
      <c r="DH5" s="453"/>
      <c r="DI5" s="453"/>
      <c r="DJ5" s="453"/>
      <c r="DK5" s="453"/>
      <c r="DL5" s="453"/>
      <c r="DM5" s="453"/>
      <c r="DN5" s="453"/>
      <c r="DO5" s="453"/>
      <c r="DP5" s="453"/>
      <c r="DQ5" s="453"/>
      <c r="DR5" s="453"/>
      <c r="DS5" s="453"/>
      <c r="DT5" s="453"/>
      <c r="DU5" s="453"/>
      <c r="DV5" s="453"/>
      <c r="DW5" s="453"/>
      <c r="DX5" s="453"/>
      <c r="DY5" s="453"/>
      <c r="DZ5" s="453"/>
      <c r="EA5" s="453"/>
      <c r="EB5" s="453"/>
      <c r="EC5" s="453"/>
      <c r="ED5" s="453"/>
      <c r="EE5" s="453"/>
      <c r="EF5" s="453"/>
      <c r="EG5" s="453"/>
      <c r="EH5" s="453"/>
      <c r="EI5" s="453"/>
      <c r="EJ5" s="453"/>
      <c r="EK5" s="453"/>
      <c r="EL5" s="453"/>
      <c r="EM5" s="453"/>
      <c r="EN5" s="453"/>
      <c r="EO5" s="453"/>
      <c r="EP5" s="453"/>
      <c r="EQ5" s="453"/>
      <c r="ER5" s="453"/>
      <c r="ES5" s="453"/>
      <c r="ET5" s="453"/>
      <c r="EU5" s="453"/>
      <c r="EV5" s="453"/>
      <c r="EW5" s="453"/>
      <c r="EX5" s="453"/>
      <c r="EY5" s="453"/>
      <c r="EZ5" s="453"/>
      <c r="FA5" s="454"/>
      <c r="FB5" s="123"/>
    </row>
    <row r="6" spans="1:159" ht="9" customHeight="1" x14ac:dyDescent="0.25">
      <c r="A6" s="3"/>
      <c r="B6" s="3"/>
      <c r="C6" s="3"/>
      <c r="D6" s="23"/>
      <c r="E6" s="23"/>
      <c r="F6" s="24"/>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25"/>
      <c r="AI6" s="25"/>
      <c r="AJ6" s="25"/>
      <c r="AK6" s="25"/>
      <c r="AL6" s="25"/>
      <c r="AM6" s="25"/>
      <c r="AN6" s="25"/>
      <c r="AO6" s="25"/>
      <c r="AP6" s="25"/>
      <c r="AQ6" s="25"/>
      <c r="AR6" s="25"/>
      <c r="AS6" s="25"/>
      <c r="AT6" s="25"/>
      <c r="AU6" s="25"/>
      <c r="AV6" s="25"/>
      <c r="AW6" s="25"/>
      <c r="AX6" s="25"/>
      <c r="AY6" s="25"/>
      <c r="AZ6" s="25"/>
      <c r="BA6" s="184"/>
      <c r="BB6" s="184"/>
      <c r="BC6" s="184"/>
      <c r="BD6" s="25"/>
      <c r="BE6" s="25"/>
      <c r="BF6" s="25"/>
      <c r="BG6" s="25"/>
      <c r="BH6" s="25"/>
      <c r="BI6" s="25"/>
      <c r="BJ6" s="25"/>
      <c r="BK6" s="25"/>
      <c r="BL6" s="25"/>
      <c r="BM6" s="25"/>
      <c r="BN6" s="25"/>
      <c r="BO6" s="25"/>
      <c r="BP6" s="25"/>
      <c r="BQ6" s="25"/>
      <c r="BR6" s="25"/>
      <c r="BS6" s="25"/>
      <c r="BT6" s="25"/>
      <c r="BU6" s="25"/>
      <c r="BV6" s="25"/>
      <c r="BW6" s="25"/>
      <c r="BX6" s="25"/>
      <c r="BY6" s="25"/>
      <c r="BZ6" s="25"/>
      <c r="CA6" s="25"/>
      <c r="CB6" s="25"/>
      <c r="CC6" s="25"/>
      <c r="CD6" s="25"/>
      <c r="CE6" s="25"/>
      <c r="CF6" s="25"/>
      <c r="CG6" s="25"/>
      <c r="CH6" s="25"/>
      <c r="CI6" s="25"/>
      <c r="CJ6" s="25"/>
      <c r="CK6" s="25"/>
      <c r="CL6" s="25"/>
      <c r="CM6" s="25"/>
      <c r="CN6" s="25"/>
      <c r="CO6" s="25"/>
      <c r="CP6" s="25"/>
      <c r="CQ6" s="25"/>
      <c r="CR6" s="25"/>
      <c r="CS6" s="25"/>
      <c r="CT6" s="25"/>
      <c r="CU6" s="25"/>
      <c r="CV6" s="25"/>
      <c r="CW6" s="25"/>
      <c r="CX6" s="25"/>
      <c r="CY6" s="25"/>
      <c r="CZ6" s="25"/>
      <c r="DA6" s="25"/>
      <c r="DB6" s="25"/>
      <c r="DC6" s="25"/>
      <c r="DD6" s="25"/>
      <c r="DE6" s="25"/>
      <c r="DF6" s="25"/>
      <c r="DG6" s="25"/>
      <c r="DH6" s="25"/>
      <c r="DI6" s="25"/>
      <c r="DJ6" s="25"/>
      <c r="DK6" s="25"/>
      <c r="DL6" s="25"/>
      <c r="DM6" s="25"/>
      <c r="DN6" s="25"/>
      <c r="DO6" s="25"/>
      <c r="DP6" s="25"/>
      <c r="DQ6" s="25"/>
      <c r="DR6" s="25"/>
      <c r="DS6" s="25"/>
      <c r="DT6" s="25"/>
      <c r="DU6" s="25"/>
      <c r="DV6" s="25"/>
      <c r="DW6" s="25"/>
      <c r="DX6" s="25"/>
      <c r="DY6" s="25"/>
      <c r="DZ6" s="25"/>
      <c r="EA6" s="25"/>
      <c r="EB6" s="25"/>
      <c r="EC6" s="25"/>
      <c r="ED6" s="25"/>
      <c r="EE6" s="25"/>
      <c r="EF6" s="25"/>
      <c r="EG6" s="25"/>
      <c r="EH6" s="25"/>
      <c r="EI6" s="25"/>
      <c r="EJ6" s="25"/>
      <c r="EK6" s="25"/>
      <c r="EL6" s="25"/>
      <c r="EM6" s="25"/>
      <c r="EN6" s="25"/>
      <c r="EO6" s="25"/>
      <c r="EP6" s="25"/>
      <c r="EQ6" s="25"/>
      <c r="ER6" s="26"/>
      <c r="ES6" s="26"/>
      <c r="ET6" s="3"/>
      <c r="EU6" s="3"/>
      <c r="EV6" s="3"/>
      <c r="EW6" s="3"/>
      <c r="EX6" s="3"/>
      <c r="EY6" s="3"/>
      <c r="EZ6" s="3"/>
      <c r="FA6" s="3"/>
    </row>
    <row r="7" spans="1:159" s="125" customFormat="1" ht="29.25" customHeight="1" x14ac:dyDescent="0.25">
      <c r="A7" s="443" t="s">
        <v>90</v>
      </c>
      <c r="B7" s="443"/>
      <c r="C7" s="443"/>
      <c r="D7" s="443"/>
      <c r="E7" s="443"/>
      <c r="F7" s="443"/>
      <c r="G7" s="443"/>
      <c r="H7" s="449" t="s">
        <v>231</v>
      </c>
      <c r="I7" s="449"/>
      <c r="J7" s="449"/>
      <c r="K7" s="449"/>
      <c r="L7" s="449"/>
      <c r="M7" s="449"/>
      <c r="N7" s="449"/>
      <c r="O7" s="449"/>
      <c r="P7" s="449"/>
      <c r="Q7" s="449"/>
      <c r="R7" s="449"/>
      <c r="S7" s="449"/>
      <c r="T7" s="449"/>
      <c r="U7" s="449"/>
      <c r="V7" s="449"/>
      <c r="W7" s="449"/>
      <c r="X7" s="449"/>
      <c r="Y7" s="449"/>
      <c r="Z7" s="449"/>
      <c r="AA7" s="449"/>
      <c r="AB7" s="449"/>
      <c r="AC7" s="449"/>
      <c r="AD7" s="449"/>
      <c r="AE7" s="449"/>
      <c r="AF7" s="449"/>
      <c r="AG7" s="449"/>
      <c r="AH7" s="449"/>
      <c r="AI7" s="449"/>
      <c r="AJ7" s="449"/>
      <c r="AK7" s="449"/>
      <c r="AL7" s="449"/>
      <c r="AM7" s="449"/>
      <c r="AN7" s="449"/>
      <c r="AO7" s="449"/>
      <c r="AP7" s="449"/>
      <c r="AQ7" s="449"/>
      <c r="AR7" s="449"/>
      <c r="AS7" s="449"/>
      <c r="AT7" s="449"/>
      <c r="AU7" s="449"/>
      <c r="AV7" s="449"/>
      <c r="AW7" s="449"/>
      <c r="AX7" s="449"/>
      <c r="AY7" s="449"/>
      <c r="AZ7" s="449"/>
      <c r="BA7" s="449"/>
      <c r="BB7" s="449"/>
      <c r="BC7" s="449"/>
      <c r="BD7" s="449"/>
      <c r="BE7" s="449"/>
      <c r="BF7" s="449"/>
      <c r="BG7" s="449"/>
      <c r="BH7" s="449"/>
      <c r="BI7" s="449"/>
      <c r="BJ7" s="449"/>
      <c r="BK7" s="449"/>
      <c r="BL7" s="449"/>
      <c r="BM7" s="449"/>
      <c r="BN7" s="449"/>
      <c r="BO7" s="449"/>
      <c r="BP7" s="449"/>
      <c r="BQ7" s="449"/>
      <c r="BR7" s="449"/>
      <c r="BS7" s="449"/>
      <c r="BT7" s="449"/>
      <c r="BU7" s="449"/>
      <c r="BV7" s="449"/>
      <c r="BW7" s="449"/>
      <c r="BX7" s="449"/>
      <c r="BY7" s="449"/>
      <c r="BZ7" s="449"/>
      <c r="CA7" s="449"/>
      <c r="CB7" s="449"/>
      <c r="CC7" s="449"/>
      <c r="CD7" s="449"/>
      <c r="CE7" s="449"/>
      <c r="CF7" s="449"/>
      <c r="CG7" s="449"/>
      <c r="CH7" s="449"/>
      <c r="CI7" s="449"/>
      <c r="CJ7" s="449"/>
      <c r="CK7" s="449"/>
      <c r="CL7" s="449"/>
      <c r="CM7" s="449"/>
      <c r="CN7" s="449"/>
      <c r="CO7" s="449"/>
      <c r="CP7" s="449"/>
      <c r="CQ7" s="449"/>
      <c r="CR7" s="449"/>
      <c r="CS7" s="449"/>
      <c r="CT7" s="449"/>
      <c r="CU7" s="449"/>
      <c r="CV7" s="449"/>
      <c r="CW7" s="449"/>
      <c r="CX7" s="449"/>
      <c r="CY7" s="449"/>
      <c r="CZ7" s="449"/>
      <c r="DA7" s="449"/>
      <c r="DB7" s="449"/>
      <c r="DC7" s="449"/>
      <c r="DD7" s="449"/>
      <c r="DE7" s="449"/>
      <c r="DF7" s="449"/>
      <c r="DG7" s="449"/>
      <c r="DH7" s="449"/>
      <c r="DI7" s="449"/>
      <c r="DJ7" s="449"/>
      <c r="DK7" s="449"/>
      <c r="DL7" s="449"/>
      <c r="DM7" s="449"/>
      <c r="DN7" s="449"/>
      <c r="DO7" s="449"/>
      <c r="DP7" s="449"/>
      <c r="DQ7" s="449"/>
      <c r="DR7" s="449"/>
      <c r="DS7" s="449"/>
      <c r="DT7" s="449"/>
      <c r="DU7" s="449"/>
      <c r="DV7" s="449"/>
      <c r="DW7" s="449"/>
      <c r="DX7" s="449"/>
      <c r="DY7" s="449"/>
      <c r="DZ7" s="449"/>
      <c r="EA7" s="449"/>
      <c r="EB7" s="449"/>
      <c r="EC7" s="449"/>
      <c r="ED7" s="449"/>
      <c r="EE7" s="449"/>
      <c r="EF7" s="449"/>
      <c r="EG7" s="449"/>
      <c r="EH7" s="449"/>
      <c r="EI7" s="449"/>
      <c r="EJ7" s="449"/>
      <c r="EK7" s="449"/>
      <c r="EL7" s="449"/>
      <c r="EM7" s="449"/>
      <c r="EN7" s="449"/>
      <c r="EO7" s="449"/>
      <c r="EP7" s="449"/>
      <c r="EQ7" s="449"/>
      <c r="ER7" s="424" t="s">
        <v>224</v>
      </c>
      <c r="ES7" s="424" t="s">
        <v>225</v>
      </c>
      <c r="ET7" s="424" t="s">
        <v>226</v>
      </c>
      <c r="EU7" s="424" t="s">
        <v>249</v>
      </c>
      <c r="EV7" s="424" t="s">
        <v>250</v>
      </c>
      <c r="EW7" s="443" t="s">
        <v>251</v>
      </c>
      <c r="EX7" s="443" t="s">
        <v>252</v>
      </c>
      <c r="EY7" s="443" t="s">
        <v>253</v>
      </c>
      <c r="EZ7" s="443" t="s">
        <v>255</v>
      </c>
      <c r="FA7" s="443" t="s">
        <v>254</v>
      </c>
    </row>
    <row r="8" spans="1:159" s="125" customFormat="1" ht="29.25" customHeight="1" x14ac:dyDescent="0.25">
      <c r="A8" s="443"/>
      <c r="B8" s="443"/>
      <c r="C8" s="443"/>
      <c r="D8" s="443"/>
      <c r="E8" s="443"/>
      <c r="F8" s="443"/>
      <c r="G8" s="443"/>
      <c r="H8" s="450" t="s">
        <v>65</v>
      </c>
      <c r="I8" s="450"/>
      <c r="J8" s="450"/>
      <c r="K8" s="450"/>
      <c r="L8" s="450"/>
      <c r="M8" s="450"/>
      <c r="N8" s="450"/>
      <c r="O8" s="450"/>
      <c r="P8" s="450"/>
      <c r="Q8" s="450"/>
      <c r="R8" s="450"/>
      <c r="S8" s="450"/>
      <c r="T8" s="450"/>
      <c r="U8" s="450"/>
      <c r="V8" s="450"/>
      <c r="W8" s="450"/>
      <c r="X8" s="450"/>
      <c r="Y8" s="450"/>
      <c r="Z8" s="450"/>
      <c r="AA8" s="450"/>
      <c r="AB8" s="450" t="s">
        <v>547</v>
      </c>
      <c r="AC8" s="450"/>
      <c r="AD8" s="450"/>
      <c r="AE8" s="450"/>
      <c r="AF8" s="450"/>
      <c r="AG8" s="450"/>
      <c r="AH8" s="450"/>
      <c r="AI8" s="450"/>
      <c r="AJ8" s="450"/>
      <c r="AK8" s="450"/>
      <c r="AL8" s="450"/>
      <c r="AM8" s="450"/>
      <c r="AN8" s="450"/>
      <c r="AO8" s="450"/>
      <c r="AP8" s="450"/>
      <c r="AQ8" s="450"/>
      <c r="AR8" s="450"/>
      <c r="AS8" s="450"/>
      <c r="AT8" s="450"/>
      <c r="AU8" s="450"/>
      <c r="AV8" s="450"/>
      <c r="AW8" s="450"/>
      <c r="AX8" s="450"/>
      <c r="AY8" s="450"/>
      <c r="AZ8" s="450"/>
      <c r="BA8" s="450"/>
      <c r="BB8" s="450"/>
      <c r="BC8" s="450"/>
      <c r="BD8" s="450"/>
      <c r="BE8" s="450"/>
      <c r="BF8" s="450" t="s">
        <v>62</v>
      </c>
      <c r="BG8" s="450"/>
      <c r="BH8" s="450"/>
      <c r="BI8" s="450"/>
      <c r="BJ8" s="450"/>
      <c r="BK8" s="450"/>
      <c r="BL8" s="450"/>
      <c r="BM8" s="450"/>
      <c r="BN8" s="450"/>
      <c r="BO8" s="450"/>
      <c r="BP8" s="450"/>
      <c r="BQ8" s="450"/>
      <c r="BR8" s="450"/>
      <c r="BS8" s="450"/>
      <c r="BT8" s="450"/>
      <c r="BU8" s="450"/>
      <c r="BV8" s="450"/>
      <c r="BW8" s="450"/>
      <c r="BX8" s="450"/>
      <c r="BY8" s="450"/>
      <c r="BZ8" s="450"/>
      <c r="CA8" s="450"/>
      <c r="CB8" s="450"/>
      <c r="CC8" s="450"/>
      <c r="CD8" s="450"/>
      <c r="CE8" s="450"/>
      <c r="CF8" s="450"/>
      <c r="CG8" s="450"/>
      <c r="CH8" s="450"/>
      <c r="CI8" s="450"/>
      <c r="CJ8" s="450" t="s">
        <v>63</v>
      </c>
      <c r="CK8" s="450"/>
      <c r="CL8" s="450"/>
      <c r="CM8" s="450"/>
      <c r="CN8" s="450"/>
      <c r="CO8" s="450"/>
      <c r="CP8" s="450"/>
      <c r="CQ8" s="450"/>
      <c r="CR8" s="450"/>
      <c r="CS8" s="450"/>
      <c r="CT8" s="450"/>
      <c r="CU8" s="450"/>
      <c r="CV8" s="450"/>
      <c r="CW8" s="450"/>
      <c r="CX8" s="450"/>
      <c r="CY8" s="450"/>
      <c r="CZ8" s="450"/>
      <c r="DA8" s="450"/>
      <c r="DB8" s="450"/>
      <c r="DC8" s="450"/>
      <c r="DD8" s="450"/>
      <c r="DE8" s="450"/>
      <c r="DF8" s="450"/>
      <c r="DG8" s="450"/>
      <c r="DH8" s="450"/>
      <c r="DI8" s="450"/>
      <c r="DJ8" s="450"/>
      <c r="DK8" s="450"/>
      <c r="DL8" s="450"/>
      <c r="DM8" s="450"/>
      <c r="DN8" s="450" t="s">
        <v>64</v>
      </c>
      <c r="DO8" s="450"/>
      <c r="DP8" s="450"/>
      <c r="DQ8" s="450"/>
      <c r="DR8" s="450"/>
      <c r="DS8" s="450"/>
      <c r="DT8" s="450"/>
      <c r="DU8" s="450"/>
      <c r="DV8" s="450"/>
      <c r="DW8" s="450"/>
      <c r="DX8" s="450"/>
      <c r="DY8" s="450"/>
      <c r="DZ8" s="450"/>
      <c r="EA8" s="450"/>
      <c r="EB8" s="450"/>
      <c r="EC8" s="450"/>
      <c r="ED8" s="450"/>
      <c r="EE8" s="450"/>
      <c r="EF8" s="450"/>
      <c r="EG8" s="450"/>
      <c r="EH8" s="450"/>
      <c r="EI8" s="450"/>
      <c r="EJ8" s="450"/>
      <c r="EK8" s="450"/>
      <c r="EL8" s="450"/>
      <c r="EM8" s="450"/>
      <c r="EN8" s="450"/>
      <c r="EO8" s="450"/>
      <c r="EP8" s="450"/>
      <c r="EQ8" s="450"/>
      <c r="ER8" s="424"/>
      <c r="ES8" s="424"/>
      <c r="ET8" s="424"/>
      <c r="EU8" s="424"/>
      <c r="EV8" s="424"/>
      <c r="EW8" s="443"/>
      <c r="EX8" s="443"/>
      <c r="EY8" s="443"/>
      <c r="EZ8" s="443"/>
      <c r="FA8" s="443"/>
    </row>
    <row r="9" spans="1:159" s="125" customFormat="1" ht="64.5" customHeight="1" x14ac:dyDescent="0.25">
      <c r="A9" s="230" t="s">
        <v>83</v>
      </c>
      <c r="B9" s="230" t="s">
        <v>84</v>
      </c>
      <c r="C9" s="230" t="s">
        <v>85</v>
      </c>
      <c r="D9" s="230" t="s">
        <v>86</v>
      </c>
      <c r="E9" s="230" t="s">
        <v>87</v>
      </c>
      <c r="F9" s="230" t="s">
        <v>88</v>
      </c>
      <c r="G9" s="232" t="s">
        <v>89</v>
      </c>
      <c r="H9" s="231" t="s">
        <v>287</v>
      </c>
      <c r="I9" s="237" t="s">
        <v>288</v>
      </c>
      <c r="J9" s="230" t="s">
        <v>289</v>
      </c>
      <c r="K9" s="237" t="s">
        <v>290</v>
      </c>
      <c r="L9" s="230" t="s">
        <v>291</v>
      </c>
      <c r="M9" s="237" t="s">
        <v>292</v>
      </c>
      <c r="N9" s="230" t="s">
        <v>293</v>
      </c>
      <c r="O9" s="237" t="s">
        <v>294</v>
      </c>
      <c r="P9" s="230" t="s">
        <v>295</v>
      </c>
      <c r="Q9" s="237" t="s">
        <v>296</v>
      </c>
      <c r="R9" s="230" t="s">
        <v>297</v>
      </c>
      <c r="S9" s="237" t="s">
        <v>298</v>
      </c>
      <c r="T9" s="230" t="s">
        <v>299</v>
      </c>
      <c r="U9" s="237" t="s">
        <v>300</v>
      </c>
      <c r="V9" s="230" t="s">
        <v>301</v>
      </c>
      <c r="W9" s="232" t="s">
        <v>221</v>
      </c>
      <c r="X9" s="241" t="s">
        <v>256</v>
      </c>
      <c r="Y9" s="230" t="s">
        <v>257</v>
      </c>
      <c r="Z9" s="237" t="s">
        <v>258</v>
      </c>
      <c r="AA9" s="230" t="s">
        <v>259</v>
      </c>
      <c r="AB9" s="231" t="s">
        <v>287</v>
      </c>
      <c r="AC9" s="237" t="s">
        <v>302</v>
      </c>
      <c r="AD9" s="230" t="s">
        <v>303</v>
      </c>
      <c r="AE9" s="237" t="s">
        <v>304</v>
      </c>
      <c r="AF9" s="230" t="s">
        <v>305</v>
      </c>
      <c r="AG9" s="237" t="s">
        <v>306</v>
      </c>
      <c r="AH9" s="230" t="s">
        <v>307</v>
      </c>
      <c r="AI9" s="237" t="s">
        <v>308</v>
      </c>
      <c r="AJ9" s="230" t="s">
        <v>309</v>
      </c>
      <c r="AK9" s="237" t="s">
        <v>310</v>
      </c>
      <c r="AL9" s="230" t="s">
        <v>311</v>
      </c>
      <c r="AM9" s="237" t="s">
        <v>288</v>
      </c>
      <c r="AN9" s="230" t="s">
        <v>289</v>
      </c>
      <c r="AO9" s="237" t="s">
        <v>290</v>
      </c>
      <c r="AP9" s="230" t="s">
        <v>291</v>
      </c>
      <c r="AQ9" s="237" t="s">
        <v>292</v>
      </c>
      <c r="AR9" s="230" t="s">
        <v>293</v>
      </c>
      <c r="AS9" s="237" t="s">
        <v>294</v>
      </c>
      <c r="AT9" s="230" t="s">
        <v>295</v>
      </c>
      <c r="AU9" s="237" t="s">
        <v>296</v>
      </c>
      <c r="AV9" s="230" t="s">
        <v>297</v>
      </c>
      <c r="AW9" s="237" t="s">
        <v>298</v>
      </c>
      <c r="AX9" s="230" t="s">
        <v>299</v>
      </c>
      <c r="AY9" s="237" t="s">
        <v>300</v>
      </c>
      <c r="AZ9" s="230" t="s">
        <v>301</v>
      </c>
      <c r="BA9" s="232" t="s">
        <v>221</v>
      </c>
      <c r="BB9" s="241" t="s">
        <v>248</v>
      </c>
      <c r="BC9" s="230" t="s">
        <v>247</v>
      </c>
      <c r="BD9" s="237" t="s">
        <v>246</v>
      </c>
      <c r="BE9" s="230" t="s">
        <v>245</v>
      </c>
      <c r="BF9" s="231" t="s">
        <v>287</v>
      </c>
      <c r="BG9" s="237" t="s">
        <v>302</v>
      </c>
      <c r="BH9" s="230" t="s">
        <v>303</v>
      </c>
      <c r="BI9" s="237" t="s">
        <v>304</v>
      </c>
      <c r="BJ9" s="230" t="s">
        <v>305</v>
      </c>
      <c r="BK9" s="237" t="s">
        <v>306</v>
      </c>
      <c r="BL9" s="230" t="s">
        <v>307</v>
      </c>
      <c r="BM9" s="237" t="s">
        <v>308</v>
      </c>
      <c r="BN9" s="230" t="s">
        <v>309</v>
      </c>
      <c r="BO9" s="237" t="s">
        <v>310</v>
      </c>
      <c r="BP9" s="230" t="s">
        <v>311</v>
      </c>
      <c r="BQ9" s="237" t="s">
        <v>288</v>
      </c>
      <c r="BR9" s="230" t="s">
        <v>289</v>
      </c>
      <c r="BS9" s="237" t="s">
        <v>290</v>
      </c>
      <c r="BT9" s="230" t="s">
        <v>291</v>
      </c>
      <c r="BU9" s="237" t="s">
        <v>292</v>
      </c>
      <c r="BV9" s="230" t="s">
        <v>293</v>
      </c>
      <c r="BW9" s="237" t="s">
        <v>294</v>
      </c>
      <c r="BX9" s="230" t="s">
        <v>295</v>
      </c>
      <c r="BY9" s="237" t="s">
        <v>296</v>
      </c>
      <c r="BZ9" s="230" t="s">
        <v>297</v>
      </c>
      <c r="CA9" s="237" t="s">
        <v>298</v>
      </c>
      <c r="CB9" s="230" t="s">
        <v>299</v>
      </c>
      <c r="CC9" s="237" t="s">
        <v>300</v>
      </c>
      <c r="CD9" s="230" t="s">
        <v>301</v>
      </c>
      <c r="CE9" s="232" t="s">
        <v>221</v>
      </c>
      <c r="CF9" s="241" t="s">
        <v>227</v>
      </c>
      <c r="CG9" s="230" t="s">
        <v>228</v>
      </c>
      <c r="CH9" s="237" t="s">
        <v>229</v>
      </c>
      <c r="CI9" s="230" t="s">
        <v>230</v>
      </c>
      <c r="CJ9" s="231" t="s">
        <v>287</v>
      </c>
      <c r="CK9" s="237" t="s">
        <v>302</v>
      </c>
      <c r="CL9" s="230" t="s">
        <v>303</v>
      </c>
      <c r="CM9" s="237" t="s">
        <v>304</v>
      </c>
      <c r="CN9" s="230" t="s">
        <v>305</v>
      </c>
      <c r="CO9" s="237" t="s">
        <v>306</v>
      </c>
      <c r="CP9" s="230" t="s">
        <v>307</v>
      </c>
      <c r="CQ9" s="237" t="s">
        <v>308</v>
      </c>
      <c r="CR9" s="230" t="s">
        <v>309</v>
      </c>
      <c r="CS9" s="237" t="s">
        <v>310</v>
      </c>
      <c r="CT9" s="230" t="s">
        <v>311</v>
      </c>
      <c r="CU9" s="237" t="s">
        <v>288</v>
      </c>
      <c r="CV9" s="230" t="s">
        <v>289</v>
      </c>
      <c r="CW9" s="237" t="s">
        <v>290</v>
      </c>
      <c r="CX9" s="230" t="s">
        <v>291</v>
      </c>
      <c r="CY9" s="237" t="s">
        <v>292</v>
      </c>
      <c r="CZ9" s="230" t="s">
        <v>293</v>
      </c>
      <c r="DA9" s="237" t="s">
        <v>294</v>
      </c>
      <c r="DB9" s="230" t="s">
        <v>295</v>
      </c>
      <c r="DC9" s="237" t="s">
        <v>296</v>
      </c>
      <c r="DD9" s="230" t="s">
        <v>297</v>
      </c>
      <c r="DE9" s="237" t="s">
        <v>298</v>
      </c>
      <c r="DF9" s="230" t="s">
        <v>299</v>
      </c>
      <c r="DG9" s="237" t="s">
        <v>300</v>
      </c>
      <c r="DH9" s="230" t="s">
        <v>301</v>
      </c>
      <c r="DI9" s="232" t="s">
        <v>221</v>
      </c>
      <c r="DJ9" s="241" t="s">
        <v>233</v>
      </c>
      <c r="DK9" s="230" t="s">
        <v>234</v>
      </c>
      <c r="DL9" s="241" t="s">
        <v>235</v>
      </c>
      <c r="DM9" s="230" t="s">
        <v>236</v>
      </c>
      <c r="DN9" s="231" t="s">
        <v>287</v>
      </c>
      <c r="DO9" s="237" t="s">
        <v>302</v>
      </c>
      <c r="DP9" s="230" t="s">
        <v>303</v>
      </c>
      <c r="DQ9" s="237" t="s">
        <v>304</v>
      </c>
      <c r="DR9" s="230" t="s">
        <v>305</v>
      </c>
      <c r="DS9" s="237" t="s">
        <v>306</v>
      </c>
      <c r="DT9" s="230" t="s">
        <v>307</v>
      </c>
      <c r="DU9" s="237" t="s">
        <v>308</v>
      </c>
      <c r="DV9" s="230" t="s">
        <v>309</v>
      </c>
      <c r="DW9" s="237" t="s">
        <v>310</v>
      </c>
      <c r="DX9" s="230" t="s">
        <v>311</v>
      </c>
      <c r="DY9" s="237" t="s">
        <v>288</v>
      </c>
      <c r="DZ9" s="230" t="s">
        <v>289</v>
      </c>
      <c r="EA9" s="237" t="s">
        <v>290</v>
      </c>
      <c r="EB9" s="230" t="s">
        <v>291</v>
      </c>
      <c r="EC9" s="237" t="s">
        <v>292</v>
      </c>
      <c r="ED9" s="230" t="s">
        <v>293</v>
      </c>
      <c r="EE9" s="237" t="s">
        <v>294</v>
      </c>
      <c r="EF9" s="230" t="s">
        <v>295</v>
      </c>
      <c r="EG9" s="237" t="s">
        <v>296</v>
      </c>
      <c r="EH9" s="230" t="s">
        <v>297</v>
      </c>
      <c r="EI9" s="237" t="s">
        <v>298</v>
      </c>
      <c r="EJ9" s="230" t="s">
        <v>299</v>
      </c>
      <c r="EK9" s="237" t="s">
        <v>300</v>
      </c>
      <c r="EL9" s="230" t="s">
        <v>301</v>
      </c>
      <c r="EM9" s="232" t="s">
        <v>221</v>
      </c>
      <c r="EN9" s="241" t="s">
        <v>237</v>
      </c>
      <c r="EO9" s="230" t="s">
        <v>238</v>
      </c>
      <c r="EP9" s="241" t="s">
        <v>239</v>
      </c>
      <c r="EQ9" s="230" t="s">
        <v>240</v>
      </c>
      <c r="ER9" s="424"/>
      <c r="ES9" s="424"/>
      <c r="ET9" s="424"/>
      <c r="EU9" s="424"/>
      <c r="EV9" s="424"/>
      <c r="EW9" s="443"/>
      <c r="EX9" s="443"/>
      <c r="EY9" s="443"/>
      <c r="EZ9" s="443"/>
      <c r="FA9" s="443"/>
    </row>
    <row r="10" spans="1:159" s="131" customFormat="1" ht="29.25" customHeight="1" x14ac:dyDescent="0.25">
      <c r="A10" s="425" t="s">
        <v>312</v>
      </c>
      <c r="B10" s="425">
        <v>1</v>
      </c>
      <c r="C10" s="425" t="s">
        <v>316</v>
      </c>
      <c r="D10" s="425" t="s">
        <v>278</v>
      </c>
      <c r="E10" s="425">
        <v>272</v>
      </c>
      <c r="F10" s="134" t="s">
        <v>41</v>
      </c>
      <c r="G10" s="279">
        <v>1</v>
      </c>
      <c r="H10" s="280">
        <v>1</v>
      </c>
      <c r="I10" s="281"/>
      <c r="J10" s="281"/>
      <c r="K10" s="281"/>
      <c r="L10" s="281"/>
      <c r="M10" s="281"/>
      <c r="N10" s="282"/>
      <c r="O10" s="281"/>
      <c r="P10" s="282"/>
      <c r="Q10" s="281"/>
      <c r="R10" s="283"/>
      <c r="S10" s="281"/>
      <c r="T10" s="282"/>
      <c r="U10" s="281"/>
      <c r="V10" s="281"/>
      <c r="W10" s="279">
        <v>1</v>
      </c>
      <c r="X10" s="279">
        <v>1</v>
      </c>
      <c r="Y10" s="279">
        <v>1</v>
      </c>
      <c r="Z10" s="279">
        <v>1</v>
      </c>
      <c r="AA10" s="279">
        <v>1</v>
      </c>
      <c r="AB10" s="279">
        <v>1</v>
      </c>
      <c r="AC10" s="279">
        <v>1</v>
      </c>
      <c r="AD10" s="279">
        <v>0.86</v>
      </c>
      <c r="AE10" s="279">
        <v>1</v>
      </c>
      <c r="AF10" s="279">
        <v>0.75</v>
      </c>
      <c r="AG10" s="279">
        <v>1</v>
      </c>
      <c r="AH10" s="279">
        <v>0.8</v>
      </c>
      <c r="AI10" s="279">
        <v>1</v>
      </c>
      <c r="AJ10" s="279">
        <v>1</v>
      </c>
      <c r="AK10" s="279">
        <v>1</v>
      </c>
      <c r="AL10" s="279">
        <v>1</v>
      </c>
      <c r="AM10" s="279">
        <v>1</v>
      </c>
      <c r="AN10" s="279">
        <v>1</v>
      </c>
      <c r="AO10" s="279">
        <v>1</v>
      </c>
      <c r="AP10" s="279">
        <v>0.95</v>
      </c>
      <c r="AQ10" s="279">
        <v>1</v>
      </c>
      <c r="AR10" s="279">
        <v>0.95</v>
      </c>
      <c r="AS10" s="279">
        <v>1</v>
      </c>
      <c r="AT10" s="279">
        <v>1</v>
      </c>
      <c r="AU10" s="279">
        <v>1</v>
      </c>
      <c r="AV10" s="282"/>
      <c r="AW10" s="279">
        <v>1</v>
      </c>
      <c r="AX10" s="282"/>
      <c r="AY10" s="279">
        <v>1</v>
      </c>
      <c r="AZ10" s="282"/>
      <c r="BA10" s="279">
        <f>+AB10</f>
        <v>1</v>
      </c>
      <c r="BB10" s="279">
        <f>+AS10</f>
        <v>1</v>
      </c>
      <c r="BC10" s="279">
        <v>1</v>
      </c>
      <c r="BD10" s="279">
        <f>+G10</f>
        <v>1</v>
      </c>
      <c r="BE10" s="279">
        <f>+AT10</f>
        <v>1</v>
      </c>
      <c r="BF10" s="279">
        <v>1</v>
      </c>
      <c r="BG10" s="281"/>
      <c r="BH10" s="281"/>
      <c r="BI10" s="281"/>
      <c r="BJ10" s="281"/>
      <c r="BK10" s="281"/>
      <c r="BL10" s="281"/>
      <c r="BM10" s="281"/>
      <c r="BN10" s="281"/>
      <c r="BO10" s="281"/>
      <c r="BP10" s="281"/>
      <c r="BQ10" s="281"/>
      <c r="BR10" s="281"/>
      <c r="BS10" s="281"/>
      <c r="BT10" s="281"/>
      <c r="BU10" s="281"/>
      <c r="BV10" s="281"/>
      <c r="BW10" s="281"/>
      <c r="BX10" s="281"/>
      <c r="BY10" s="281"/>
      <c r="BZ10" s="281"/>
      <c r="CA10" s="281"/>
      <c r="CB10" s="281"/>
      <c r="CC10" s="281"/>
      <c r="CD10" s="281"/>
      <c r="CE10" s="281">
        <f t="shared" ref="CE10:CE11" si="0">CC10+CA10+BY10+BW10+BU10+BS10+BQ10+BO10+BM10+BK10+BI10+AZ10</f>
        <v>0</v>
      </c>
      <c r="CF10" s="281">
        <f t="shared" ref="CF10:CF15" si="1">AZ10+BI10+BK10+BM10</f>
        <v>0</v>
      </c>
      <c r="CG10" s="282">
        <f t="shared" ref="CG10:CG15" si="2">BH10+BJ10+BL10+BN10</f>
        <v>0</v>
      </c>
      <c r="CH10" s="284">
        <f t="shared" ref="CH10:CH11" si="3">BI10+BK10+BM10+BO10+BQ10+BS10+BU10+BW10+BY10+CA10+CC10+AZ10</f>
        <v>0</v>
      </c>
      <c r="CI10" s="282">
        <f t="shared" ref="CI10:CI14" si="4">BH10+BJ10+BL10+BN10</f>
        <v>0</v>
      </c>
      <c r="CJ10" s="279">
        <v>1</v>
      </c>
      <c r="CK10" s="281"/>
      <c r="CL10" s="281"/>
      <c r="CM10" s="281"/>
      <c r="CN10" s="281"/>
      <c r="CO10" s="281"/>
      <c r="CP10" s="281"/>
      <c r="CQ10" s="281"/>
      <c r="CR10" s="281"/>
      <c r="CS10" s="281"/>
      <c r="CT10" s="281"/>
      <c r="CU10" s="281"/>
      <c r="CV10" s="281"/>
      <c r="CW10" s="281"/>
      <c r="CX10" s="281"/>
      <c r="CY10" s="281"/>
      <c r="CZ10" s="281"/>
      <c r="DA10" s="281"/>
      <c r="DB10" s="281"/>
      <c r="DC10" s="281"/>
      <c r="DD10" s="281"/>
      <c r="DE10" s="281"/>
      <c r="DF10" s="281"/>
      <c r="DG10" s="281"/>
      <c r="DH10" s="281"/>
      <c r="DI10" s="281">
        <f t="shared" ref="DI10:DI11" si="5">DG10+DE10+DC10+DA10+CY10+CW10+CU10+CS10+CQ10+CO10+CM10+CK10</f>
        <v>0</v>
      </c>
      <c r="DJ10" s="281">
        <f t="shared" ref="DJ10:DJ15" si="6">CK10+CM10+CO10+CQ10</f>
        <v>0</v>
      </c>
      <c r="DK10" s="281">
        <f t="shared" ref="DK10:DK15" si="7">CL10+CN10+CP10+CR10</f>
        <v>0</v>
      </c>
      <c r="DL10" s="284">
        <f t="shared" ref="DL10:DL11" si="8">CM10+CO10+CQ10+CS10+CU10+CW10+CY10+DA10+DC10+DE10+DG10+CK10</f>
        <v>0</v>
      </c>
      <c r="DM10" s="281">
        <f t="shared" ref="DM10:DM11" si="9">CL10+CN10+CP10+CR10</f>
        <v>0</v>
      </c>
      <c r="DN10" s="279">
        <v>1</v>
      </c>
      <c r="DO10" s="282"/>
      <c r="DP10" s="282"/>
      <c r="DQ10" s="282"/>
      <c r="DR10" s="282"/>
      <c r="DS10" s="282"/>
      <c r="DT10" s="282"/>
      <c r="DU10" s="282"/>
      <c r="DV10" s="282"/>
      <c r="DW10" s="282"/>
      <c r="DX10" s="282"/>
      <c r="DY10" s="282"/>
      <c r="DZ10" s="282"/>
      <c r="EA10" s="282"/>
      <c r="EB10" s="282"/>
      <c r="EC10" s="282"/>
      <c r="ED10" s="282"/>
      <c r="EE10" s="282"/>
      <c r="EF10" s="282"/>
      <c r="EG10" s="281"/>
      <c r="EH10" s="281"/>
      <c r="EI10" s="281"/>
      <c r="EJ10" s="281"/>
      <c r="EK10" s="281"/>
      <c r="EL10" s="281"/>
      <c r="EM10" s="281">
        <f t="shared" ref="EM10:EM11" si="10">EK10+EI10+EG10+EE10+EC10+EA10+DY10+DW10+DU10+DS10+DQ10+DO10</f>
        <v>0</v>
      </c>
      <c r="EN10" s="281">
        <f t="shared" ref="EN10:EN15" si="11">DO10+DQ10+DS10+DU10</f>
        <v>0</v>
      </c>
      <c r="EO10" s="281">
        <f t="shared" ref="EO10:EO15" si="12">DP10+DR10+DT10+DV10</f>
        <v>0</v>
      </c>
      <c r="EP10" s="284">
        <f t="shared" ref="EP10:EP11" si="13">DQ10+DS10+DU10+DW10+DY10+EA10+EC10+EE10+EG10+EI10+EK10+DO10</f>
        <v>0</v>
      </c>
      <c r="EQ10" s="281">
        <f t="shared" ref="EQ10:EQ14" si="14">DP10+DR10+DT10+DV10</f>
        <v>0</v>
      </c>
      <c r="ER10" s="285">
        <f>+AT10/AS10</f>
        <v>1</v>
      </c>
      <c r="ES10" s="285">
        <f>+BC10/BB10</f>
        <v>1</v>
      </c>
      <c r="ET10" s="286">
        <f>BE10/BD10</f>
        <v>1</v>
      </c>
      <c r="EU10" s="286">
        <f>+(AA10+BC10)/(Z10+BB10)</f>
        <v>1</v>
      </c>
      <c r="EV10" s="286">
        <v>0.4</v>
      </c>
      <c r="EW10" s="427" t="s">
        <v>579</v>
      </c>
      <c r="EX10" s="425" t="s">
        <v>580</v>
      </c>
      <c r="EY10" s="425" t="s">
        <v>581</v>
      </c>
      <c r="EZ10" s="426" t="s">
        <v>385</v>
      </c>
      <c r="FA10" s="426" t="s">
        <v>387</v>
      </c>
      <c r="FB10" s="462"/>
      <c r="FC10" s="4"/>
    </row>
    <row r="11" spans="1:159" s="133" customFormat="1" ht="29.25" customHeight="1" x14ac:dyDescent="0.25">
      <c r="A11" s="425"/>
      <c r="B11" s="425"/>
      <c r="C11" s="425"/>
      <c r="D11" s="425"/>
      <c r="E11" s="425"/>
      <c r="F11" s="132" t="s">
        <v>3</v>
      </c>
      <c r="G11" s="287">
        <f>+AA11+BD11+BF11+CJ11+DN11</f>
        <v>6905063317</v>
      </c>
      <c r="H11" s="288">
        <v>775545944</v>
      </c>
      <c r="I11" s="287"/>
      <c r="J11" s="287"/>
      <c r="K11" s="287"/>
      <c r="L11" s="287"/>
      <c r="M11" s="287"/>
      <c r="N11" s="287"/>
      <c r="O11" s="287"/>
      <c r="P11" s="287"/>
      <c r="Q11" s="287"/>
      <c r="R11" s="287"/>
      <c r="S11" s="287"/>
      <c r="T11" s="288"/>
      <c r="U11" s="289"/>
      <c r="V11" s="289"/>
      <c r="W11" s="288">
        <v>775545944</v>
      </c>
      <c r="X11" s="288">
        <v>775545944</v>
      </c>
      <c r="Y11" s="287">
        <v>731213017</v>
      </c>
      <c r="Z11" s="288">
        <v>780545944</v>
      </c>
      <c r="AA11" s="287">
        <v>731213017</v>
      </c>
      <c r="AB11" s="288">
        <v>1564678000</v>
      </c>
      <c r="AC11" s="287">
        <v>0</v>
      </c>
      <c r="AD11" s="287">
        <v>0</v>
      </c>
      <c r="AE11" s="289">
        <v>188232000</v>
      </c>
      <c r="AF11" s="287">
        <f>188232000-AD11</f>
        <v>188232000</v>
      </c>
      <c r="AG11" s="287">
        <v>348992000</v>
      </c>
      <c r="AH11" s="287">
        <f>537224000-AF11-AD11</f>
        <v>348992000</v>
      </c>
      <c r="AI11" s="287">
        <v>127479857</v>
      </c>
      <c r="AJ11" s="287">
        <f>664703857-AH11-AF11-AD11</f>
        <v>127479857</v>
      </c>
      <c r="AK11" s="287">
        <v>0</v>
      </c>
      <c r="AL11" s="287">
        <f>664703857-AJ11-AH11-AF11-AD11</f>
        <v>0</v>
      </c>
      <c r="AM11" s="287">
        <v>206631757</v>
      </c>
      <c r="AN11" s="287">
        <v>206477896</v>
      </c>
      <c r="AO11" s="287">
        <v>0</v>
      </c>
      <c r="AP11" s="287">
        <v>0</v>
      </c>
      <c r="AQ11" s="287">
        <v>145468477</v>
      </c>
      <c r="AR11" s="287">
        <v>0</v>
      </c>
      <c r="AS11" s="287">
        <v>81311777</v>
      </c>
      <c r="AT11" s="287">
        <v>27640334</v>
      </c>
      <c r="AU11" s="287">
        <v>145468477</v>
      </c>
      <c r="AV11" s="287"/>
      <c r="AW11" s="287">
        <v>145468477</v>
      </c>
      <c r="AX11" s="287"/>
      <c r="AY11" s="287">
        <v>145468478</v>
      </c>
      <c r="AZ11" s="287"/>
      <c r="BA11" s="287">
        <f>AY11+AW11+AU11+AS11+AQ11+AO11+AM11+AK11+AI11+AG11+AE11+AC11</f>
        <v>1534521300</v>
      </c>
      <c r="BB11" s="287">
        <f>AC11+AE11+AG11+AI11+AK11+AM11+AO11+AQ11+AS11</f>
        <v>1098115868</v>
      </c>
      <c r="BC11" s="287">
        <f>AD11+AF11+AH11+AJ11+AL11+AN11+AP11+AR11+AT11</f>
        <v>898822087</v>
      </c>
      <c r="BD11" s="288">
        <f>AE11+AG11+AI11+AK11+AM11+AO11+AQ11+AS11+AU11+AW11+AY11+AC11</f>
        <v>1534521300</v>
      </c>
      <c r="BE11" s="290">
        <f>AD11+AF11+AH11+AJ11+AL11+AN11+AP11+AR11+AT11+AV11+AX11+AZ11</f>
        <v>898822087</v>
      </c>
      <c r="BF11" s="287">
        <v>1976343000</v>
      </c>
      <c r="BG11" s="287"/>
      <c r="BH11" s="287"/>
      <c r="BI11" s="287"/>
      <c r="BJ11" s="287"/>
      <c r="BK11" s="287"/>
      <c r="BL11" s="287"/>
      <c r="BM11" s="287"/>
      <c r="BN11" s="287"/>
      <c r="BO11" s="287"/>
      <c r="BP11" s="287"/>
      <c r="BQ11" s="287"/>
      <c r="BR11" s="287"/>
      <c r="BS11" s="287"/>
      <c r="BT11" s="287"/>
      <c r="BU11" s="287"/>
      <c r="BV11" s="287"/>
      <c r="BW11" s="287"/>
      <c r="BX11" s="287"/>
      <c r="BY11" s="287"/>
      <c r="BZ11" s="287"/>
      <c r="CA11" s="287"/>
      <c r="CB11" s="287"/>
      <c r="CC11" s="287"/>
      <c r="CD11" s="287"/>
      <c r="CE11" s="288">
        <f t="shared" si="0"/>
        <v>0</v>
      </c>
      <c r="CF11" s="290">
        <f t="shared" si="1"/>
        <v>0</v>
      </c>
      <c r="CG11" s="290">
        <f t="shared" si="2"/>
        <v>0</v>
      </c>
      <c r="CH11" s="288">
        <f t="shared" si="3"/>
        <v>0</v>
      </c>
      <c r="CI11" s="290">
        <f t="shared" si="4"/>
        <v>0</v>
      </c>
      <c r="CJ11" s="287">
        <v>1850347000</v>
      </c>
      <c r="CK11" s="287"/>
      <c r="CL11" s="287"/>
      <c r="CM11" s="287"/>
      <c r="CN11" s="287"/>
      <c r="CO11" s="287"/>
      <c r="CP11" s="287"/>
      <c r="CQ11" s="287"/>
      <c r="CR11" s="287"/>
      <c r="CS11" s="287"/>
      <c r="CT11" s="287"/>
      <c r="CU11" s="287"/>
      <c r="CV11" s="287"/>
      <c r="CW11" s="287"/>
      <c r="CX11" s="287"/>
      <c r="CY11" s="287"/>
      <c r="CZ11" s="287"/>
      <c r="DA11" s="287"/>
      <c r="DB11" s="287"/>
      <c r="DC11" s="287"/>
      <c r="DD11" s="287"/>
      <c r="DE11" s="287"/>
      <c r="DF11" s="287"/>
      <c r="DG11" s="287"/>
      <c r="DH11" s="287"/>
      <c r="DI11" s="288">
        <f t="shared" si="5"/>
        <v>0</v>
      </c>
      <c r="DJ11" s="290">
        <f t="shared" si="6"/>
        <v>0</v>
      </c>
      <c r="DK11" s="290">
        <f t="shared" si="7"/>
        <v>0</v>
      </c>
      <c r="DL11" s="288">
        <f t="shared" si="8"/>
        <v>0</v>
      </c>
      <c r="DM11" s="290">
        <f t="shared" si="9"/>
        <v>0</v>
      </c>
      <c r="DN11" s="287">
        <v>812639000</v>
      </c>
      <c r="DO11" s="291"/>
      <c r="DP11" s="291"/>
      <c r="DQ11" s="291"/>
      <c r="DR11" s="291"/>
      <c r="DS11" s="291"/>
      <c r="DT11" s="291"/>
      <c r="DU11" s="291"/>
      <c r="DV11" s="291"/>
      <c r="DW11" s="291"/>
      <c r="DX11" s="291"/>
      <c r="DY11" s="291"/>
      <c r="DZ11" s="291"/>
      <c r="EA11" s="291"/>
      <c r="EB11" s="291"/>
      <c r="EC11" s="291"/>
      <c r="ED11" s="291"/>
      <c r="EE11" s="291"/>
      <c r="EF11" s="291"/>
      <c r="EG11" s="291"/>
      <c r="EH11" s="291"/>
      <c r="EI11" s="291"/>
      <c r="EJ11" s="291"/>
      <c r="EK11" s="291"/>
      <c r="EL11" s="291"/>
      <c r="EM11" s="281">
        <f t="shared" si="10"/>
        <v>0</v>
      </c>
      <c r="EN11" s="292">
        <f t="shared" si="11"/>
        <v>0</v>
      </c>
      <c r="EO11" s="292">
        <f t="shared" si="12"/>
        <v>0</v>
      </c>
      <c r="EP11" s="293">
        <f t="shared" si="13"/>
        <v>0</v>
      </c>
      <c r="EQ11" s="292">
        <f t="shared" si="14"/>
        <v>0</v>
      </c>
      <c r="ER11" s="285">
        <f t="shared" ref="ER11:ER16" si="15">+AT11/AS11</f>
        <v>0.33993026619009936</v>
      </c>
      <c r="ES11" s="285">
        <f t="shared" ref="ES11:ES58" si="16">+BC11/BB11</f>
        <v>0.81851297590028083</v>
      </c>
      <c r="ET11" s="286">
        <f t="shared" ref="ET11:ET58" si="17">BE11/BD11</f>
        <v>0.58573451342773797</v>
      </c>
      <c r="EU11" s="286">
        <f t="shared" ref="EU11:EU58" si="18">+(AA11+BC11)/(Z11+BB11)</f>
        <v>0.86765754942593143</v>
      </c>
      <c r="EV11" s="286">
        <f t="shared" ref="EV11:EV58" si="19">+(AA11+BC11)/G11</f>
        <v>0.23606374469976493</v>
      </c>
      <c r="EW11" s="427"/>
      <c r="EX11" s="425"/>
      <c r="EY11" s="425"/>
      <c r="EZ11" s="426"/>
      <c r="FA11" s="426"/>
      <c r="FB11" s="462"/>
    </row>
    <row r="12" spans="1:159" s="133" customFormat="1" ht="29.25" customHeight="1" x14ac:dyDescent="0.25">
      <c r="A12" s="425"/>
      <c r="B12" s="425"/>
      <c r="C12" s="425"/>
      <c r="D12" s="425"/>
      <c r="E12" s="425"/>
      <c r="F12" s="127" t="s">
        <v>220</v>
      </c>
      <c r="G12" s="287"/>
      <c r="H12" s="288"/>
      <c r="I12" s="287"/>
      <c r="J12" s="287"/>
      <c r="K12" s="287"/>
      <c r="L12" s="287"/>
      <c r="M12" s="287"/>
      <c r="N12" s="287"/>
      <c r="O12" s="287"/>
      <c r="P12" s="287"/>
      <c r="Q12" s="287"/>
      <c r="R12" s="287"/>
      <c r="S12" s="287"/>
      <c r="T12" s="288"/>
      <c r="U12" s="289"/>
      <c r="V12" s="289"/>
      <c r="W12" s="288"/>
      <c r="X12" s="288"/>
      <c r="Y12" s="288"/>
      <c r="Z12" s="288"/>
      <c r="AA12" s="287"/>
      <c r="AB12" s="288"/>
      <c r="AC12" s="289">
        <v>0</v>
      </c>
      <c r="AD12" s="287">
        <v>0</v>
      </c>
      <c r="AE12" s="287">
        <v>0</v>
      </c>
      <c r="AF12" s="287">
        <v>0</v>
      </c>
      <c r="AG12" s="287">
        <v>0</v>
      </c>
      <c r="AH12" s="287">
        <v>0</v>
      </c>
      <c r="AI12" s="287">
        <v>41026232</v>
      </c>
      <c r="AJ12" s="287">
        <v>41026232</v>
      </c>
      <c r="AK12" s="287">
        <v>77319714</v>
      </c>
      <c r="AL12" s="287">
        <f>118345946-AJ12</f>
        <v>77319714</v>
      </c>
      <c r="AM12" s="290">
        <f>+AL12+6000000</f>
        <v>83319714</v>
      </c>
      <c r="AN12" s="290">
        <v>90469225</v>
      </c>
      <c r="AO12" s="290">
        <f>+AM12+6000000</f>
        <v>89319714</v>
      </c>
      <c r="AP12" s="290">
        <v>75047610</v>
      </c>
      <c r="AQ12" s="290">
        <f>+AO12+6000000</f>
        <v>95319714</v>
      </c>
      <c r="AR12" s="290">
        <v>153699654</v>
      </c>
      <c r="AS12" s="290">
        <f>+AQ12+6000000</f>
        <v>101319714</v>
      </c>
      <c r="AT12" s="290">
        <v>91591256</v>
      </c>
      <c r="AU12" s="290">
        <f>+AS12+6000000</f>
        <v>107319714</v>
      </c>
      <c r="AV12" s="290"/>
      <c r="AW12" s="290">
        <f>+AU12+6000000</f>
        <v>113319714</v>
      </c>
      <c r="AX12" s="290"/>
      <c r="AY12" s="290">
        <f t="shared" ref="AY12" si="20">+AW12+6000000</f>
        <v>119319714</v>
      </c>
      <c r="AZ12" s="290"/>
      <c r="BA12" s="287">
        <f>AY12+AW12+AU12+AS12+AQ12+AO12+AM12+AK12+AI12+AG12+AE12+AC12</f>
        <v>827583944</v>
      </c>
      <c r="BB12" s="287">
        <f>AC12+AE12+AG12+AI12+AK12+AM12+AO12+AQ12+AS12</f>
        <v>487624802</v>
      </c>
      <c r="BC12" s="287">
        <f>AD12+AF12+AH12+AJ12+AL12+AN12+AP12+AR12+AT12</f>
        <v>529153691</v>
      </c>
      <c r="BD12" s="288">
        <f>AE12+AG12+AI12+AK12+AM12+AO12+AQ12+AS12+AU12+AW12+AY12+AC12</f>
        <v>827583944</v>
      </c>
      <c r="BE12" s="290">
        <f>AF12+AH12+AJ12+AL12+AN12+AP12+AR12+AT12+AV12</f>
        <v>529153691</v>
      </c>
      <c r="BF12" s="287">
        <v>0</v>
      </c>
      <c r="BG12" s="287"/>
      <c r="BH12" s="287"/>
      <c r="BI12" s="287"/>
      <c r="BJ12" s="287"/>
      <c r="BK12" s="287"/>
      <c r="BL12" s="287"/>
      <c r="BM12" s="287"/>
      <c r="BN12" s="287"/>
      <c r="BO12" s="287"/>
      <c r="BP12" s="287"/>
      <c r="BQ12" s="287"/>
      <c r="BR12" s="287"/>
      <c r="BS12" s="287"/>
      <c r="BT12" s="287"/>
      <c r="BU12" s="287"/>
      <c r="BV12" s="287"/>
      <c r="BW12" s="287"/>
      <c r="BX12" s="287"/>
      <c r="BY12" s="287"/>
      <c r="BZ12" s="287"/>
      <c r="CA12" s="287"/>
      <c r="CB12" s="287"/>
      <c r="CC12" s="287"/>
      <c r="CD12" s="287"/>
      <c r="CE12" s="288">
        <f t="shared" ref="CE12:CE15" si="21">CA12+BY12+BW12+BU12+BS12+BQ12+BO12+BM12+BK12+BI12+AZ12+CC12</f>
        <v>0</v>
      </c>
      <c r="CF12" s="290">
        <f t="shared" si="1"/>
        <v>0</v>
      </c>
      <c r="CG12" s="290">
        <f t="shared" si="2"/>
        <v>0</v>
      </c>
      <c r="CH12" s="288">
        <f t="shared" ref="CH12:CH13" si="22">AZ12+BI12+BK12+BM12+BO12+BQ12+BS12+BU12+BW12+BY12+CA12+CC12</f>
        <v>0</v>
      </c>
      <c r="CI12" s="290">
        <f t="shared" si="4"/>
        <v>0</v>
      </c>
      <c r="CJ12" s="287">
        <v>0</v>
      </c>
      <c r="CK12" s="287">
        <v>0</v>
      </c>
      <c r="CL12" s="287">
        <v>0</v>
      </c>
      <c r="CM12" s="287">
        <v>0</v>
      </c>
      <c r="CN12" s="287">
        <v>0</v>
      </c>
      <c r="CO12" s="287">
        <v>0</v>
      </c>
      <c r="CP12" s="287">
        <v>0</v>
      </c>
      <c r="CQ12" s="287">
        <v>0</v>
      </c>
      <c r="CR12" s="287">
        <v>0</v>
      </c>
      <c r="CS12" s="287">
        <v>0</v>
      </c>
      <c r="CT12" s="287">
        <v>0</v>
      </c>
      <c r="CU12" s="287">
        <v>0</v>
      </c>
      <c r="CV12" s="287">
        <v>0</v>
      </c>
      <c r="CW12" s="287">
        <v>0</v>
      </c>
      <c r="CX12" s="287">
        <v>0</v>
      </c>
      <c r="CY12" s="287">
        <v>0</v>
      </c>
      <c r="CZ12" s="287">
        <v>0</v>
      </c>
      <c r="DA12" s="287">
        <v>0</v>
      </c>
      <c r="DB12" s="287">
        <v>0</v>
      </c>
      <c r="DC12" s="287">
        <v>0</v>
      </c>
      <c r="DD12" s="287">
        <v>0</v>
      </c>
      <c r="DE12" s="287">
        <v>0</v>
      </c>
      <c r="DF12" s="287">
        <v>0</v>
      </c>
      <c r="DG12" s="287">
        <v>0</v>
      </c>
      <c r="DH12" s="287">
        <v>0</v>
      </c>
      <c r="DI12" s="288">
        <v>0</v>
      </c>
      <c r="DJ12" s="290">
        <v>0</v>
      </c>
      <c r="DK12" s="290">
        <v>0</v>
      </c>
      <c r="DL12" s="288">
        <v>0</v>
      </c>
      <c r="DM12" s="290">
        <v>0</v>
      </c>
      <c r="DN12" s="287">
        <v>0</v>
      </c>
      <c r="DO12" s="291"/>
      <c r="DP12" s="291"/>
      <c r="DQ12" s="291"/>
      <c r="DR12" s="291"/>
      <c r="DS12" s="291"/>
      <c r="DT12" s="291"/>
      <c r="DU12" s="291"/>
      <c r="DV12" s="291"/>
      <c r="DW12" s="291"/>
      <c r="DX12" s="291"/>
      <c r="DY12" s="291"/>
      <c r="DZ12" s="291"/>
      <c r="EA12" s="291"/>
      <c r="EB12" s="291"/>
      <c r="EC12" s="291"/>
      <c r="ED12" s="291"/>
      <c r="EE12" s="291"/>
      <c r="EF12" s="291"/>
      <c r="EG12" s="291"/>
      <c r="EH12" s="291"/>
      <c r="EI12" s="291"/>
      <c r="EJ12" s="291"/>
      <c r="EK12" s="291"/>
      <c r="EL12" s="291"/>
      <c r="EM12" s="281">
        <f t="shared" ref="EM12:EM15" si="23">EI12+EG12+EE12+EC12+EA12+DY12+DW12+DU12+DS12+DQ12+DO12+EK12</f>
        <v>0</v>
      </c>
      <c r="EN12" s="292">
        <f t="shared" si="11"/>
        <v>0</v>
      </c>
      <c r="EO12" s="292">
        <f t="shared" si="12"/>
        <v>0</v>
      </c>
      <c r="EP12" s="288">
        <f t="shared" ref="EP12:EP13" si="24">DQ12+DS12+DU12+DW12+DY12+EA12+EC12+EE12+EG12+EI12+EK12</f>
        <v>0</v>
      </c>
      <c r="EQ12" s="292">
        <f t="shared" si="14"/>
        <v>0</v>
      </c>
      <c r="ER12" s="285">
        <f t="shared" si="15"/>
        <v>0.9039825753949523</v>
      </c>
      <c r="ES12" s="285">
        <f t="shared" si="16"/>
        <v>1.0851656618565517</v>
      </c>
      <c r="ET12" s="286">
        <f t="shared" si="17"/>
        <v>0.63939579161289284</v>
      </c>
      <c r="EU12" s="286">
        <f t="shared" si="18"/>
        <v>1.0851656618565517</v>
      </c>
      <c r="EV12" s="286" t="e">
        <f t="shared" si="19"/>
        <v>#DIV/0!</v>
      </c>
      <c r="EW12" s="427"/>
      <c r="EX12" s="425"/>
      <c r="EY12" s="425"/>
      <c r="EZ12" s="426"/>
      <c r="FA12" s="426"/>
      <c r="FB12" s="462"/>
    </row>
    <row r="13" spans="1:159" s="131" customFormat="1" ht="29.25" customHeight="1" x14ac:dyDescent="0.25">
      <c r="A13" s="425"/>
      <c r="B13" s="425"/>
      <c r="C13" s="425"/>
      <c r="D13" s="425"/>
      <c r="E13" s="425"/>
      <c r="F13" s="134" t="s">
        <v>42</v>
      </c>
      <c r="G13" s="279">
        <v>0</v>
      </c>
      <c r="H13" s="280">
        <v>0</v>
      </c>
      <c r="I13" s="281"/>
      <c r="J13" s="281"/>
      <c r="K13" s="281"/>
      <c r="L13" s="281"/>
      <c r="M13" s="281"/>
      <c r="N13" s="282"/>
      <c r="O13" s="281"/>
      <c r="P13" s="282"/>
      <c r="Q13" s="281"/>
      <c r="R13" s="283"/>
      <c r="S13" s="281"/>
      <c r="T13" s="282"/>
      <c r="U13" s="281"/>
      <c r="V13" s="281"/>
      <c r="W13" s="279">
        <v>0</v>
      </c>
      <c r="X13" s="279">
        <v>0</v>
      </c>
      <c r="Y13" s="279">
        <v>0</v>
      </c>
      <c r="Z13" s="279">
        <v>0</v>
      </c>
      <c r="AA13" s="279">
        <v>0</v>
      </c>
      <c r="AB13" s="279">
        <v>0</v>
      </c>
      <c r="AC13" s="279">
        <v>0</v>
      </c>
      <c r="AD13" s="279">
        <v>0</v>
      </c>
      <c r="AE13" s="279">
        <v>0</v>
      </c>
      <c r="AF13" s="279">
        <v>0</v>
      </c>
      <c r="AG13" s="279">
        <v>0</v>
      </c>
      <c r="AH13" s="279">
        <v>0</v>
      </c>
      <c r="AI13" s="279">
        <v>0</v>
      </c>
      <c r="AJ13" s="279">
        <v>0</v>
      </c>
      <c r="AK13" s="279">
        <v>0</v>
      </c>
      <c r="AL13" s="279">
        <v>0</v>
      </c>
      <c r="AM13" s="279">
        <v>0</v>
      </c>
      <c r="AN13" s="279">
        <v>0</v>
      </c>
      <c r="AO13" s="279">
        <v>0</v>
      </c>
      <c r="AP13" s="279">
        <v>0</v>
      </c>
      <c r="AQ13" s="279">
        <v>0</v>
      </c>
      <c r="AR13" s="279">
        <v>0</v>
      </c>
      <c r="AS13" s="279">
        <v>0</v>
      </c>
      <c r="AT13" s="279">
        <v>0</v>
      </c>
      <c r="AU13" s="279">
        <v>0</v>
      </c>
      <c r="AV13" s="282"/>
      <c r="AW13" s="279">
        <v>0</v>
      </c>
      <c r="AX13" s="282"/>
      <c r="AY13" s="279">
        <v>0</v>
      </c>
      <c r="AZ13" s="282"/>
      <c r="BA13" s="279">
        <f>+AB13</f>
        <v>0</v>
      </c>
      <c r="BB13" s="279">
        <f>+AS13</f>
        <v>0</v>
      </c>
      <c r="BC13" s="279">
        <f>+AT13</f>
        <v>0</v>
      </c>
      <c r="BD13" s="279">
        <f>+G13</f>
        <v>0</v>
      </c>
      <c r="BE13" s="279">
        <f>+AT13</f>
        <v>0</v>
      </c>
      <c r="BF13" s="294">
        <v>0</v>
      </c>
      <c r="BG13" s="281"/>
      <c r="BH13" s="281"/>
      <c r="BI13" s="281"/>
      <c r="BJ13" s="281"/>
      <c r="BK13" s="281"/>
      <c r="BL13" s="281"/>
      <c r="BM13" s="281"/>
      <c r="BN13" s="281"/>
      <c r="BO13" s="281"/>
      <c r="BP13" s="281"/>
      <c r="BQ13" s="281"/>
      <c r="BR13" s="281"/>
      <c r="BS13" s="281"/>
      <c r="BT13" s="281"/>
      <c r="BU13" s="281"/>
      <c r="BV13" s="281"/>
      <c r="BW13" s="281"/>
      <c r="BX13" s="281"/>
      <c r="BY13" s="281"/>
      <c r="BZ13" s="281"/>
      <c r="CA13" s="281"/>
      <c r="CB13" s="281"/>
      <c r="CC13" s="281"/>
      <c r="CD13" s="281"/>
      <c r="CE13" s="281">
        <f t="shared" si="21"/>
        <v>0</v>
      </c>
      <c r="CF13" s="281">
        <f t="shared" si="1"/>
        <v>0</v>
      </c>
      <c r="CG13" s="282">
        <f t="shared" si="2"/>
        <v>0</v>
      </c>
      <c r="CH13" s="284">
        <f t="shared" si="22"/>
        <v>0</v>
      </c>
      <c r="CI13" s="282">
        <f t="shared" si="4"/>
        <v>0</v>
      </c>
      <c r="CJ13" s="279">
        <v>0</v>
      </c>
      <c r="CK13" s="281">
        <v>0</v>
      </c>
      <c r="CL13" s="281">
        <v>0</v>
      </c>
      <c r="CM13" s="281">
        <v>0</v>
      </c>
      <c r="CN13" s="281">
        <v>0</v>
      </c>
      <c r="CO13" s="281">
        <v>0</v>
      </c>
      <c r="CP13" s="281">
        <v>0</v>
      </c>
      <c r="CQ13" s="281">
        <v>0</v>
      </c>
      <c r="CR13" s="281">
        <v>0</v>
      </c>
      <c r="CS13" s="281">
        <v>0</v>
      </c>
      <c r="CT13" s="281">
        <v>0</v>
      </c>
      <c r="CU13" s="281">
        <v>0</v>
      </c>
      <c r="CV13" s="281">
        <v>0</v>
      </c>
      <c r="CW13" s="281">
        <v>0</v>
      </c>
      <c r="CX13" s="281">
        <v>0</v>
      </c>
      <c r="CY13" s="281">
        <v>0</v>
      </c>
      <c r="CZ13" s="281">
        <v>0</v>
      </c>
      <c r="DA13" s="281">
        <v>0</v>
      </c>
      <c r="DB13" s="281">
        <v>0</v>
      </c>
      <c r="DC13" s="281">
        <v>0</v>
      </c>
      <c r="DD13" s="281">
        <v>0</v>
      </c>
      <c r="DE13" s="281">
        <v>0</v>
      </c>
      <c r="DF13" s="281">
        <v>0</v>
      </c>
      <c r="DG13" s="281">
        <v>0</v>
      </c>
      <c r="DH13" s="281">
        <v>0</v>
      </c>
      <c r="DI13" s="281">
        <v>0</v>
      </c>
      <c r="DJ13" s="281">
        <v>0</v>
      </c>
      <c r="DK13" s="281">
        <v>0</v>
      </c>
      <c r="DL13" s="284">
        <v>0</v>
      </c>
      <c r="DM13" s="281">
        <v>0</v>
      </c>
      <c r="DN13" s="279">
        <v>0</v>
      </c>
      <c r="DO13" s="295"/>
      <c r="DP13" s="295"/>
      <c r="DQ13" s="295"/>
      <c r="DR13" s="295"/>
      <c r="DS13" s="295"/>
      <c r="DT13" s="295"/>
      <c r="DU13" s="295"/>
      <c r="DV13" s="295"/>
      <c r="DW13" s="295"/>
      <c r="DX13" s="295"/>
      <c r="DY13" s="295"/>
      <c r="DZ13" s="295"/>
      <c r="EA13" s="295"/>
      <c r="EB13" s="295"/>
      <c r="EC13" s="295"/>
      <c r="ED13" s="295"/>
      <c r="EE13" s="295"/>
      <c r="EF13" s="295"/>
      <c r="EG13" s="295"/>
      <c r="EH13" s="295"/>
      <c r="EI13" s="295"/>
      <c r="EJ13" s="295"/>
      <c r="EK13" s="295"/>
      <c r="EL13" s="295"/>
      <c r="EM13" s="282">
        <f t="shared" si="23"/>
        <v>0</v>
      </c>
      <c r="EN13" s="296">
        <f t="shared" si="11"/>
        <v>0</v>
      </c>
      <c r="EO13" s="297">
        <f t="shared" si="12"/>
        <v>0</v>
      </c>
      <c r="EP13" s="284">
        <f t="shared" si="24"/>
        <v>0</v>
      </c>
      <c r="EQ13" s="282">
        <f t="shared" si="14"/>
        <v>0</v>
      </c>
      <c r="ER13" s="285" t="e">
        <f t="shared" si="15"/>
        <v>#DIV/0!</v>
      </c>
      <c r="ES13" s="285" t="e">
        <f t="shared" si="16"/>
        <v>#DIV/0!</v>
      </c>
      <c r="ET13" s="286" t="e">
        <f t="shared" si="17"/>
        <v>#DIV/0!</v>
      </c>
      <c r="EU13" s="286" t="e">
        <f t="shared" si="18"/>
        <v>#DIV/0!</v>
      </c>
      <c r="EV13" s="286" t="e">
        <f t="shared" si="19"/>
        <v>#DIV/0!</v>
      </c>
      <c r="EW13" s="427"/>
      <c r="EX13" s="425"/>
      <c r="EY13" s="425"/>
      <c r="EZ13" s="426"/>
      <c r="FA13" s="426"/>
      <c r="FB13" s="462"/>
    </row>
    <row r="14" spans="1:159" s="131" customFormat="1" ht="29.25" customHeight="1" x14ac:dyDescent="0.25">
      <c r="A14" s="425"/>
      <c r="B14" s="425"/>
      <c r="C14" s="425"/>
      <c r="D14" s="425"/>
      <c r="E14" s="425"/>
      <c r="F14" s="132" t="s">
        <v>4</v>
      </c>
      <c r="G14" s="287">
        <f>+AA14+BD14+BF14+CJ14+DN14</f>
        <v>338069793</v>
      </c>
      <c r="H14" s="288">
        <v>0</v>
      </c>
      <c r="I14" s="287"/>
      <c r="J14" s="287"/>
      <c r="K14" s="287"/>
      <c r="L14" s="287"/>
      <c r="M14" s="287"/>
      <c r="N14" s="287"/>
      <c r="O14" s="287"/>
      <c r="P14" s="287"/>
      <c r="Q14" s="287"/>
      <c r="R14" s="287"/>
      <c r="S14" s="287"/>
      <c r="T14" s="288"/>
      <c r="U14" s="289"/>
      <c r="V14" s="289"/>
      <c r="W14" s="288">
        <v>0</v>
      </c>
      <c r="X14" s="288">
        <v>0</v>
      </c>
      <c r="Y14" s="288">
        <v>0</v>
      </c>
      <c r="Z14" s="288">
        <v>0</v>
      </c>
      <c r="AA14" s="287">
        <v>0</v>
      </c>
      <c r="AB14" s="288">
        <v>349704142</v>
      </c>
      <c r="AC14" s="287">
        <v>62876122</v>
      </c>
      <c r="AD14" s="287">
        <v>62876122</v>
      </c>
      <c r="AE14" s="289">
        <v>54302358</v>
      </c>
      <c r="AF14" s="287">
        <f>117178480-AD14</f>
        <v>54302358</v>
      </c>
      <c r="AG14" s="287">
        <v>104432327</v>
      </c>
      <c r="AH14" s="287">
        <f>221610807-AF14-AD14</f>
        <v>104432327</v>
      </c>
      <c r="AI14" s="287">
        <v>5682842</v>
      </c>
      <c r="AJ14" s="287">
        <f>227293649-AH14-AF14-AD14</f>
        <v>5682842</v>
      </c>
      <c r="AK14" s="287">
        <v>80059278</v>
      </c>
      <c r="AL14" s="287">
        <f>307352927-AJ14-AH14-AF14-AD14</f>
        <v>80059278</v>
      </c>
      <c r="AM14" s="287">
        <v>16097586</v>
      </c>
      <c r="AN14" s="287">
        <v>19233596</v>
      </c>
      <c r="AO14" s="287">
        <v>0</v>
      </c>
      <c r="AP14" s="287">
        <v>0</v>
      </c>
      <c r="AQ14" s="287">
        <v>0</v>
      </c>
      <c r="AR14" s="287">
        <v>9064999</v>
      </c>
      <c r="AS14" s="287">
        <f>26253629-11970000</f>
        <v>14283629</v>
      </c>
      <c r="AT14" s="287">
        <v>755053</v>
      </c>
      <c r="AU14" s="287">
        <v>0</v>
      </c>
      <c r="AV14" s="287"/>
      <c r="AW14" s="287">
        <v>0</v>
      </c>
      <c r="AX14" s="287"/>
      <c r="AY14" s="287">
        <v>0</v>
      </c>
      <c r="AZ14" s="287"/>
      <c r="BA14" s="287">
        <f>AY14+AW14+AU14+AS14+AQ14+AO14+AM14+AK14+AI14+AG14+AE14+AC14</f>
        <v>337734142</v>
      </c>
      <c r="BB14" s="287">
        <f>AC14+AE14+AG14+AI14+AK14+AM14+AO14+AQ14+AS14</f>
        <v>337734142</v>
      </c>
      <c r="BC14" s="290">
        <f>AD14+AF14+AH14+AJ14+AL14+AN14+AP14+AR14+AT14</f>
        <v>336406575</v>
      </c>
      <c r="BD14" s="288">
        <f>AE14+AG14+AI14+AK14+AM14+AO14+AQ14+AS14+AU14+AW14+AY14+AC14</f>
        <v>337734142</v>
      </c>
      <c r="BE14" s="290">
        <f>AD14+AF14+AH14+AJ14+AL14+AN14+AP14+AR14+AT14+AV14+AX14+AZ14</f>
        <v>336406575</v>
      </c>
      <c r="BF14" s="287">
        <v>335651</v>
      </c>
      <c r="BG14" s="287"/>
      <c r="BH14" s="287"/>
      <c r="BI14" s="287"/>
      <c r="BJ14" s="287"/>
      <c r="BK14" s="287"/>
      <c r="BL14" s="287"/>
      <c r="BM14" s="287"/>
      <c r="BN14" s="287"/>
      <c r="BO14" s="287"/>
      <c r="BP14" s="287"/>
      <c r="BQ14" s="287"/>
      <c r="BR14" s="287"/>
      <c r="BS14" s="287"/>
      <c r="BT14" s="287"/>
      <c r="BU14" s="287"/>
      <c r="BV14" s="287"/>
      <c r="BW14" s="287"/>
      <c r="BX14" s="287"/>
      <c r="BY14" s="287"/>
      <c r="BZ14" s="287"/>
      <c r="CA14" s="287"/>
      <c r="CB14" s="287"/>
      <c r="CC14" s="287"/>
      <c r="CD14" s="287"/>
      <c r="CE14" s="288">
        <f t="shared" si="21"/>
        <v>0</v>
      </c>
      <c r="CF14" s="290">
        <f t="shared" si="1"/>
        <v>0</v>
      </c>
      <c r="CG14" s="290">
        <f t="shared" si="2"/>
        <v>0</v>
      </c>
      <c r="CH14" s="288">
        <f t="shared" ref="CH14:CH15" si="25">BI14+BK14+BM14+BO14+BQ14+BS14+BU14+BW14+BY14+CA14+CC14+AZ14</f>
        <v>0</v>
      </c>
      <c r="CI14" s="290">
        <f t="shared" si="4"/>
        <v>0</v>
      </c>
      <c r="CJ14" s="287">
        <v>0</v>
      </c>
      <c r="CK14" s="287">
        <v>0</v>
      </c>
      <c r="CL14" s="287">
        <v>0</v>
      </c>
      <c r="CM14" s="287">
        <v>0</v>
      </c>
      <c r="CN14" s="287">
        <v>0</v>
      </c>
      <c r="CO14" s="287">
        <v>0</v>
      </c>
      <c r="CP14" s="287">
        <v>0</v>
      </c>
      <c r="CQ14" s="287">
        <v>0</v>
      </c>
      <c r="CR14" s="287">
        <v>0</v>
      </c>
      <c r="CS14" s="287">
        <v>0</v>
      </c>
      <c r="CT14" s="287">
        <v>0</v>
      </c>
      <c r="CU14" s="287">
        <v>0</v>
      </c>
      <c r="CV14" s="287">
        <v>0</v>
      </c>
      <c r="CW14" s="287">
        <v>0</v>
      </c>
      <c r="CX14" s="287">
        <v>0</v>
      </c>
      <c r="CY14" s="287">
        <v>0</v>
      </c>
      <c r="CZ14" s="287">
        <v>0</v>
      </c>
      <c r="DA14" s="287">
        <v>0</v>
      </c>
      <c r="DB14" s="287">
        <v>0</v>
      </c>
      <c r="DC14" s="287">
        <v>0</v>
      </c>
      <c r="DD14" s="287">
        <v>0</v>
      </c>
      <c r="DE14" s="287">
        <v>0</v>
      </c>
      <c r="DF14" s="287">
        <v>0</v>
      </c>
      <c r="DG14" s="287">
        <v>0</v>
      </c>
      <c r="DH14" s="287">
        <v>0</v>
      </c>
      <c r="DI14" s="288">
        <v>0</v>
      </c>
      <c r="DJ14" s="290">
        <v>0</v>
      </c>
      <c r="DK14" s="290">
        <v>0</v>
      </c>
      <c r="DL14" s="288">
        <v>0</v>
      </c>
      <c r="DM14" s="290">
        <v>0</v>
      </c>
      <c r="DN14" s="287">
        <v>0</v>
      </c>
      <c r="DO14" s="298"/>
      <c r="DP14" s="298"/>
      <c r="DQ14" s="298"/>
      <c r="DR14" s="298"/>
      <c r="DS14" s="298"/>
      <c r="DT14" s="298"/>
      <c r="DU14" s="298"/>
      <c r="DV14" s="298"/>
      <c r="DW14" s="298"/>
      <c r="DX14" s="298"/>
      <c r="DY14" s="298"/>
      <c r="DZ14" s="298"/>
      <c r="EA14" s="298"/>
      <c r="EB14" s="298"/>
      <c r="EC14" s="298"/>
      <c r="ED14" s="298"/>
      <c r="EE14" s="298"/>
      <c r="EF14" s="298"/>
      <c r="EG14" s="298"/>
      <c r="EH14" s="298"/>
      <c r="EI14" s="298"/>
      <c r="EJ14" s="298"/>
      <c r="EK14" s="298"/>
      <c r="EL14" s="298"/>
      <c r="EM14" s="282">
        <f t="shared" si="23"/>
        <v>0</v>
      </c>
      <c r="EN14" s="292">
        <f t="shared" si="11"/>
        <v>0</v>
      </c>
      <c r="EO14" s="292">
        <f t="shared" si="12"/>
        <v>0</v>
      </c>
      <c r="EP14" s="288">
        <f t="shared" ref="EP14:EP15" si="26">DQ14+DS14+DU14+DW14+DY14+EA14+EC14+EE14+EG14+EI14+EK14+DO14</f>
        <v>0</v>
      </c>
      <c r="EQ14" s="292">
        <f t="shared" si="14"/>
        <v>0</v>
      </c>
      <c r="ER14" s="285">
        <f t="shared" si="15"/>
        <v>5.2861426182379843E-2</v>
      </c>
      <c r="ES14" s="285">
        <f t="shared" si="16"/>
        <v>0.99606919516002024</v>
      </c>
      <c r="ET14" s="286">
        <f t="shared" si="17"/>
        <v>0.99606919516002024</v>
      </c>
      <c r="EU14" s="286">
        <f t="shared" si="18"/>
        <v>0.99606919516002024</v>
      </c>
      <c r="EV14" s="286">
        <f t="shared" si="19"/>
        <v>0.99508025255601584</v>
      </c>
      <c r="EW14" s="427"/>
      <c r="EX14" s="425"/>
      <c r="EY14" s="425"/>
      <c r="EZ14" s="426"/>
      <c r="FA14" s="426"/>
      <c r="FB14" s="462"/>
    </row>
    <row r="15" spans="1:159" s="131" customFormat="1" ht="29.25" customHeight="1" thickBot="1" x14ac:dyDescent="0.3">
      <c r="A15" s="425"/>
      <c r="B15" s="425"/>
      <c r="C15" s="425"/>
      <c r="D15" s="425"/>
      <c r="E15" s="425"/>
      <c r="F15" s="134" t="s">
        <v>43</v>
      </c>
      <c r="G15" s="299">
        <f>+G10+G13</f>
        <v>1</v>
      </c>
      <c r="H15" s="300">
        <f>+H10+H13</f>
        <v>1</v>
      </c>
      <c r="I15" s="301"/>
      <c r="J15" s="301"/>
      <c r="K15" s="301"/>
      <c r="L15" s="301"/>
      <c r="M15" s="301"/>
      <c r="N15" s="302"/>
      <c r="O15" s="301"/>
      <c r="P15" s="302"/>
      <c r="Q15" s="301"/>
      <c r="R15" s="303"/>
      <c r="S15" s="301"/>
      <c r="T15" s="302"/>
      <c r="U15" s="301"/>
      <c r="V15" s="301"/>
      <c r="W15" s="299">
        <f t="shared" ref="W15:AK15" si="27">+W10+W13</f>
        <v>1</v>
      </c>
      <c r="X15" s="299">
        <f t="shared" si="27"/>
        <v>1</v>
      </c>
      <c r="Y15" s="299">
        <f t="shared" si="27"/>
        <v>1</v>
      </c>
      <c r="Z15" s="299">
        <f t="shared" si="27"/>
        <v>1</v>
      </c>
      <c r="AA15" s="299">
        <f t="shared" si="27"/>
        <v>1</v>
      </c>
      <c r="AB15" s="299">
        <f t="shared" si="27"/>
        <v>1</v>
      </c>
      <c r="AC15" s="299">
        <f t="shared" si="27"/>
        <v>1</v>
      </c>
      <c r="AD15" s="299">
        <f t="shared" si="27"/>
        <v>0.86</v>
      </c>
      <c r="AE15" s="299">
        <f t="shared" si="27"/>
        <v>1</v>
      </c>
      <c r="AF15" s="299">
        <f t="shared" si="27"/>
        <v>0.75</v>
      </c>
      <c r="AG15" s="299">
        <f t="shared" si="27"/>
        <v>1</v>
      </c>
      <c r="AH15" s="299">
        <f t="shared" si="27"/>
        <v>0.8</v>
      </c>
      <c r="AI15" s="299">
        <f t="shared" si="27"/>
        <v>1</v>
      </c>
      <c r="AJ15" s="299">
        <f t="shared" si="27"/>
        <v>1</v>
      </c>
      <c r="AK15" s="299">
        <f t="shared" si="27"/>
        <v>1</v>
      </c>
      <c r="AL15" s="299">
        <f t="shared" ref="AL15" si="28">+AL10+AL13</f>
        <v>1</v>
      </c>
      <c r="AM15" s="299">
        <f t="shared" ref="AM15" si="29">+AM10+AM13</f>
        <v>1</v>
      </c>
      <c r="AN15" s="299">
        <f t="shared" ref="AN15" si="30">+AN10+AN13</f>
        <v>1</v>
      </c>
      <c r="AO15" s="299">
        <f t="shared" ref="AO15:AP15" si="31">+AO10+AO13</f>
        <v>1</v>
      </c>
      <c r="AP15" s="299">
        <f t="shared" si="31"/>
        <v>0.95</v>
      </c>
      <c r="AQ15" s="299">
        <f t="shared" ref="AQ15:AR15" si="32">+AQ10+AQ13</f>
        <v>1</v>
      </c>
      <c r="AR15" s="299">
        <f t="shared" si="32"/>
        <v>0.95</v>
      </c>
      <c r="AS15" s="299">
        <f t="shared" ref="AS15:AT15" si="33">+AS10+AS13</f>
        <v>1</v>
      </c>
      <c r="AT15" s="299">
        <f t="shared" si="33"/>
        <v>1</v>
      </c>
      <c r="AU15" s="299">
        <f t="shared" ref="AU15" si="34">+AU10+AU13</f>
        <v>1</v>
      </c>
      <c r="AV15" s="302"/>
      <c r="AW15" s="299">
        <f t="shared" ref="AW15" si="35">+AW10+AW13</f>
        <v>1</v>
      </c>
      <c r="AX15" s="302"/>
      <c r="AY15" s="299">
        <f t="shared" ref="AY15:BA15" si="36">+AY10+AY13</f>
        <v>1</v>
      </c>
      <c r="AZ15" s="302"/>
      <c r="BA15" s="299">
        <f t="shared" si="36"/>
        <v>1</v>
      </c>
      <c r="BB15" s="299">
        <f t="shared" ref="BB15:BF15" si="37">+BB10+BB13</f>
        <v>1</v>
      </c>
      <c r="BC15" s="299">
        <f t="shared" si="37"/>
        <v>1</v>
      </c>
      <c r="BD15" s="299">
        <f t="shared" si="37"/>
        <v>1</v>
      </c>
      <c r="BE15" s="299">
        <f t="shared" si="37"/>
        <v>1</v>
      </c>
      <c r="BF15" s="299">
        <f t="shared" si="37"/>
        <v>1</v>
      </c>
      <c r="BG15" s="301"/>
      <c r="BH15" s="301"/>
      <c r="BI15" s="301"/>
      <c r="BJ15" s="301"/>
      <c r="BK15" s="301"/>
      <c r="BL15" s="301"/>
      <c r="BM15" s="301"/>
      <c r="BN15" s="301"/>
      <c r="BO15" s="301"/>
      <c r="BP15" s="301"/>
      <c r="BQ15" s="301"/>
      <c r="BR15" s="301"/>
      <c r="BS15" s="301"/>
      <c r="BT15" s="301"/>
      <c r="BU15" s="301"/>
      <c r="BV15" s="301"/>
      <c r="BW15" s="301"/>
      <c r="BX15" s="301"/>
      <c r="BY15" s="301"/>
      <c r="BZ15" s="301"/>
      <c r="CA15" s="301"/>
      <c r="CB15" s="301"/>
      <c r="CC15" s="301"/>
      <c r="CD15" s="301"/>
      <c r="CE15" s="301">
        <f t="shared" si="21"/>
        <v>0</v>
      </c>
      <c r="CF15" s="301">
        <f t="shared" si="1"/>
        <v>0</v>
      </c>
      <c r="CG15" s="302">
        <f t="shared" si="2"/>
        <v>0</v>
      </c>
      <c r="CH15" s="304">
        <f t="shared" si="25"/>
        <v>0</v>
      </c>
      <c r="CI15" s="302">
        <f t="shared" ref="CI15" si="38">BJ15+BL15+BN15+BH15</f>
        <v>0</v>
      </c>
      <c r="CJ15" s="299">
        <f t="shared" ref="CJ15" si="39">+CJ10+CJ13</f>
        <v>1</v>
      </c>
      <c r="CK15" s="301"/>
      <c r="CL15" s="301"/>
      <c r="CM15" s="301"/>
      <c r="CN15" s="301"/>
      <c r="CO15" s="301"/>
      <c r="CP15" s="301"/>
      <c r="CQ15" s="301"/>
      <c r="CR15" s="301"/>
      <c r="CS15" s="301"/>
      <c r="CT15" s="301"/>
      <c r="CU15" s="301"/>
      <c r="CV15" s="301"/>
      <c r="CW15" s="301"/>
      <c r="CX15" s="301"/>
      <c r="CY15" s="301"/>
      <c r="CZ15" s="301"/>
      <c r="DA15" s="301"/>
      <c r="DB15" s="301"/>
      <c r="DC15" s="301"/>
      <c r="DD15" s="301"/>
      <c r="DE15" s="301"/>
      <c r="DF15" s="301"/>
      <c r="DG15" s="301"/>
      <c r="DH15" s="301"/>
      <c r="DI15" s="301">
        <f t="shared" ref="DI15" si="40">DE15+DC15+DA15+CY15+CW15+CU15+CS15+CQ15+CO15+CM15+CK15+DG15</f>
        <v>0</v>
      </c>
      <c r="DJ15" s="301">
        <f t="shared" si="6"/>
        <v>0</v>
      </c>
      <c r="DK15" s="301">
        <f t="shared" si="7"/>
        <v>0</v>
      </c>
      <c r="DL15" s="304">
        <f t="shared" ref="DL15" si="41">CM15+CO15+CQ15+CS15+CU15+CW15+CY15+DA15+DC15+DE15+DG15+CK15</f>
        <v>0</v>
      </c>
      <c r="DM15" s="301">
        <f t="shared" ref="DM15" si="42">CN15+CP15+CR15+CL15</f>
        <v>0</v>
      </c>
      <c r="DN15" s="299">
        <f t="shared" ref="DN15" si="43">+DN10+DN13</f>
        <v>1</v>
      </c>
      <c r="DO15" s="305"/>
      <c r="DP15" s="305"/>
      <c r="DQ15" s="305"/>
      <c r="DR15" s="305"/>
      <c r="DS15" s="305"/>
      <c r="DT15" s="305"/>
      <c r="DU15" s="305"/>
      <c r="DV15" s="305"/>
      <c r="DW15" s="305"/>
      <c r="DX15" s="305"/>
      <c r="DY15" s="305"/>
      <c r="DZ15" s="305"/>
      <c r="EA15" s="305"/>
      <c r="EB15" s="305"/>
      <c r="EC15" s="305"/>
      <c r="ED15" s="305"/>
      <c r="EE15" s="305"/>
      <c r="EF15" s="305"/>
      <c r="EG15" s="305"/>
      <c r="EH15" s="305"/>
      <c r="EI15" s="305"/>
      <c r="EJ15" s="305"/>
      <c r="EK15" s="305"/>
      <c r="EL15" s="305"/>
      <c r="EM15" s="302">
        <f t="shared" si="23"/>
        <v>0</v>
      </c>
      <c r="EN15" s="306">
        <f t="shared" si="11"/>
        <v>0</v>
      </c>
      <c r="EO15" s="306">
        <f t="shared" si="12"/>
        <v>0</v>
      </c>
      <c r="EP15" s="304">
        <f t="shared" si="26"/>
        <v>0</v>
      </c>
      <c r="EQ15" s="306">
        <f t="shared" ref="EQ15" si="44">DR15+DT15+DV15+DP15</f>
        <v>0</v>
      </c>
      <c r="ER15" s="307">
        <f t="shared" si="15"/>
        <v>1</v>
      </c>
      <c r="ES15" s="307">
        <f t="shared" si="16"/>
        <v>1</v>
      </c>
      <c r="ET15" s="308">
        <f t="shared" si="17"/>
        <v>1</v>
      </c>
      <c r="EU15" s="308">
        <f t="shared" si="18"/>
        <v>1</v>
      </c>
      <c r="EV15" s="308">
        <f t="shared" si="19"/>
        <v>2</v>
      </c>
      <c r="EW15" s="427"/>
      <c r="EX15" s="425"/>
      <c r="EY15" s="425"/>
      <c r="EZ15" s="426"/>
      <c r="FA15" s="426"/>
      <c r="FB15" s="462"/>
    </row>
    <row r="16" spans="1:159" s="133" customFormat="1" ht="29.25" customHeight="1" thickBot="1" x14ac:dyDescent="0.3">
      <c r="A16" s="425"/>
      <c r="B16" s="425"/>
      <c r="C16" s="425"/>
      <c r="D16" s="425"/>
      <c r="E16" s="425"/>
      <c r="F16" s="278" t="s">
        <v>45</v>
      </c>
      <c r="G16" s="309">
        <f>+G11+G14</f>
        <v>7243133110</v>
      </c>
      <c r="H16" s="310">
        <f>+H11+H14</f>
        <v>775545944</v>
      </c>
      <c r="I16" s="310"/>
      <c r="J16" s="310"/>
      <c r="K16" s="310"/>
      <c r="L16" s="310"/>
      <c r="M16" s="310"/>
      <c r="N16" s="310"/>
      <c r="O16" s="310"/>
      <c r="P16" s="310"/>
      <c r="Q16" s="310"/>
      <c r="R16" s="310"/>
      <c r="S16" s="310"/>
      <c r="T16" s="311"/>
      <c r="U16" s="310"/>
      <c r="V16" s="310"/>
      <c r="W16" s="310">
        <f t="shared" ref="W16:AK16" si="45">+W11+W14</f>
        <v>775545944</v>
      </c>
      <c r="X16" s="310">
        <f t="shared" si="45"/>
        <v>775545944</v>
      </c>
      <c r="Y16" s="310">
        <f t="shared" si="45"/>
        <v>731213017</v>
      </c>
      <c r="Z16" s="310">
        <f t="shared" si="45"/>
        <v>780545944</v>
      </c>
      <c r="AA16" s="310">
        <f t="shared" si="45"/>
        <v>731213017</v>
      </c>
      <c r="AB16" s="310">
        <f t="shared" si="45"/>
        <v>1914382142</v>
      </c>
      <c r="AC16" s="310">
        <f t="shared" si="45"/>
        <v>62876122</v>
      </c>
      <c r="AD16" s="310">
        <f t="shared" si="45"/>
        <v>62876122</v>
      </c>
      <c r="AE16" s="310">
        <f t="shared" si="45"/>
        <v>242534358</v>
      </c>
      <c r="AF16" s="310">
        <f t="shared" si="45"/>
        <v>242534358</v>
      </c>
      <c r="AG16" s="310">
        <f t="shared" si="45"/>
        <v>453424327</v>
      </c>
      <c r="AH16" s="310">
        <f t="shared" si="45"/>
        <v>453424327</v>
      </c>
      <c r="AI16" s="310">
        <f t="shared" si="45"/>
        <v>133162699</v>
      </c>
      <c r="AJ16" s="310">
        <f t="shared" si="45"/>
        <v>133162699</v>
      </c>
      <c r="AK16" s="310">
        <f t="shared" si="45"/>
        <v>80059278</v>
      </c>
      <c r="AL16" s="310">
        <f t="shared" ref="AL16" si="46">+AL11+AL14</f>
        <v>80059278</v>
      </c>
      <c r="AM16" s="310">
        <f t="shared" ref="AM16" si="47">+AM11+AM14</f>
        <v>222729343</v>
      </c>
      <c r="AN16" s="310">
        <f t="shared" ref="AN16" si="48">+AN11+AN14</f>
        <v>225711492</v>
      </c>
      <c r="AO16" s="310">
        <f t="shared" ref="AO16:AP16" si="49">+AO11+AO14</f>
        <v>0</v>
      </c>
      <c r="AP16" s="310">
        <f t="shared" si="49"/>
        <v>0</v>
      </c>
      <c r="AQ16" s="310">
        <f t="shared" ref="AQ16:AR16" si="50">+AQ11+AQ14</f>
        <v>145468477</v>
      </c>
      <c r="AR16" s="310">
        <f t="shared" si="50"/>
        <v>9064999</v>
      </c>
      <c r="AS16" s="310">
        <f t="shared" ref="AS16:AT16" si="51">+AS11+AS14</f>
        <v>95595406</v>
      </c>
      <c r="AT16" s="310">
        <f t="shared" si="51"/>
        <v>28395387</v>
      </c>
      <c r="AU16" s="310">
        <f t="shared" ref="AU16" si="52">+AU11+AU14</f>
        <v>145468477</v>
      </c>
      <c r="AV16" s="310"/>
      <c r="AW16" s="310">
        <f t="shared" ref="AW16" si="53">+AW11+AW14</f>
        <v>145468477</v>
      </c>
      <c r="AX16" s="310"/>
      <c r="AY16" s="310">
        <f t="shared" ref="AY16:BA16" si="54">+AY11+AY14</f>
        <v>145468478</v>
      </c>
      <c r="AZ16" s="310"/>
      <c r="BA16" s="310">
        <f t="shared" si="54"/>
        <v>1872255442</v>
      </c>
      <c r="BB16" s="310">
        <f t="shared" ref="BB16:BF16" si="55">+BB11+BB14</f>
        <v>1435850010</v>
      </c>
      <c r="BC16" s="310">
        <f t="shared" si="55"/>
        <v>1235228662</v>
      </c>
      <c r="BD16" s="310">
        <f t="shared" si="55"/>
        <v>1872255442</v>
      </c>
      <c r="BE16" s="310">
        <f t="shared" si="55"/>
        <v>1235228662</v>
      </c>
      <c r="BF16" s="310">
        <f t="shared" si="55"/>
        <v>1976678651</v>
      </c>
      <c r="BG16" s="310"/>
      <c r="BH16" s="310"/>
      <c r="BI16" s="310"/>
      <c r="BJ16" s="310"/>
      <c r="BK16" s="310"/>
      <c r="BL16" s="310"/>
      <c r="BM16" s="310"/>
      <c r="BN16" s="310"/>
      <c r="BO16" s="310"/>
      <c r="BP16" s="310"/>
      <c r="BQ16" s="310"/>
      <c r="BR16" s="310"/>
      <c r="BS16" s="310"/>
      <c r="BT16" s="310"/>
      <c r="BU16" s="310"/>
      <c r="BV16" s="310"/>
      <c r="BW16" s="310"/>
      <c r="BX16" s="310"/>
      <c r="BY16" s="310"/>
      <c r="BZ16" s="310"/>
      <c r="CA16" s="310"/>
      <c r="CB16" s="310"/>
      <c r="CC16" s="310"/>
      <c r="CD16" s="310"/>
      <c r="CE16" s="311">
        <f t="shared" ref="CE16:CE18" si="56">CC16+CA16+BY16+BW16+BU16+BS16+BQ16+BO16+BM16+BK16+BI16+AZ16</f>
        <v>0</v>
      </c>
      <c r="CF16" s="310">
        <f t="shared" ref="CF16" si="57">+CF11+CF14</f>
        <v>0</v>
      </c>
      <c r="CG16" s="312">
        <f t="shared" ref="CG16" si="58">CG11+CG14</f>
        <v>0</v>
      </c>
      <c r="CH16" s="310">
        <f t="shared" ref="CH16:CJ16" si="59">+CH11+CH14</f>
        <v>0</v>
      </c>
      <c r="CI16" s="310">
        <f t="shared" si="59"/>
        <v>0</v>
      </c>
      <c r="CJ16" s="310">
        <f t="shared" si="59"/>
        <v>1850347000</v>
      </c>
      <c r="CK16" s="310"/>
      <c r="CL16" s="310"/>
      <c r="CM16" s="310"/>
      <c r="CN16" s="310"/>
      <c r="CO16" s="310"/>
      <c r="CP16" s="310"/>
      <c r="CQ16" s="310"/>
      <c r="CR16" s="310"/>
      <c r="CS16" s="310"/>
      <c r="CT16" s="310"/>
      <c r="CU16" s="310"/>
      <c r="CV16" s="310"/>
      <c r="CW16" s="310"/>
      <c r="CX16" s="310"/>
      <c r="CY16" s="310"/>
      <c r="CZ16" s="310"/>
      <c r="DA16" s="310"/>
      <c r="DB16" s="310"/>
      <c r="DC16" s="310"/>
      <c r="DD16" s="310"/>
      <c r="DE16" s="310"/>
      <c r="DF16" s="310"/>
      <c r="DG16" s="310"/>
      <c r="DH16" s="310"/>
      <c r="DI16" s="311">
        <f t="shared" ref="DI16:DI18" si="60">DG16+DE16+DC16+DA16+CY16+CW16+CU16+CS16+CQ16+CO16+CM16+CK16</f>
        <v>0</v>
      </c>
      <c r="DJ16" s="310">
        <f t="shared" ref="DJ16" si="61">+DJ11+DJ14</f>
        <v>0</v>
      </c>
      <c r="DK16" s="312">
        <f t="shared" ref="DK16" si="62">DK11+DK14</f>
        <v>0</v>
      </c>
      <c r="DL16" s="310">
        <f t="shared" ref="DL16:DN16" si="63">+DL11+DL14</f>
        <v>0</v>
      </c>
      <c r="DM16" s="310">
        <f t="shared" si="63"/>
        <v>0</v>
      </c>
      <c r="DN16" s="310">
        <f t="shared" si="63"/>
        <v>812639000</v>
      </c>
      <c r="DO16" s="313"/>
      <c r="DP16" s="313"/>
      <c r="DQ16" s="313"/>
      <c r="DR16" s="313"/>
      <c r="DS16" s="313"/>
      <c r="DT16" s="313"/>
      <c r="DU16" s="313"/>
      <c r="DV16" s="313"/>
      <c r="DW16" s="313"/>
      <c r="DX16" s="313"/>
      <c r="DY16" s="313"/>
      <c r="DZ16" s="313"/>
      <c r="EA16" s="313"/>
      <c r="EB16" s="313"/>
      <c r="EC16" s="313"/>
      <c r="ED16" s="313"/>
      <c r="EE16" s="313"/>
      <c r="EF16" s="313"/>
      <c r="EG16" s="313"/>
      <c r="EH16" s="313"/>
      <c r="EI16" s="313"/>
      <c r="EJ16" s="313"/>
      <c r="EK16" s="313"/>
      <c r="EL16" s="313"/>
      <c r="EM16" s="314">
        <f t="shared" ref="EM16:EM18" si="64">EK16+EI16+EG16+EE16+EC16+EA16+DY16+DW16+DU16+DS16+DQ16+DO16</f>
        <v>0</v>
      </c>
      <c r="EN16" s="315">
        <f t="shared" ref="EN16:EN30" si="65">+EN11+EN14</f>
        <v>0</v>
      </c>
      <c r="EO16" s="316">
        <f t="shared" ref="EO16:EO30" si="66">EO11+EO14</f>
        <v>0</v>
      </c>
      <c r="EP16" s="315">
        <f t="shared" ref="EP16:EQ16" si="67">+EP11+EP14</f>
        <v>0</v>
      </c>
      <c r="EQ16" s="315">
        <f t="shared" si="67"/>
        <v>0</v>
      </c>
      <c r="ER16" s="317">
        <f t="shared" si="15"/>
        <v>0.29703715050909457</v>
      </c>
      <c r="ES16" s="317">
        <f t="shared" si="16"/>
        <v>0.860276946336477</v>
      </c>
      <c r="ET16" s="318">
        <f t="shared" si="17"/>
        <v>0.65975434456768955</v>
      </c>
      <c r="EU16" s="318">
        <f t="shared" si="18"/>
        <v>0.88722490015879174</v>
      </c>
      <c r="EV16" s="319">
        <f>+(AA16+BC16)/G16</f>
        <v>0.27149047920782998</v>
      </c>
      <c r="EW16" s="428"/>
      <c r="EX16" s="425"/>
      <c r="EY16" s="425"/>
      <c r="EZ16" s="426"/>
      <c r="FA16" s="426"/>
      <c r="FB16" s="462"/>
    </row>
    <row r="17" spans="1:159" s="131" customFormat="1" ht="29.25" customHeight="1" x14ac:dyDescent="0.25">
      <c r="A17" s="425" t="s">
        <v>312</v>
      </c>
      <c r="B17" s="425">
        <v>2</v>
      </c>
      <c r="C17" s="425" t="s">
        <v>317</v>
      </c>
      <c r="D17" s="425" t="s">
        <v>273</v>
      </c>
      <c r="E17" s="425">
        <v>272</v>
      </c>
      <c r="F17" s="134" t="s">
        <v>41</v>
      </c>
      <c r="G17" s="320">
        <f>+AA17+BD17+BF17+CJ17+DN17</f>
        <v>29</v>
      </c>
      <c r="H17" s="321">
        <v>4</v>
      </c>
      <c r="I17" s="321"/>
      <c r="J17" s="321"/>
      <c r="K17" s="321"/>
      <c r="L17" s="321"/>
      <c r="M17" s="321"/>
      <c r="N17" s="321"/>
      <c r="O17" s="321"/>
      <c r="P17" s="321"/>
      <c r="Q17" s="321"/>
      <c r="R17" s="321"/>
      <c r="S17" s="321"/>
      <c r="T17" s="322"/>
      <c r="U17" s="321"/>
      <c r="V17" s="321"/>
      <c r="W17" s="321">
        <v>4</v>
      </c>
      <c r="X17" s="321">
        <v>4</v>
      </c>
      <c r="Y17" s="321">
        <v>4</v>
      </c>
      <c r="Z17" s="321">
        <v>4</v>
      </c>
      <c r="AA17" s="321">
        <v>4</v>
      </c>
      <c r="AB17" s="321">
        <v>8</v>
      </c>
      <c r="AC17" s="323">
        <v>0.2</v>
      </c>
      <c r="AD17" s="323">
        <v>0.2</v>
      </c>
      <c r="AE17" s="323">
        <v>0.25</v>
      </c>
      <c r="AF17" s="323">
        <v>0.25</v>
      </c>
      <c r="AG17" s="323">
        <v>0.55000000000000004</v>
      </c>
      <c r="AH17" s="323">
        <v>0.55000000000000004</v>
      </c>
      <c r="AI17" s="323">
        <v>0.6</v>
      </c>
      <c r="AJ17" s="323">
        <v>0.6</v>
      </c>
      <c r="AK17" s="323">
        <v>0.7</v>
      </c>
      <c r="AL17" s="323">
        <v>0.7</v>
      </c>
      <c r="AM17" s="323">
        <v>0.7</v>
      </c>
      <c r="AN17" s="323">
        <v>0.7</v>
      </c>
      <c r="AO17" s="323">
        <v>0.75</v>
      </c>
      <c r="AP17" s="323">
        <v>0.75</v>
      </c>
      <c r="AQ17" s="323">
        <v>0.85</v>
      </c>
      <c r="AR17" s="323">
        <v>0.85</v>
      </c>
      <c r="AS17" s="323">
        <v>1.05</v>
      </c>
      <c r="AT17" s="323">
        <v>1.05</v>
      </c>
      <c r="AU17" s="323">
        <v>0.85</v>
      </c>
      <c r="AV17" s="323"/>
      <c r="AW17" s="323">
        <v>0.6</v>
      </c>
      <c r="AX17" s="323"/>
      <c r="AY17" s="323">
        <v>0.9</v>
      </c>
      <c r="AZ17" s="322"/>
      <c r="BA17" s="321">
        <f>AY17+AW17+AU17+AS17+AQ17+AO17+AM17+AK17+AI17+AG17+AE17+AC17</f>
        <v>8</v>
      </c>
      <c r="BB17" s="321">
        <f t="shared" ref="BB17:BC19" si="68">AC17+AE17+AG17+AI17+AK17+AM17+AO17+AQ17+AS17</f>
        <v>5.6499999999999995</v>
      </c>
      <c r="BC17" s="321">
        <f t="shared" si="68"/>
        <v>5.6499999999999995</v>
      </c>
      <c r="BD17" s="324">
        <f>AE17+AG17+AI17+AK17+AM17+AO17+AQ17+AS17+AU17+AW17+AY17+AC17</f>
        <v>7.9999999999999991</v>
      </c>
      <c r="BE17" s="325">
        <f>AD17+AF17+AH17+AJ17+AL17+AN17+AP17+AR17+AT17+AV17+AX17+AZ17</f>
        <v>5.6499999999999995</v>
      </c>
      <c r="BF17" s="321">
        <v>6</v>
      </c>
      <c r="BG17" s="321">
        <v>8</v>
      </c>
      <c r="BH17" s="321">
        <v>4</v>
      </c>
      <c r="BI17" s="321"/>
      <c r="BJ17" s="321"/>
      <c r="BK17" s="322"/>
      <c r="BL17" s="321"/>
      <c r="BM17" s="322"/>
      <c r="BN17" s="322"/>
      <c r="BO17" s="321"/>
      <c r="BP17" s="321"/>
      <c r="BQ17" s="321"/>
      <c r="BR17" s="321"/>
      <c r="BS17" s="321"/>
      <c r="BT17" s="321"/>
      <c r="BU17" s="321"/>
      <c r="BV17" s="321"/>
      <c r="BW17" s="321"/>
      <c r="BX17" s="321"/>
      <c r="BY17" s="321"/>
      <c r="BZ17" s="321"/>
      <c r="CA17" s="321"/>
      <c r="CB17" s="321"/>
      <c r="CC17" s="321"/>
      <c r="CD17" s="321"/>
      <c r="CE17" s="322">
        <f t="shared" si="56"/>
        <v>0</v>
      </c>
      <c r="CF17" s="321">
        <f t="shared" ref="CF17:CF18" si="69">AZ17+BI17+BK17+BM17</f>
        <v>0</v>
      </c>
      <c r="CG17" s="322">
        <f t="shared" ref="CG17:CG18" si="70">BH17+BJ17+BL17+BN17</f>
        <v>4</v>
      </c>
      <c r="CH17" s="325">
        <f t="shared" ref="CH17:CH18" si="71">BI17+BK17+BM17+BO17+BQ17+BS17+BU17+BW17+BY17+CA17+CC17+AZ17</f>
        <v>0</v>
      </c>
      <c r="CI17" s="321">
        <f t="shared" ref="CI17:CI18" si="72">BH17+BJ17+BL17+BN17</f>
        <v>4</v>
      </c>
      <c r="CJ17" s="321">
        <v>7</v>
      </c>
      <c r="CK17" s="321"/>
      <c r="CL17" s="321"/>
      <c r="CM17" s="321"/>
      <c r="CN17" s="321"/>
      <c r="CO17" s="321"/>
      <c r="CP17" s="321"/>
      <c r="CQ17" s="321"/>
      <c r="CR17" s="321"/>
      <c r="CS17" s="321"/>
      <c r="CT17" s="321"/>
      <c r="CU17" s="321"/>
      <c r="CV17" s="321"/>
      <c r="CW17" s="321"/>
      <c r="CX17" s="321"/>
      <c r="CY17" s="321"/>
      <c r="CZ17" s="321"/>
      <c r="DA17" s="321"/>
      <c r="DB17" s="321"/>
      <c r="DC17" s="321"/>
      <c r="DD17" s="321"/>
      <c r="DE17" s="321"/>
      <c r="DF17" s="321"/>
      <c r="DG17" s="321"/>
      <c r="DH17" s="321"/>
      <c r="DI17" s="322">
        <f t="shared" si="60"/>
        <v>0</v>
      </c>
      <c r="DJ17" s="321">
        <f t="shared" ref="DJ17:DJ18" si="73">CK17+CM17+CO17+CQ17</f>
        <v>0</v>
      </c>
      <c r="DK17" s="322">
        <f t="shared" ref="DK17:DK18" si="74">CL17+CN17+CP17+CR17</f>
        <v>0</v>
      </c>
      <c r="DL17" s="325">
        <f t="shared" ref="DL17:DL18" si="75">CM17+CO17+CQ17+CS17+CU17+CW17+CY17+DA17+DC17+DE17+DG17+CK17</f>
        <v>0</v>
      </c>
      <c r="DM17" s="321">
        <f t="shared" ref="DM17:DM18" si="76">CL17+CN17+CP17+CR17</f>
        <v>0</v>
      </c>
      <c r="DN17" s="321">
        <v>4</v>
      </c>
      <c r="DO17" s="326"/>
      <c r="DP17" s="326"/>
      <c r="DQ17" s="326"/>
      <c r="DR17" s="326"/>
      <c r="DS17" s="326"/>
      <c r="DT17" s="326"/>
      <c r="DU17" s="326"/>
      <c r="DV17" s="326"/>
      <c r="DW17" s="326"/>
      <c r="DX17" s="326"/>
      <c r="DY17" s="326"/>
      <c r="DZ17" s="326"/>
      <c r="EA17" s="326"/>
      <c r="EB17" s="326"/>
      <c r="EC17" s="326"/>
      <c r="ED17" s="326"/>
      <c r="EE17" s="326"/>
      <c r="EF17" s="326"/>
      <c r="EG17" s="327"/>
      <c r="EH17" s="327"/>
      <c r="EI17" s="327"/>
      <c r="EJ17" s="327"/>
      <c r="EK17" s="327"/>
      <c r="EL17" s="327"/>
      <c r="EM17" s="328">
        <f t="shared" si="64"/>
        <v>0</v>
      </c>
      <c r="EN17" s="327">
        <f t="shared" ref="EN17:EN22" si="77">DO17+DQ17+DS17+DU17</f>
        <v>0</v>
      </c>
      <c r="EO17" s="328">
        <f t="shared" ref="EO17:EO22" si="78">DP17+DR17+DT17+DV17</f>
        <v>0</v>
      </c>
      <c r="EP17" s="329">
        <f t="shared" ref="EP17:EP18" si="79">DQ17+DS17+DU17+DW17+DY17+EA17+EC17+EE17+EG17+EI17+EK17+DO17</f>
        <v>0</v>
      </c>
      <c r="EQ17" s="327">
        <f t="shared" ref="EQ17:EQ21" si="80">DP17+DR17+DT17+DV17</f>
        <v>0</v>
      </c>
      <c r="ER17" s="330">
        <f>+AT17/AS17</f>
        <v>1</v>
      </c>
      <c r="ES17" s="330">
        <f>+BC17/BB17</f>
        <v>1</v>
      </c>
      <c r="ET17" s="331">
        <f>BE17/BD17</f>
        <v>0.70625000000000004</v>
      </c>
      <c r="EU17" s="331">
        <f>+(AA17+BC17)/(Z17+BB17)</f>
        <v>1</v>
      </c>
      <c r="EV17" s="331">
        <f>+(AA17+BC17)/G17</f>
        <v>0.33275862068965512</v>
      </c>
      <c r="EW17" s="427" t="s">
        <v>593</v>
      </c>
      <c r="EX17" s="425" t="s">
        <v>386</v>
      </c>
      <c r="EY17" s="425" t="s">
        <v>386</v>
      </c>
      <c r="EZ17" s="426" t="s">
        <v>388</v>
      </c>
      <c r="FA17" s="426" t="s">
        <v>389</v>
      </c>
      <c r="FB17" s="462"/>
      <c r="FC17" s="4"/>
    </row>
    <row r="18" spans="1:159" s="133" customFormat="1" ht="29.25" customHeight="1" x14ac:dyDescent="0.25">
      <c r="A18" s="425"/>
      <c r="B18" s="425"/>
      <c r="C18" s="425"/>
      <c r="D18" s="425"/>
      <c r="E18" s="425"/>
      <c r="F18" s="132" t="s">
        <v>3</v>
      </c>
      <c r="G18" s="287">
        <f>+AA18+BD18+BF18+CJ18+DN18</f>
        <v>5841147419</v>
      </c>
      <c r="H18" s="288">
        <v>613840322</v>
      </c>
      <c r="I18" s="287"/>
      <c r="J18" s="287"/>
      <c r="K18" s="287"/>
      <c r="L18" s="287"/>
      <c r="M18" s="287"/>
      <c r="N18" s="287"/>
      <c r="O18" s="287"/>
      <c r="P18" s="287"/>
      <c r="Q18" s="287"/>
      <c r="R18" s="287"/>
      <c r="S18" s="287"/>
      <c r="T18" s="332"/>
      <c r="U18" s="289"/>
      <c r="V18" s="289"/>
      <c r="W18" s="288">
        <v>613840322</v>
      </c>
      <c r="X18" s="288">
        <v>613840322</v>
      </c>
      <c r="Y18" s="289">
        <v>670473105</v>
      </c>
      <c r="Z18" s="289">
        <v>826840322</v>
      </c>
      <c r="AA18" s="289">
        <v>670473105</v>
      </c>
      <c r="AB18" s="289">
        <v>1374057000</v>
      </c>
      <c r="AC18" s="287">
        <v>0</v>
      </c>
      <c r="AD18" s="287">
        <v>0</v>
      </c>
      <c r="AE18" s="289">
        <v>582050000</v>
      </c>
      <c r="AF18" s="287">
        <f>582050000-AD18</f>
        <v>582050000</v>
      </c>
      <c r="AG18" s="287">
        <v>539567000</v>
      </c>
      <c r="AH18" s="287">
        <f>1121617000-AF18-AD18</f>
        <v>539567000</v>
      </c>
      <c r="AI18" s="287">
        <v>94112000</v>
      </c>
      <c r="AJ18" s="287">
        <f>1215729000-AH18-AF18-AD18</f>
        <v>94112000</v>
      </c>
      <c r="AK18" s="287">
        <v>0</v>
      </c>
      <c r="AL18" s="287">
        <f>1215729000-AJ18-AH18-AF18-AD18</f>
        <v>0</v>
      </c>
      <c r="AM18" s="287">
        <v>0</v>
      </c>
      <c r="AN18" s="287">
        <v>0</v>
      </c>
      <c r="AO18" s="287">
        <v>0</v>
      </c>
      <c r="AP18" s="287">
        <v>24890000</v>
      </c>
      <c r="AQ18" s="287">
        <f>15755000+22212600</f>
        <v>37967600</v>
      </c>
      <c r="AR18" s="287">
        <v>0</v>
      </c>
      <c r="AS18" s="287">
        <f>15755000+22212600+15940314</f>
        <v>53907914</v>
      </c>
      <c r="AT18" s="287">
        <v>15763667</v>
      </c>
      <c r="AU18" s="287">
        <f>15755000+22212600</f>
        <v>37967600</v>
      </c>
      <c r="AV18" s="287"/>
      <c r="AW18" s="287">
        <v>22212600</v>
      </c>
      <c r="AX18" s="287"/>
      <c r="AY18" s="287">
        <v>22212600</v>
      </c>
      <c r="AZ18" s="333"/>
      <c r="BA18" s="290">
        <f>AY18+AW18+AU18+AS18+AQ18+AO18+AM18+AK18+AI18+AG18+AE18+AC18</f>
        <v>1389997314</v>
      </c>
      <c r="BB18" s="290">
        <f t="shared" si="68"/>
        <v>1307604514</v>
      </c>
      <c r="BC18" s="290">
        <f t="shared" si="68"/>
        <v>1256382667</v>
      </c>
      <c r="BD18" s="290">
        <f>AE18+AG18+AI18+AK18+AM18+AO18+AQ18+AS18+AU18+AW18+AY18+AC18</f>
        <v>1389997314</v>
      </c>
      <c r="BE18" s="290">
        <f>AD18+AF18+AH18+AJ18+AL18+AN18+AP18+AR18+AT18+AV18+AX18+AZ18</f>
        <v>1256382667</v>
      </c>
      <c r="BF18" s="287">
        <v>1474279000</v>
      </c>
      <c r="BG18" s="333">
        <v>1515392000</v>
      </c>
      <c r="BH18" s="287">
        <v>791006000</v>
      </c>
      <c r="BI18" s="287"/>
      <c r="BJ18" s="287"/>
      <c r="BK18" s="287"/>
      <c r="BL18" s="287"/>
      <c r="BM18" s="287"/>
      <c r="BN18" s="287"/>
      <c r="BO18" s="287"/>
      <c r="BP18" s="287"/>
      <c r="BQ18" s="287"/>
      <c r="BR18" s="287"/>
      <c r="BS18" s="287"/>
      <c r="BT18" s="287"/>
      <c r="BU18" s="287"/>
      <c r="BV18" s="287"/>
      <c r="BW18" s="287"/>
      <c r="BX18" s="287"/>
      <c r="BY18" s="287"/>
      <c r="BZ18" s="287"/>
      <c r="CA18" s="287"/>
      <c r="CB18" s="287"/>
      <c r="CC18" s="287"/>
      <c r="CD18" s="287"/>
      <c r="CE18" s="288">
        <f t="shared" si="56"/>
        <v>0</v>
      </c>
      <c r="CF18" s="290">
        <f t="shared" si="69"/>
        <v>0</v>
      </c>
      <c r="CG18" s="290">
        <f t="shared" si="70"/>
        <v>791006000</v>
      </c>
      <c r="CH18" s="288">
        <f t="shared" si="71"/>
        <v>0</v>
      </c>
      <c r="CI18" s="290">
        <f t="shared" si="72"/>
        <v>791006000</v>
      </c>
      <c r="CJ18" s="287">
        <v>1515392000</v>
      </c>
      <c r="CK18" s="287"/>
      <c r="CL18" s="287"/>
      <c r="CM18" s="287"/>
      <c r="CN18" s="287"/>
      <c r="CO18" s="287"/>
      <c r="CP18" s="287"/>
      <c r="CQ18" s="287"/>
      <c r="CR18" s="287"/>
      <c r="CS18" s="287"/>
      <c r="CT18" s="287"/>
      <c r="CU18" s="287"/>
      <c r="CV18" s="287"/>
      <c r="CW18" s="287"/>
      <c r="CX18" s="287"/>
      <c r="CY18" s="287"/>
      <c r="CZ18" s="287"/>
      <c r="DA18" s="287"/>
      <c r="DB18" s="287"/>
      <c r="DC18" s="287"/>
      <c r="DD18" s="287"/>
      <c r="DE18" s="287"/>
      <c r="DF18" s="287"/>
      <c r="DG18" s="287"/>
      <c r="DH18" s="287"/>
      <c r="DI18" s="288">
        <f t="shared" si="60"/>
        <v>0</v>
      </c>
      <c r="DJ18" s="290">
        <f t="shared" si="73"/>
        <v>0</v>
      </c>
      <c r="DK18" s="290">
        <f t="shared" si="74"/>
        <v>0</v>
      </c>
      <c r="DL18" s="288">
        <f t="shared" si="75"/>
        <v>0</v>
      </c>
      <c r="DM18" s="290">
        <f t="shared" si="76"/>
        <v>0</v>
      </c>
      <c r="DN18" s="287">
        <v>791006000</v>
      </c>
      <c r="DO18" s="291"/>
      <c r="DP18" s="291"/>
      <c r="DQ18" s="291"/>
      <c r="DR18" s="291"/>
      <c r="DS18" s="291"/>
      <c r="DT18" s="291"/>
      <c r="DU18" s="291"/>
      <c r="DV18" s="291"/>
      <c r="DW18" s="291"/>
      <c r="DX18" s="291"/>
      <c r="DY18" s="291"/>
      <c r="DZ18" s="291"/>
      <c r="EA18" s="291"/>
      <c r="EB18" s="291"/>
      <c r="EC18" s="291"/>
      <c r="ED18" s="291"/>
      <c r="EE18" s="291"/>
      <c r="EF18" s="291"/>
      <c r="EG18" s="291"/>
      <c r="EH18" s="291"/>
      <c r="EI18" s="291"/>
      <c r="EJ18" s="291"/>
      <c r="EK18" s="291"/>
      <c r="EL18" s="291"/>
      <c r="EM18" s="281">
        <f t="shared" si="64"/>
        <v>0</v>
      </c>
      <c r="EN18" s="292">
        <f t="shared" si="77"/>
        <v>0</v>
      </c>
      <c r="EO18" s="292">
        <f t="shared" si="78"/>
        <v>0</v>
      </c>
      <c r="EP18" s="293">
        <f t="shared" si="79"/>
        <v>0</v>
      </c>
      <c r="EQ18" s="292">
        <f t="shared" si="80"/>
        <v>0</v>
      </c>
      <c r="ER18" s="285">
        <f t="shared" ref="ER18:ER23" si="81">+AT18/AS18</f>
        <v>0.29241841930667173</v>
      </c>
      <c r="ES18" s="285">
        <f t="shared" si="16"/>
        <v>0.96082772241026382</v>
      </c>
      <c r="ET18" s="286">
        <f t="shared" si="17"/>
        <v>0.90387416892519257</v>
      </c>
      <c r="EU18" s="286">
        <f t="shared" si="18"/>
        <v>0.90274329863261926</v>
      </c>
      <c r="EV18" s="286">
        <f t="shared" si="19"/>
        <v>0.32987624413182098</v>
      </c>
      <c r="EW18" s="427"/>
      <c r="EX18" s="425"/>
      <c r="EY18" s="425"/>
      <c r="EZ18" s="426"/>
      <c r="FA18" s="426"/>
      <c r="FB18" s="462"/>
    </row>
    <row r="19" spans="1:159" s="133" customFormat="1" ht="29.25" customHeight="1" x14ac:dyDescent="0.25">
      <c r="A19" s="425"/>
      <c r="B19" s="425"/>
      <c r="C19" s="425"/>
      <c r="D19" s="425"/>
      <c r="E19" s="425"/>
      <c r="F19" s="127" t="s">
        <v>220</v>
      </c>
      <c r="G19" s="287"/>
      <c r="H19" s="288"/>
      <c r="I19" s="287"/>
      <c r="J19" s="287"/>
      <c r="K19" s="287"/>
      <c r="L19" s="287"/>
      <c r="M19" s="287"/>
      <c r="N19" s="287"/>
      <c r="O19" s="287"/>
      <c r="P19" s="287"/>
      <c r="Q19" s="287"/>
      <c r="R19" s="287"/>
      <c r="S19" s="287"/>
      <c r="T19" s="332"/>
      <c r="U19" s="289"/>
      <c r="V19" s="289"/>
      <c r="W19" s="288"/>
      <c r="X19" s="288"/>
      <c r="Y19" s="288"/>
      <c r="Z19" s="289"/>
      <c r="AA19" s="289"/>
      <c r="AB19" s="289"/>
      <c r="AC19" s="287">
        <v>0</v>
      </c>
      <c r="AD19" s="287">
        <v>0</v>
      </c>
      <c r="AE19" s="289">
        <v>0</v>
      </c>
      <c r="AF19" s="287">
        <v>0</v>
      </c>
      <c r="AG19" s="287">
        <v>3498367</v>
      </c>
      <c r="AH19" s="287">
        <v>3498367</v>
      </c>
      <c r="AI19" s="287">
        <v>88785267</v>
      </c>
      <c r="AJ19" s="287">
        <f>92283634-AH19</f>
        <v>88785267</v>
      </c>
      <c r="AK19" s="287">
        <v>122743101</v>
      </c>
      <c r="AL19" s="287">
        <f>211528368-AJ19-AH19</f>
        <v>119244734</v>
      </c>
      <c r="AM19" s="287">
        <v>175067700</v>
      </c>
      <c r="AN19" s="287">
        <v>175067700</v>
      </c>
      <c r="AO19" s="287">
        <v>0</v>
      </c>
      <c r="AP19" s="287">
        <v>147283000</v>
      </c>
      <c r="AQ19" s="287">
        <v>0</v>
      </c>
      <c r="AR19" s="287">
        <v>142960000</v>
      </c>
      <c r="AS19" s="287">
        <v>0</v>
      </c>
      <c r="AT19" s="287">
        <v>149431400</v>
      </c>
      <c r="AU19" s="287">
        <v>0</v>
      </c>
      <c r="AV19" s="287"/>
      <c r="AW19" s="287">
        <v>0</v>
      </c>
      <c r="AX19" s="287"/>
      <c r="AY19" s="287">
        <v>0</v>
      </c>
      <c r="AZ19" s="333"/>
      <c r="BA19" s="290">
        <f>AY19+AW19+AU19+AS19+AQ19+AO19+AM19+AK19+AI19+AG19+AE19+AC19</f>
        <v>390094435</v>
      </c>
      <c r="BB19" s="290">
        <f t="shared" si="68"/>
        <v>390094435</v>
      </c>
      <c r="BC19" s="290">
        <f t="shared" si="68"/>
        <v>826270468</v>
      </c>
      <c r="BD19" s="290">
        <f>AE19+AG19+AI19+AK19+AM19+AO19+AQ19+AS19+AU19+AW19+AY19+AC19</f>
        <v>390094435</v>
      </c>
      <c r="BE19" s="290">
        <f>AD19+AF19+AH19+AJ19+AL19+AN19+AP19+AR19+AT19+AV19+AX19+AZ19</f>
        <v>826270468</v>
      </c>
      <c r="BF19" s="287">
        <v>0</v>
      </c>
      <c r="BG19" s="333"/>
      <c r="BH19" s="287"/>
      <c r="BI19" s="287"/>
      <c r="BJ19" s="287"/>
      <c r="BK19" s="287"/>
      <c r="BL19" s="287"/>
      <c r="BM19" s="287"/>
      <c r="BN19" s="287"/>
      <c r="BO19" s="287"/>
      <c r="BP19" s="287"/>
      <c r="BQ19" s="287"/>
      <c r="BR19" s="287"/>
      <c r="BS19" s="287"/>
      <c r="BT19" s="287"/>
      <c r="BU19" s="287"/>
      <c r="BV19" s="287"/>
      <c r="BW19" s="287"/>
      <c r="BX19" s="287"/>
      <c r="BY19" s="287"/>
      <c r="BZ19" s="287"/>
      <c r="CA19" s="287"/>
      <c r="CB19" s="287"/>
      <c r="CC19" s="287"/>
      <c r="CD19" s="287"/>
      <c r="CE19" s="288"/>
      <c r="CF19" s="290"/>
      <c r="CG19" s="290"/>
      <c r="CH19" s="288"/>
      <c r="CI19" s="290"/>
      <c r="CJ19" s="287">
        <v>0</v>
      </c>
      <c r="CK19" s="287"/>
      <c r="CL19" s="287"/>
      <c r="CM19" s="287"/>
      <c r="CN19" s="287"/>
      <c r="CO19" s="287"/>
      <c r="CP19" s="287"/>
      <c r="CQ19" s="287"/>
      <c r="CR19" s="287"/>
      <c r="CS19" s="287"/>
      <c r="CT19" s="287"/>
      <c r="CU19" s="287"/>
      <c r="CV19" s="287"/>
      <c r="CW19" s="287"/>
      <c r="CX19" s="287"/>
      <c r="CY19" s="287"/>
      <c r="CZ19" s="287"/>
      <c r="DA19" s="287"/>
      <c r="DB19" s="287"/>
      <c r="DC19" s="287"/>
      <c r="DD19" s="287"/>
      <c r="DE19" s="287"/>
      <c r="DF19" s="287"/>
      <c r="DG19" s="287"/>
      <c r="DH19" s="287"/>
      <c r="DI19" s="288"/>
      <c r="DJ19" s="290"/>
      <c r="DK19" s="290"/>
      <c r="DL19" s="288"/>
      <c r="DM19" s="290"/>
      <c r="DN19" s="287">
        <v>0</v>
      </c>
      <c r="DO19" s="291"/>
      <c r="DP19" s="291"/>
      <c r="DQ19" s="291"/>
      <c r="DR19" s="291"/>
      <c r="DS19" s="291"/>
      <c r="DT19" s="291"/>
      <c r="DU19" s="291"/>
      <c r="DV19" s="291"/>
      <c r="DW19" s="291"/>
      <c r="DX19" s="291"/>
      <c r="DY19" s="291"/>
      <c r="DZ19" s="291"/>
      <c r="EA19" s="291"/>
      <c r="EB19" s="291"/>
      <c r="EC19" s="291"/>
      <c r="ED19" s="291"/>
      <c r="EE19" s="291"/>
      <c r="EF19" s="291"/>
      <c r="EG19" s="291"/>
      <c r="EH19" s="291"/>
      <c r="EI19" s="291"/>
      <c r="EJ19" s="291"/>
      <c r="EK19" s="291"/>
      <c r="EL19" s="291"/>
      <c r="EM19" s="281">
        <f t="shared" ref="EM19:EM22" si="82">EI19+EG19+EE19+EC19+EA19+DY19+DW19+DU19+DS19+DQ19+DO19+EK19</f>
        <v>0</v>
      </c>
      <c r="EN19" s="292">
        <f t="shared" si="77"/>
        <v>0</v>
      </c>
      <c r="EO19" s="292">
        <f t="shared" si="78"/>
        <v>0</v>
      </c>
      <c r="EP19" s="288">
        <f t="shared" ref="EP19:EP20" si="83">DQ19+DS19+DU19+DW19+DY19+EA19+EC19+EE19+EG19+EI19+EK19</f>
        <v>0</v>
      </c>
      <c r="EQ19" s="292">
        <f t="shared" si="80"/>
        <v>0</v>
      </c>
      <c r="ER19" s="285" t="e">
        <f t="shared" si="81"/>
        <v>#DIV/0!</v>
      </c>
      <c r="ES19" s="285">
        <f t="shared" si="16"/>
        <v>2.1181293396302872</v>
      </c>
      <c r="ET19" s="286">
        <f t="shared" si="17"/>
        <v>2.1181293396302872</v>
      </c>
      <c r="EU19" s="286">
        <f t="shared" si="18"/>
        <v>2.1181293396302872</v>
      </c>
      <c r="EV19" s="286" t="e">
        <f t="shared" si="19"/>
        <v>#DIV/0!</v>
      </c>
      <c r="EW19" s="427"/>
      <c r="EX19" s="425"/>
      <c r="EY19" s="425"/>
      <c r="EZ19" s="426"/>
      <c r="FA19" s="426"/>
      <c r="FB19" s="462"/>
    </row>
    <row r="20" spans="1:159" s="131" customFormat="1" ht="29.25" customHeight="1" x14ac:dyDescent="0.25">
      <c r="A20" s="425"/>
      <c r="B20" s="425"/>
      <c r="C20" s="425"/>
      <c r="D20" s="425"/>
      <c r="E20" s="425"/>
      <c r="F20" s="134" t="s">
        <v>42</v>
      </c>
      <c r="G20" s="334">
        <f>+AA20+BD20+BF20+CJ20+DN20</f>
        <v>0</v>
      </c>
      <c r="H20" s="282">
        <v>0</v>
      </c>
      <c r="I20" s="282"/>
      <c r="J20" s="282"/>
      <c r="K20" s="282"/>
      <c r="L20" s="282"/>
      <c r="M20" s="282"/>
      <c r="N20" s="282"/>
      <c r="O20" s="282"/>
      <c r="P20" s="282"/>
      <c r="Q20" s="282"/>
      <c r="R20" s="282"/>
      <c r="S20" s="282"/>
      <c r="T20" s="335"/>
      <c r="U20" s="282"/>
      <c r="V20" s="282"/>
      <c r="W20" s="282">
        <v>0</v>
      </c>
      <c r="X20" s="282">
        <v>0</v>
      </c>
      <c r="Y20" s="282">
        <v>0</v>
      </c>
      <c r="Z20" s="282">
        <v>0</v>
      </c>
      <c r="AA20" s="282">
        <v>0</v>
      </c>
      <c r="AB20" s="282">
        <v>0</v>
      </c>
      <c r="AC20" s="282">
        <v>0</v>
      </c>
      <c r="AD20" s="282">
        <v>0</v>
      </c>
      <c r="AE20" s="282">
        <v>0</v>
      </c>
      <c r="AF20" s="282">
        <v>0</v>
      </c>
      <c r="AG20" s="282">
        <v>0</v>
      </c>
      <c r="AH20" s="282">
        <v>0</v>
      </c>
      <c r="AI20" s="282">
        <v>0</v>
      </c>
      <c r="AJ20" s="282">
        <v>0</v>
      </c>
      <c r="AK20" s="282">
        <v>0</v>
      </c>
      <c r="AL20" s="282">
        <v>0</v>
      </c>
      <c r="AM20" s="282">
        <v>0</v>
      </c>
      <c r="AN20" s="282">
        <v>0</v>
      </c>
      <c r="AO20" s="282">
        <v>0</v>
      </c>
      <c r="AP20" s="282">
        <v>0</v>
      </c>
      <c r="AQ20" s="282">
        <v>0</v>
      </c>
      <c r="AR20" s="282">
        <v>0</v>
      </c>
      <c r="AS20" s="282">
        <v>0</v>
      </c>
      <c r="AT20" s="282">
        <v>0</v>
      </c>
      <c r="AU20" s="282">
        <v>0</v>
      </c>
      <c r="AV20" s="282">
        <v>0</v>
      </c>
      <c r="AW20" s="282">
        <v>0</v>
      </c>
      <c r="AX20" s="282">
        <v>0</v>
      </c>
      <c r="AY20" s="282">
        <v>0</v>
      </c>
      <c r="AZ20" s="335"/>
      <c r="BA20" s="282">
        <f>AY20+AW20+AU20+AS20+AQ20+AO20+AM20+AK20+AI20+AG20+AE20+AC20</f>
        <v>0</v>
      </c>
      <c r="BB20" s="282">
        <f t="shared" ref="BB20:BB21" si="84">AC20+AE20+AG20+AI20+AK20+AM20+AO20+AQ20+AS20</f>
        <v>0</v>
      </c>
      <c r="BC20" s="282">
        <f t="shared" ref="BC20:BC21" si="85">AD20+AF20+AH20+AJ20+AL20+AN20+AP20+AR20+AT20</f>
        <v>0</v>
      </c>
      <c r="BD20" s="282">
        <f>AE20+AG20+AI20+AK20+AM20+AO20+AQ20+AS20+AU20+AW20+AY20+AC20</f>
        <v>0</v>
      </c>
      <c r="BE20" s="282">
        <f>AD20+AF20+AH20+AJ20+AL20+AN20+AP20+AR20+AT20+AV20+AX20+AZ20</f>
        <v>0</v>
      </c>
      <c r="BF20" s="282">
        <v>0</v>
      </c>
      <c r="BG20" s="282">
        <v>0</v>
      </c>
      <c r="BH20" s="282">
        <v>0</v>
      </c>
      <c r="BI20" s="282"/>
      <c r="BJ20" s="282"/>
      <c r="BK20" s="335"/>
      <c r="BL20" s="282"/>
      <c r="BM20" s="335"/>
      <c r="BN20" s="335"/>
      <c r="BO20" s="282"/>
      <c r="BP20" s="282"/>
      <c r="BQ20" s="282"/>
      <c r="BR20" s="282"/>
      <c r="BS20" s="282"/>
      <c r="BT20" s="282"/>
      <c r="BU20" s="282"/>
      <c r="BV20" s="282"/>
      <c r="BW20" s="282"/>
      <c r="BX20" s="282"/>
      <c r="BY20" s="282"/>
      <c r="BZ20" s="282"/>
      <c r="CA20" s="282"/>
      <c r="CB20" s="282"/>
      <c r="CC20" s="282"/>
      <c r="CD20" s="282"/>
      <c r="CE20" s="335">
        <f>CA20+BY20+BW20+BU20+BS20+BQ20+BO20+BM20+BK20+BI20+AZ19+CC20</f>
        <v>0</v>
      </c>
      <c r="CF20" s="282">
        <f>AZ19+BI20+BK20+BM20</f>
        <v>0</v>
      </c>
      <c r="CG20" s="335">
        <f>BH20+BJ20+BL20+BN20</f>
        <v>0</v>
      </c>
      <c r="CH20" s="336">
        <f>AZ19+BI20+BK20+BM20+BO20+BQ20+BS20+BU20+BW20+BY20+CA20+CC20</f>
        <v>0</v>
      </c>
      <c r="CI20" s="282">
        <f>BH20+BJ20+BL20+BN20</f>
        <v>0</v>
      </c>
      <c r="CJ20" s="282">
        <v>0</v>
      </c>
      <c r="CK20" s="282"/>
      <c r="CL20" s="282"/>
      <c r="CM20" s="282"/>
      <c r="CN20" s="282"/>
      <c r="CO20" s="282"/>
      <c r="CP20" s="282"/>
      <c r="CQ20" s="282"/>
      <c r="CR20" s="282"/>
      <c r="CS20" s="282"/>
      <c r="CT20" s="282"/>
      <c r="CU20" s="282"/>
      <c r="CV20" s="282"/>
      <c r="CW20" s="282"/>
      <c r="CX20" s="282"/>
      <c r="CY20" s="282"/>
      <c r="CZ20" s="282"/>
      <c r="DA20" s="282"/>
      <c r="DB20" s="282"/>
      <c r="DC20" s="282"/>
      <c r="DD20" s="282"/>
      <c r="DE20" s="282"/>
      <c r="DF20" s="282"/>
      <c r="DG20" s="282"/>
      <c r="DH20" s="282"/>
      <c r="DI20" s="335">
        <f t="shared" ref="DI20:DI23" si="86">DE20+DC20+DA20+CY20+CW20+CU20+CS20+CQ20+CO20+CM20+CK20+DG20</f>
        <v>0</v>
      </c>
      <c r="DJ20" s="282">
        <f t="shared" ref="DJ20:DK23" si="87">CK20+CM20+CO20+CQ20</f>
        <v>0</v>
      </c>
      <c r="DK20" s="335">
        <f t="shared" si="87"/>
        <v>0</v>
      </c>
      <c r="DL20" s="336">
        <f t="shared" ref="DL20:DL21" si="88">CM20+CO20+CQ20+CS20+CU20+CW20+CY20+DA20+DC20+DE20+DG20</f>
        <v>0</v>
      </c>
      <c r="DM20" s="282">
        <f>CL20+CN20+CP20+CR20</f>
        <v>0</v>
      </c>
      <c r="DN20" s="282">
        <v>0</v>
      </c>
      <c r="DO20" s="295"/>
      <c r="DP20" s="295"/>
      <c r="DQ20" s="295"/>
      <c r="DR20" s="295"/>
      <c r="DS20" s="295"/>
      <c r="DT20" s="295"/>
      <c r="DU20" s="295"/>
      <c r="DV20" s="295"/>
      <c r="DW20" s="295"/>
      <c r="DX20" s="295"/>
      <c r="DY20" s="295"/>
      <c r="DZ20" s="295"/>
      <c r="EA20" s="295"/>
      <c r="EB20" s="295"/>
      <c r="EC20" s="295"/>
      <c r="ED20" s="295"/>
      <c r="EE20" s="295"/>
      <c r="EF20" s="295"/>
      <c r="EG20" s="295"/>
      <c r="EH20" s="295"/>
      <c r="EI20" s="295"/>
      <c r="EJ20" s="295"/>
      <c r="EK20" s="295"/>
      <c r="EL20" s="295"/>
      <c r="EM20" s="282">
        <f t="shared" si="82"/>
        <v>0</v>
      </c>
      <c r="EN20" s="296">
        <f t="shared" si="77"/>
        <v>0</v>
      </c>
      <c r="EO20" s="297">
        <f t="shared" si="78"/>
        <v>0</v>
      </c>
      <c r="EP20" s="284">
        <f t="shared" si="83"/>
        <v>0</v>
      </c>
      <c r="EQ20" s="282">
        <f t="shared" si="80"/>
        <v>0</v>
      </c>
      <c r="ER20" s="285" t="e">
        <f t="shared" si="81"/>
        <v>#DIV/0!</v>
      </c>
      <c r="ES20" s="285" t="e">
        <f t="shared" si="16"/>
        <v>#DIV/0!</v>
      </c>
      <c r="ET20" s="286" t="e">
        <f t="shared" si="17"/>
        <v>#DIV/0!</v>
      </c>
      <c r="EU20" s="286" t="e">
        <f t="shared" si="18"/>
        <v>#DIV/0!</v>
      </c>
      <c r="EV20" s="286" t="e">
        <f t="shared" si="19"/>
        <v>#DIV/0!</v>
      </c>
      <c r="EW20" s="427"/>
      <c r="EX20" s="425"/>
      <c r="EY20" s="425"/>
      <c r="EZ20" s="426"/>
      <c r="FA20" s="426"/>
      <c r="FB20" s="462"/>
    </row>
    <row r="21" spans="1:159" s="131" customFormat="1" ht="29.25" customHeight="1" x14ac:dyDescent="0.25">
      <c r="A21" s="425"/>
      <c r="B21" s="425"/>
      <c r="C21" s="425"/>
      <c r="D21" s="425"/>
      <c r="E21" s="425"/>
      <c r="F21" s="132" t="s">
        <v>4</v>
      </c>
      <c r="G21" s="287">
        <f>+AA21+BD21+BF21+CJ21+DN21</f>
        <v>220512384</v>
      </c>
      <c r="H21" s="288">
        <v>0</v>
      </c>
      <c r="I21" s="287">
        <v>0</v>
      </c>
      <c r="J21" s="287">
        <v>0</v>
      </c>
      <c r="K21" s="287">
        <v>0</v>
      </c>
      <c r="L21" s="287">
        <v>0</v>
      </c>
      <c r="M21" s="287">
        <v>0</v>
      </c>
      <c r="N21" s="287">
        <v>0</v>
      </c>
      <c r="O21" s="287">
        <v>0</v>
      </c>
      <c r="P21" s="287">
        <v>0</v>
      </c>
      <c r="Q21" s="287">
        <v>0</v>
      </c>
      <c r="R21" s="287">
        <v>0</v>
      </c>
      <c r="S21" s="287">
        <v>0</v>
      </c>
      <c r="T21" s="332">
        <v>0</v>
      </c>
      <c r="U21" s="289">
        <v>0</v>
      </c>
      <c r="V21" s="289">
        <v>0</v>
      </c>
      <c r="W21" s="288">
        <v>0</v>
      </c>
      <c r="X21" s="288">
        <v>0</v>
      </c>
      <c r="Y21" s="288">
        <v>0</v>
      </c>
      <c r="Z21" s="289">
        <v>0</v>
      </c>
      <c r="AA21" s="289">
        <v>0</v>
      </c>
      <c r="AB21" s="289">
        <v>220512384</v>
      </c>
      <c r="AC21" s="287">
        <v>62045867</v>
      </c>
      <c r="AD21" s="287">
        <v>62045867</v>
      </c>
      <c r="AE21" s="289">
        <v>68053533</v>
      </c>
      <c r="AF21" s="287">
        <f>130099400-AD21</f>
        <v>68053533</v>
      </c>
      <c r="AG21" s="287">
        <v>10948200</v>
      </c>
      <c r="AH21" s="287">
        <f>141047600-AF21-AD21</f>
        <v>10948200</v>
      </c>
      <c r="AI21" s="287">
        <v>8101667</v>
      </c>
      <c r="AJ21" s="287">
        <f>149149267-AH21-AF21-AD21</f>
        <v>8101667</v>
      </c>
      <c r="AK21" s="287">
        <v>15903967</v>
      </c>
      <c r="AL21" s="287">
        <f>165053234-AJ21-AH21-AF21-AD21</f>
        <v>15903967</v>
      </c>
      <c r="AM21" s="287">
        <v>5571367</v>
      </c>
      <c r="AN21" s="287">
        <v>5571367</v>
      </c>
      <c r="AO21" s="287">
        <v>0</v>
      </c>
      <c r="AP21" s="287">
        <v>0</v>
      </c>
      <c r="AQ21" s="287">
        <v>49887783</v>
      </c>
      <c r="AR21" s="287">
        <v>0</v>
      </c>
      <c r="AS21" s="287">
        <v>0</v>
      </c>
      <c r="AT21" s="287">
        <v>0</v>
      </c>
      <c r="AU21" s="287">
        <v>0</v>
      </c>
      <c r="AV21" s="287"/>
      <c r="AW21" s="287">
        <v>0</v>
      </c>
      <c r="AX21" s="287"/>
      <c r="AY21" s="287">
        <v>0</v>
      </c>
      <c r="AZ21" s="333"/>
      <c r="BA21" s="290">
        <f>AY21+AW21+AU21+AS21+AQ21+AO21+AM21+AK21+AI21+AG21+AE21+AC21</f>
        <v>220512384</v>
      </c>
      <c r="BB21" s="290">
        <f t="shared" si="84"/>
        <v>220512384</v>
      </c>
      <c r="BC21" s="290">
        <f t="shared" si="85"/>
        <v>170624601</v>
      </c>
      <c r="BD21" s="290">
        <f>AE21+AG21+AI21+AK21+AM21+AO21+AQ21+AS21+AU21+AW21+AY21+AC21</f>
        <v>220512384</v>
      </c>
      <c r="BE21" s="290">
        <f>AD21+AF21+AH21+AJ21+AL21+AN21+AP21+AR21+AT21+AV21+AX21+AZ21</f>
        <v>170624601</v>
      </c>
      <c r="BF21" s="287">
        <v>0</v>
      </c>
      <c r="BG21" s="333">
        <v>0</v>
      </c>
      <c r="BH21" s="287">
        <v>0</v>
      </c>
      <c r="BI21" s="287"/>
      <c r="BJ21" s="287"/>
      <c r="BK21" s="287"/>
      <c r="BL21" s="287"/>
      <c r="BM21" s="287"/>
      <c r="BN21" s="287"/>
      <c r="BO21" s="287"/>
      <c r="BP21" s="287"/>
      <c r="BQ21" s="287"/>
      <c r="BR21" s="287"/>
      <c r="BS21" s="287"/>
      <c r="BT21" s="287"/>
      <c r="BU21" s="287"/>
      <c r="BV21" s="287"/>
      <c r="BW21" s="287"/>
      <c r="BX21" s="287"/>
      <c r="BY21" s="287"/>
      <c r="BZ21" s="287"/>
      <c r="CA21" s="287"/>
      <c r="CB21" s="287"/>
      <c r="CC21" s="287"/>
      <c r="CD21" s="287"/>
      <c r="CE21" s="288">
        <f>CA21+BY21+BW21+BU21+BS21+BQ21+BO21+BM21+BK21+BI21+AZ20+CC21</f>
        <v>0</v>
      </c>
      <c r="CF21" s="290">
        <f>AZ20+BI21+BK21+BM21</f>
        <v>0</v>
      </c>
      <c r="CG21" s="290">
        <f>BH21+BJ21+BL21+BN21</f>
        <v>0</v>
      </c>
      <c r="CH21" s="288">
        <f>AZ20+BI21+BK21+BM21+BO21+BQ21+BS21+BU21+BW21+BY21+CA21+CC21</f>
        <v>0</v>
      </c>
      <c r="CI21" s="290">
        <f>BH21+BJ21+BL21+BN21</f>
        <v>0</v>
      </c>
      <c r="CJ21" s="287">
        <v>0</v>
      </c>
      <c r="CK21" s="287"/>
      <c r="CL21" s="287"/>
      <c r="CM21" s="287"/>
      <c r="CN21" s="287"/>
      <c r="CO21" s="287"/>
      <c r="CP21" s="287"/>
      <c r="CQ21" s="287"/>
      <c r="CR21" s="287"/>
      <c r="CS21" s="287"/>
      <c r="CT21" s="287"/>
      <c r="CU21" s="287"/>
      <c r="CV21" s="287"/>
      <c r="CW21" s="287"/>
      <c r="CX21" s="287"/>
      <c r="CY21" s="287"/>
      <c r="CZ21" s="287"/>
      <c r="DA21" s="287"/>
      <c r="DB21" s="287"/>
      <c r="DC21" s="287"/>
      <c r="DD21" s="287"/>
      <c r="DE21" s="287"/>
      <c r="DF21" s="287"/>
      <c r="DG21" s="287"/>
      <c r="DH21" s="287"/>
      <c r="DI21" s="288">
        <f t="shared" si="86"/>
        <v>0</v>
      </c>
      <c r="DJ21" s="290">
        <f t="shared" si="87"/>
        <v>0</v>
      </c>
      <c r="DK21" s="290">
        <f t="shared" si="87"/>
        <v>0</v>
      </c>
      <c r="DL21" s="288">
        <f t="shared" si="88"/>
        <v>0</v>
      </c>
      <c r="DM21" s="290">
        <f>CL21+CN21+CP21+CR21</f>
        <v>0</v>
      </c>
      <c r="DN21" s="287">
        <v>0</v>
      </c>
      <c r="DO21" s="298"/>
      <c r="DP21" s="298"/>
      <c r="DQ21" s="298"/>
      <c r="DR21" s="298"/>
      <c r="DS21" s="298"/>
      <c r="DT21" s="298"/>
      <c r="DU21" s="298"/>
      <c r="DV21" s="298"/>
      <c r="DW21" s="298"/>
      <c r="DX21" s="298"/>
      <c r="DY21" s="298"/>
      <c r="DZ21" s="298"/>
      <c r="EA21" s="298"/>
      <c r="EB21" s="298"/>
      <c r="EC21" s="298"/>
      <c r="ED21" s="298"/>
      <c r="EE21" s="298"/>
      <c r="EF21" s="298"/>
      <c r="EG21" s="298"/>
      <c r="EH21" s="298"/>
      <c r="EI21" s="298"/>
      <c r="EJ21" s="298"/>
      <c r="EK21" s="298"/>
      <c r="EL21" s="298"/>
      <c r="EM21" s="282">
        <f t="shared" si="82"/>
        <v>0</v>
      </c>
      <c r="EN21" s="292">
        <f t="shared" si="77"/>
        <v>0</v>
      </c>
      <c r="EO21" s="292">
        <f t="shared" si="78"/>
        <v>0</v>
      </c>
      <c r="EP21" s="288">
        <f t="shared" ref="EP21:EP22" si="89">DQ21+DS21+DU21+DW21+DY21+EA21+EC21+EE21+EG21+EI21+EK21+DO21</f>
        <v>0</v>
      </c>
      <c r="EQ21" s="292">
        <f t="shared" si="80"/>
        <v>0</v>
      </c>
      <c r="ER21" s="285" t="e">
        <f t="shared" si="81"/>
        <v>#DIV/0!</v>
      </c>
      <c r="ES21" s="285">
        <f t="shared" si="16"/>
        <v>0.77376425715845509</v>
      </c>
      <c r="ET21" s="286">
        <f t="shared" si="17"/>
        <v>0.77376425715845509</v>
      </c>
      <c r="EU21" s="286">
        <f t="shared" si="18"/>
        <v>0.77376425715845509</v>
      </c>
      <c r="EV21" s="286">
        <f t="shared" si="19"/>
        <v>0.77376425715845509</v>
      </c>
      <c r="EW21" s="427"/>
      <c r="EX21" s="425"/>
      <c r="EY21" s="425"/>
      <c r="EZ21" s="426"/>
      <c r="FA21" s="426"/>
      <c r="FB21" s="462"/>
    </row>
    <row r="22" spans="1:159" s="131" customFormat="1" ht="29.25" customHeight="1" thickBot="1" x14ac:dyDescent="0.3">
      <c r="A22" s="425"/>
      <c r="B22" s="425"/>
      <c r="C22" s="425"/>
      <c r="D22" s="425"/>
      <c r="E22" s="425"/>
      <c r="F22" s="134" t="s">
        <v>43</v>
      </c>
      <c r="G22" s="337">
        <f>+G17+G20</f>
        <v>29</v>
      </c>
      <c r="H22" s="302">
        <f>+H17+H19</f>
        <v>4</v>
      </c>
      <c r="I22" s="302"/>
      <c r="J22" s="302"/>
      <c r="K22" s="302"/>
      <c r="L22" s="302"/>
      <c r="M22" s="302"/>
      <c r="N22" s="302"/>
      <c r="O22" s="302"/>
      <c r="P22" s="302"/>
      <c r="Q22" s="302"/>
      <c r="R22" s="302"/>
      <c r="S22" s="302"/>
      <c r="T22" s="338"/>
      <c r="U22" s="302"/>
      <c r="V22" s="302"/>
      <c r="W22" s="302">
        <f t="shared" ref="W22:X23" si="90">+W17+W19</f>
        <v>4</v>
      </c>
      <c r="X22" s="302">
        <f t="shared" si="90"/>
        <v>4</v>
      </c>
      <c r="Y22" s="302">
        <f t="shared" ref="Y22:AM22" si="91">+Y17+Y20</f>
        <v>4</v>
      </c>
      <c r="Z22" s="302">
        <f t="shared" si="91"/>
        <v>4</v>
      </c>
      <c r="AA22" s="302">
        <f t="shared" si="91"/>
        <v>4</v>
      </c>
      <c r="AB22" s="302">
        <f t="shared" si="91"/>
        <v>8</v>
      </c>
      <c r="AC22" s="302">
        <f t="shared" si="91"/>
        <v>0.2</v>
      </c>
      <c r="AD22" s="302">
        <f t="shared" si="91"/>
        <v>0.2</v>
      </c>
      <c r="AE22" s="302">
        <f t="shared" si="91"/>
        <v>0.25</v>
      </c>
      <c r="AF22" s="302">
        <f t="shared" si="91"/>
        <v>0.25</v>
      </c>
      <c r="AG22" s="302">
        <f t="shared" si="91"/>
        <v>0.55000000000000004</v>
      </c>
      <c r="AH22" s="302">
        <f t="shared" si="91"/>
        <v>0.55000000000000004</v>
      </c>
      <c r="AI22" s="302">
        <f t="shared" si="91"/>
        <v>0.6</v>
      </c>
      <c r="AJ22" s="302">
        <f t="shared" si="91"/>
        <v>0.6</v>
      </c>
      <c r="AK22" s="302">
        <f t="shared" si="91"/>
        <v>0.7</v>
      </c>
      <c r="AL22" s="302">
        <f t="shared" si="91"/>
        <v>0.7</v>
      </c>
      <c r="AM22" s="302">
        <f t="shared" si="91"/>
        <v>0.7</v>
      </c>
      <c r="AN22" s="302">
        <f t="shared" ref="AN22" si="92">+AN17+AN20</f>
        <v>0.7</v>
      </c>
      <c r="AO22" s="302">
        <f t="shared" ref="AO22:AQ23" si="93">+AO17+AO20</f>
        <v>0.75</v>
      </c>
      <c r="AP22" s="302">
        <f t="shared" si="93"/>
        <v>0.75</v>
      </c>
      <c r="AQ22" s="302">
        <f t="shared" si="93"/>
        <v>0.85</v>
      </c>
      <c r="AR22" s="302">
        <f t="shared" ref="AR22" si="94">+AR17+AR20</f>
        <v>0.85</v>
      </c>
      <c r="AS22" s="302">
        <f t="shared" ref="AS22:AU23" si="95">+AS17+AS20</f>
        <v>1.05</v>
      </c>
      <c r="AT22" s="302">
        <f t="shared" si="95"/>
        <v>1.05</v>
      </c>
      <c r="AU22" s="302">
        <f t="shared" si="95"/>
        <v>0.85</v>
      </c>
      <c r="AV22" s="302"/>
      <c r="AW22" s="302">
        <f>+AW17+AW20</f>
        <v>0.6</v>
      </c>
      <c r="AX22" s="302"/>
      <c r="AY22" s="302">
        <f>+AY17+AY20</f>
        <v>0.9</v>
      </c>
      <c r="AZ22" s="338"/>
      <c r="BA22" s="302">
        <f t="shared" ref="BA22:BE23" si="96">+BA17+BA20</f>
        <v>8</v>
      </c>
      <c r="BB22" s="302">
        <f>+BB17+BB20</f>
        <v>5.6499999999999995</v>
      </c>
      <c r="BC22" s="302">
        <f t="shared" si="96"/>
        <v>5.6499999999999995</v>
      </c>
      <c r="BD22" s="302">
        <f t="shared" si="96"/>
        <v>7.9999999999999991</v>
      </c>
      <c r="BE22" s="302">
        <f t="shared" si="96"/>
        <v>5.6499999999999995</v>
      </c>
      <c r="BF22" s="302">
        <v>7</v>
      </c>
      <c r="BG22" s="302">
        <v>8</v>
      </c>
      <c r="BH22" s="302">
        <v>4</v>
      </c>
      <c r="BI22" s="302"/>
      <c r="BJ22" s="302"/>
      <c r="BK22" s="338"/>
      <c r="BL22" s="302"/>
      <c r="BM22" s="338"/>
      <c r="BN22" s="338"/>
      <c r="BO22" s="302"/>
      <c r="BP22" s="302"/>
      <c r="BQ22" s="302"/>
      <c r="BR22" s="302"/>
      <c r="BS22" s="302"/>
      <c r="BT22" s="302"/>
      <c r="BU22" s="302"/>
      <c r="BV22" s="302"/>
      <c r="BW22" s="302"/>
      <c r="BX22" s="302"/>
      <c r="BY22" s="302"/>
      <c r="BZ22" s="302"/>
      <c r="CA22" s="302"/>
      <c r="CB22" s="302"/>
      <c r="CC22" s="302"/>
      <c r="CD22" s="302"/>
      <c r="CE22" s="338">
        <f>CA22+BY22+BW22+BU22+BS22+BQ22+BO22+BM22+BK22+BI22+AZ21+CC22</f>
        <v>0</v>
      </c>
      <c r="CF22" s="302">
        <f>AZ21+BI22+BK22+BM22</f>
        <v>0</v>
      </c>
      <c r="CG22" s="338">
        <f>BH22+BJ22+BL22+BN22</f>
        <v>4</v>
      </c>
      <c r="CH22" s="339">
        <f>BI22+BK22+BM22+BO22+BQ22+BS22+BU22+BW22+BY22+CA22+CC22+AZ21</f>
        <v>0</v>
      </c>
      <c r="CI22" s="302">
        <f>BH22+BJ22+BL22+BN22</f>
        <v>4</v>
      </c>
      <c r="CJ22" s="302">
        <v>8</v>
      </c>
      <c r="CK22" s="302"/>
      <c r="CL22" s="302"/>
      <c r="CM22" s="302"/>
      <c r="CN22" s="302"/>
      <c r="CO22" s="302"/>
      <c r="CP22" s="302"/>
      <c r="CQ22" s="302"/>
      <c r="CR22" s="302"/>
      <c r="CS22" s="302"/>
      <c r="CT22" s="302"/>
      <c r="CU22" s="302"/>
      <c r="CV22" s="302"/>
      <c r="CW22" s="302"/>
      <c r="CX22" s="302"/>
      <c r="CY22" s="302"/>
      <c r="CZ22" s="302"/>
      <c r="DA22" s="302"/>
      <c r="DB22" s="302"/>
      <c r="DC22" s="302"/>
      <c r="DD22" s="302"/>
      <c r="DE22" s="302"/>
      <c r="DF22" s="302"/>
      <c r="DG22" s="302"/>
      <c r="DH22" s="302"/>
      <c r="DI22" s="338">
        <f t="shared" si="86"/>
        <v>0</v>
      </c>
      <c r="DJ22" s="302">
        <f t="shared" si="87"/>
        <v>0</v>
      </c>
      <c r="DK22" s="338">
        <f t="shared" si="87"/>
        <v>0</v>
      </c>
      <c r="DL22" s="339">
        <f t="shared" ref="DL22:DL23" si="97">CM22+CO22+CQ22+CS22+CU22+CW22+CY22+DA22+DC22+DE22+DG22+CK22</f>
        <v>0</v>
      </c>
      <c r="DM22" s="302">
        <f>CL22+CN22+CP22+CR22</f>
        <v>0</v>
      </c>
      <c r="DN22" s="302">
        <v>4</v>
      </c>
      <c r="DO22" s="340"/>
      <c r="DP22" s="340"/>
      <c r="DQ22" s="340"/>
      <c r="DR22" s="340"/>
      <c r="DS22" s="340"/>
      <c r="DT22" s="340"/>
      <c r="DU22" s="340"/>
      <c r="DV22" s="340"/>
      <c r="DW22" s="340"/>
      <c r="DX22" s="340"/>
      <c r="DY22" s="340"/>
      <c r="DZ22" s="340"/>
      <c r="EA22" s="340"/>
      <c r="EB22" s="340"/>
      <c r="EC22" s="340"/>
      <c r="ED22" s="340"/>
      <c r="EE22" s="340"/>
      <c r="EF22" s="340"/>
      <c r="EG22" s="340"/>
      <c r="EH22" s="340"/>
      <c r="EI22" s="340"/>
      <c r="EJ22" s="340"/>
      <c r="EK22" s="340"/>
      <c r="EL22" s="340"/>
      <c r="EM22" s="302">
        <f t="shared" si="82"/>
        <v>0</v>
      </c>
      <c r="EN22" s="306">
        <f t="shared" si="77"/>
        <v>0</v>
      </c>
      <c r="EO22" s="306">
        <f t="shared" si="78"/>
        <v>0</v>
      </c>
      <c r="EP22" s="304">
        <f t="shared" si="89"/>
        <v>0</v>
      </c>
      <c r="EQ22" s="306">
        <f t="shared" ref="EQ22" si="98">DR22+DT22+DV22+DP22</f>
        <v>0</v>
      </c>
      <c r="ER22" s="307">
        <f t="shared" si="81"/>
        <v>1</v>
      </c>
      <c r="ES22" s="307">
        <f t="shared" si="16"/>
        <v>1</v>
      </c>
      <c r="ET22" s="308">
        <f t="shared" si="17"/>
        <v>0.70625000000000004</v>
      </c>
      <c r="EU22" s="308">
        <f t="shared" si="18"/>
        <v>1</v>
      </c>
      <c r="EV22" s="308">
        <f t="shared" si="19"/>
        <v>0.33275862068965512</v>
      </c>
      <c r="EW22" s="427"/>
      <c r="EX22" s="425"/>
      <c r="EY22" s="425"/>
      <c r="EZ22" s="426"/>
      <c r="FA22" s="426"/>
      <c r="FB22" s="462"/>
    </row>
    <row r="23" spans="1:159" s="135" customFormat="1" ht="29.25" customHeight="1" thickBot="1" x14ac:dyDescent="0.3">
      <c r="A23" s="425"/>
      <c r="B23" s="425"/>
      <c r="C23" s="425"/>
      <c r="D23" s="425"/>
      <c r="E23" s="425"/>
      <c r="F23" s="278" t="s">
        <v>45</v>
      </c>
      <c r="G23" s="309">
        <f>+G18+G21</f>
        <v>6061659803</v>
      </c>
      <c r="H23" s="311">
        <f>+H18+H20</f>
        <v>613840322</v>
      </c>
      <c r="I23" s="310"/>
      <c r="J23" s="310"/>
      <c r="K23" s="310"/>
      <c r="L23" s="310"/>
      <c r="M23" s="310"/>
      <c r="N23" s="310"/>
      <c r="O23" s="310"/>
      <c r="P23" s="310"/>
      <c r="Q23" s="310"/>
      <c r="R23" s="310"/>
      <c r="S23" s="310"/>
      <c r="T23" s="341"/>
      <c r="U23" s="342"/>
      <c r="V23" s="342"/>
      <c r="W23" s="311">
        <f t="shared" si="90"/>
        <v>613840322</v>
      </c>
      <c r="X23" s="311">
        <f t="shared" si="90"/>
        <v>613840322</v>
      </c>
      <c r="Y23" s="311">
        <f t="shared" ref="Y23:AM23" si="99">+Y18+Y21</f>
        <v>670473105</v>
      </c>
      <c r="Z23" s="342">
        <f t="shared" si="99"/>
        <v>826840322</v>
      </c>
      <c r="AA23" s="342">
        <f t="shared" si="99"/>
        <v>670473105</v>
      </c>
      <c r="AB23" s="342">
        <f t="shared" si="99"/>
        <v>1594569384</v>
      </c>
      <c r="AC23" s="342">
        <f t="shared" si="99"/>
        <v>62045867</v>
      </c>
      <c r="AD23" s="310">
        <f t="shared" si="99"/>
        <v>62045867</v>
      </c>
      <c r="AE23" s="342">
        <f t="shared" si="99"/>
        <v>650103533</v>
      </c>
      <c r="AF23" s="310">
        <f t="shared" si="99"/>
        <v>650103533</v>
      </c>
      <c r="AG23" s="310">
        <f t="shared" si="99"/>
        <v>550515200</v>
      </c>
      <c r="AH23" s="310">
        <f t="shared" si="99"/>
        <v>550515200</v>
      </c>
      <c r="AI23" s="310">
        <f t="shared" si="99"/>
        <v>102213667</v>
      </c>
      <c r="AJ23" s="310">
        <f t="shared" si="99"/>
        <v>102213667</v>
      </c>
      <c r="AK23" s="310">
        <f t="shared" si="99"/>
        <v>15903967</v>
      </c>
      <c r="AL23" s="310">
        <f>+AL18+AL21</f>
        <v>15903967</v>
      </c>
      <c r="AM23" s="310">
        <f t="shared" si="99"/>
        <v>5571367</v>
      </c>
      <c r="AN23" s="310">
        <f t="shared" ref="AN23" si="100">+AN18+AN21</f>
        <v>5571367</v>
      </c>
      <c r="AO23" s="310">
        <f t="shared" si="93"/>
        <v>0</v>
      </c>
      <c r="AP23" s="310">
        <f t="shared" si="93"/>
        <v>24890000</v>
      </c>
      <c r="AQ23" s="310">
        <f t="shared" si="93"/>
        <v>87855383</v>
      </c>
      <c r="AR23" s="310">
        <f t="shared" ref="AR23" si="101">+AR18+AR21</f>
        <v>0</v>
      </c>
      <c r="AS23" s="310">
        <f t="shared" si="95"/>
        <v>53907914</v>
      </c>
      <c r="AT23" s="310">
        <f t="shared" si="95"/>
        <v>15763667</v>
      </c>
      <c r="AU23" s="310">
        <f t="shared" si="95"/>
        <v>37967600</v>
      </c>
      <c r="AV23" s="310"/>
      <c r="AW23" s="310">
        <f>+AW18+AW21</f>
        <v>22212600</v>
      </c>
      <c r="AX23" s="310"/>
      <c r="AY23" s="310">
        <f>+AY18+AY21</f>
        <v>22212600</v>
      </c>
      <c r="AZ23" s="343"/>
      <c r="BA23" s="312">
        <f t="shared" si="96"/>
        <v>1610509698</v>
      </c>
      <c r="BB23" s="312">
        <f t="shared" si="96"/>
        <v>1528116898</v>
      </c>
      <c r="BC23" s="312">
        <f t="shared" si="96"/>
        <v>1427007268</v>
      </c>
      <c r="BD23" s="312">
        <f t="shared" si="96"/>
        <v>1610509698</v>
      </c>
      <c r="BE23" s="312">
        <f t="shared" si="96"/>
        <v>1427007268</v>
      </c>
      <c r="BF23" s="310">
        <v>1474279000</v>
      </c>
      <c r="BG23" s="343">
        <v>1515392000</v>
      </c>
      <c r="BH23" s="310">
        <v>791006000</v>
      </c>
      <c r="BI23" s="310"/>
      <c r="BJ23" s="310"/>
      <c r="BK23" s="310"/>
      <c r="BL23" s="310"/>
      <c r="BM23" s="310"/>
      <c r="BN23" s="310"/>
      <c r="BO23" s="310"/>
      <c r="BP23" s="310"/>
      <c r="BQ23" s="310"/>
      <c r="BR23" s="310"/>
      <c r="BS23" s="310"/>
      <c r="BT23" s="310"/>
      <c r="BU23" s="310"/>
      <c r="BV23" s="310"/>
      <c r="BW23" s="310"/>
      <c r="BX23" s="310"/>
      <c r="BY23" s="310"/>
      <c r="BZ23" s="310"/>
      <c r="CA23" s="310"/>
      <c r="CB23" s="310"/>
      <c r="CC23" s="310"/>
      <c r="CD23" s="310"/>
      <c r="CE23" s="311">
        <f>CA23+BY23+BW23+BU23+BS23+BQ23+BO23+BM23+BK23+BI23+AZ22+CC23</f>
        <v>0</v>
      </c>
      <c r="CF23" s="312">
        <f>AZ22+BI23+BK23+BM23</f>
        <v>0</v>
      </c>
      <c r="CG23" s="312">
        <f>BH23+BJ23+BL23+BN23</f>
        <v>791006000</v>
      </c>
      <c r="CH23" s="311">
        <f>BI23+BK23+BM23+BO23+BQ23+BS23+BU23+BW23+BY23+CA23+CC23+AZ22</f>
        <v>0</v>
      </c>
      <c r="CI23" s="312">
        <f t="shared" ref="CI23" si="102">BJ23+BL23+BN23+BH23</f>
        <v>791006000</v>
      </c>
      <c r="CJ23" s="310">
        <v>1515392000</v>
      </c>
      <c r="CK23" s="310"/>
      <c r="CL23" s="310"/>
      <c r="CM23" s="310"/>
      <c r="CN23" s="310"/>
      <c r="CO23" s="310"/>
      <c r="CP23" s="310"/>
      <c r="CQ23" s="310"/>
      <c r="CR23" s="310"/>
      <c r="CS23" s="310"/>
      <c r="CT23" s="310"/>
      <c r="CU23" s="310"/>
      <c r="CV23" s="310"/>
      <c r="CW23" s="310"/>
      <c r="CX23" s="310"/>
      <c r="CY23" s="310"/>
      <c r="CZ23" s="310"/>
      <c r="DA23" s="310"/>
      <c r="DB23" s="310"/>
      <c r="DC23" s="310"/>
      <c r="DD23" s="310"/>
      <c r="DE23" s="310"/>
      <c r="DF23" s="310"/>
      <c r="DG23" s="310"/>
      <c r="DH23" s="310"/>
      <c r="DI23" s="311">
        <f t="shared" si="86"/>
        <v>0</v>
      </c>
      <c r="DJ23" s="312">
        <f t="shared" si="87"/>
        <v>0</v>
      </c>
      <c r="DK23" s="312">
        <f t="shared" si="87"/>
        <v>0</v>
      </c>
      <c r="DL23" s="311">
        <f t="shared" si="97"/>
        <v>0</v>
      </c>
      <c r="DM23" s="312">
        <f t="shared" ref="DM23" si="103">CN23+CP23+CR23+CL23</f>
        <v>0</v>
      </c>
      <c r="DN23" s="310">
        <v>791006000</v>
      </c>
      <c r="DO23" s="344"/>
      <c r="DP23" s="344"/>
      <c r="DQ23" s="344"/>
      <c r="DR23" s="344"/>
      <c r="DS23" s="344"/>
      <c r="DT23" s="344"/>
      <c r="DU23" s="344"/>
      <c r="DV23" s="344"/>
      <c r="DW23" s="344"/>
      <c r="DX23" s="344"/>
      <c r="DY23" s="344"/>
      <c r="DZ23" s="344"/>
      <c r="EA23" s="344"/>
      <c r="EB23" s="344"/>
      <c r="EC23" s="344"/>
      <c r="ED23" s="344"/>
      <c r="EE23" s="344"/>
      <c r="EF23" s="344"/>
      <c r="EG23" s="344"/>
      <c r="EH23" s="344"/>
      <c r="EI23" s="344"/>
      <c r="EJ23" s="344"/>
      <c r="EK23" s="344"/>
      <c r="EL23" s="344"/>
      <c r="EM23" s="314">
        <f t="shared" ref="EM23:EM25" si="104">EK23+EI23+EG23+EE23+EC23+EA23+DY23+DW23+DU23+DS23+DQ23+DO23</f>
        <v>0</v>
      </c>
      <c r="EN23" s="315">
        <f t="shared" si="65"/>
        <v>0</v>
      </c>
      <c r="EO23" s="316">
        <f t="shared" si="66"/>
        <v>0</v>
      </c>
      <c r="EP23" s="315">
        <f t="shared" ref="EP23:EQ23" si="105">+EP18+EP21</f>
        <v>0</v>
      </c>
      <c r="EQ23" s="315">
        <f t="shared" si="105"/>
        <v>0</v>
      </c>
      <c r="ER23" s="317">
        <f t="shared" si="81"/>
        <v>0.29241841930667173</v>
      </c>
      <c r="ES23" s="317">
        <f t="shared" si="16"/>
        <v>0.93383383814920684</v>
      </c>
      <c r="ET23" s="318">
        <f t="shared" si="17"/>
        <v>0.88605940701389063</v>
      </c>
      <c r="EU23" s="318">
        <f t="shared" si="18"/>
        <v>0.89066601940225476</v>
      </c>
      <c r="EV23" s="319">
        <f t="shared" si="19"/>
        <v>0.34602409920166216</v>
      </c>
      <c r="EW23" s="428"/>
      <c r="EX23" s="425"/>
      <c r="EY23" s="425"/>
      <c r="EZ23" s="426"/>
      <c r="FA23" s="426"/>
      <c r="FB23" s="462"/>
    </row>
    <row r="24" spans="1:159" s="4" customFormat="1" ht="29.25" customHeight="1" x14ac:dyDescent="0.25">
      <c r="A24" s="425" t="s">
        <v>312</v>
      </c>
      <c r="B24" s="425">
        <v>3</v>
      </c>
      <c r="C24" s="425" t="s">
        <v>318</v>
      </c>
      <c r="D24" s="425" t="s">
        <v>273</v>
      </c>
      <c r="E24" s="425">
        <v>272</v>
      </c>
      <c r="F24" s="128" t="s">
        <v>41</v>
      </c>
      <c r="G24" s="320">
        <f>+AA24+BD24+BF24+CJ24+DN24</f>
        <v>8</v>
      </c>
      <c r="H24" s="321">
        <v>1</v>
      </c>
      <c r="I24" s="321"/>
      <c r="J24" s="321"/>
      <c r="K24" s="321"/>
      <c r="L24" s="321"/>
      <c r="M24" s="321"/>
      <c r="N24" s="321"/>
      <c r="O24" s="321"/>
      <c r="P24" s="321"/>
      <c r="Q24" s="321"/>
      <c r="R24" s="321"/>
      <c r="S24" s="321"/>
      <c r="T24" s="322"/>
      <c r="U24" s="321"/>
      <c r="V24" s="321"/>
      <c r="W24" s="321">
        <v>1</v>
      </c>
      <c r="X24" s="321">
        <v>1</v>
      </c>
      <c r="Y24" s="321">
        <v>1</v>
      </c>
      <c r="Z24" s="321">
        <v>1</v>
      </c>
      <c r="AA24" s="321">
        <v>1</v>
      </c>
      <c r="AB24" s="321">
        <v>2</v>
      </c>
      <c r="AC24" s="323">
        <v>0.17</v>
      </c>
      <c r="AD24" s="323">
        <v>0.15</v>
      </c>
      <c r="AE24" s="323">
        <v>0.17</v>
      </c>
      <c r="AF24" s="323">
        <v>0.11</v>
      </c>
      <c r="AG24" s="323">
        <v>0.17</v>
      </c>
      <c r="AH24" s="323">
        <v>0.1</v>
      </c>
      <c r="AI24" s="323">
        <v>0.17</v>
      </c>
      <c r="AJ24" s="323">
        <v>0.15</v>
      </c>
      <c r="AK24" s="323">
        <v>0.14000000000000001</v>
      </c>
      <c r="AL24" s="323">
        <v>0.14000000000000001</v>
      </c>
      <c r="AM24" s="323">
        <v>0.17</v>
      </c>
      <c r="AN24" s="323">
        <v>0.35</v>
      </c>
      <c r="AO24" s="323">
        <v>0.17</v>
      </c>
      <c r="AP24" s="323">
        <v>0.26</v>
      </c>
      <c r="AQ24" s="323">
        <v>0.17</v>
      </c>
      <c r="AR24" s="323">
        <v>0.13</v>
      </c>
      <c r="AS24" s="323">
        <v>0.17</v>
      </c>
      <c r="AT24" s="323">
        <v>0.17</v>
      </c>
      <c r="AU24" s="323">
        <v>0.17</v>
      </c>
      <c r="AV24" s="323"/>
      <c r="AW24" s="323">
        <v>0.17</v>
      </c>
      <c r="AX24" s="323"/>
      <c r="AY24" s="323">
        <v>0.16</v>
      </c>
      <c r="AZ24" s="322"/>
      <c r="BA24" s="345">
        <f>AY24+AW24+AU24+AS24+AQ24+AO24+AM24+AK24+AI24+AG24+AE24+AC24</f>
        <v>1.9999999999999996</v>
      </c>
      <c r="BB24" s="345">
        <f>AC24+AE24+AG24+AI24+AK24+AM24+AO24+AQ24+AS24</f>
        <v>1.5</v>
      </c>
      <c r="BC24" s="345">
        <f>AD24+AF24+AH24+AJ24+AL24+AN24+AP24+AR24+AT24</f>
        <v>1.56</v>
      </c>
      <c r="BD24" s="324">
        <f>AE24+AG24+AI24+AK24+AM24+AO24+AQ24+AS24+AU24+AW24+AY24+AC24</f>
        <v>1.9999999999999998</v>
      </c>
      <c r="BE24" s="323">
        <f>AD24+AF24+AH24+AJ24+AL24+AN24+AP24+AR24+AT24+AV24+AX24+AZ24</f>
        <v>1.56</v>
      </c>
      <c r="BF24" s="321">
        <v>2</v>
      </c>
      <c r="BG24" s="321">
        <v>8</v>
      </c>
      <c r="BH24" s="321">
        <v>4</v>
      </c>
      <c r="BI24" s="321"/>
      <c r="BJ24" s="321"/>
      <c r="BK24" s="322"/>
      <c r="BL24" s="321"/>
      <c r="BM24" s="322"/>
      <c r="BN24" s="322"/>
      <c r="BO24" s="321"/>
      <c r="BP24" s="321"/>
      <c r="BQ24" s="321"/>
      <c r="BR24" s="321"/>
      <c r="BS24" s="321"/>
      <c r="BT24" s="321"/>
      <c r="BU24" s="321"/>
      <c r="BV24" s="321"/>
      <c r="BW24" s="321"/>
      <c r="BX24" s="321"/>
      <c r="BY24" s="321"/>
      <c r="BZ24" s="321"/>
      <c r="CA24" s="321"/>
      <c r="CB24" s="321"/>
      <c r="CC24" s="321"/>
      <c r="CD24" s="321"/>
      <c r="CE24" s="322">
        <v>0</v>
      </c>
      <c r="CF24" s="321">
        <v>0</v>
      </c>
      <c r="CG24" s="322">
        <v>4</v>
      </c>
      <c r="CH24" s="325">
        <v>0</v>
      </c>
      <c r="CI24" s="321">
        <v>4</v>
      </c>
      <c r="CJ24" s="321">
        <v>2</v>
      </c>
      <c r="CK24" s="321"/>
      <c r="CL24" s="321"/>
      <c r="CM24" s="321"/>
      <c r="CN24" s="321"/>
      <c r="CO24" s="321"/>
      <c r="CP24" s="321"/>
      <c r="CQ24" s="321"/>
      <c r="CR24" s="321"/>
      <c r="CS24" s="321"/>
      <c r="CT24" s="321"/>
      <c r="CU24" s="321"/>
      <c r="CV24" s="321"/>
      <c r="CW24" s="321"/>
      <c r="CX24" s="321"/>
      <c r="CY24" s="321"/>
      <c r="CZ24" s="321"/>
      <c r="DA24" s="321"/>
      <c r="DB24" s="321"/>
      <c r="DC24" s="321"/>
      <c r="DD24" s="321"/>
      <c r="DE24" s="321"/>
      <c r="DF24" s="321"/>
      <c r="DG24" s="321"/>
      <c r="DH24" s="321"/>
      <c r="DI24" s="322">
        <v>0</v>
      </c>
      <c r="DJ24" s="321">
        <v>0</v>
      </c>
      <c r="DK24" s="322">
        <v>0</v>
      </c>
      <c r="DL24" s="325">
        <v>0</v>
      </c>
      <c r="DM24" s="321">
        <v>0</v>
      </c>
      <c r="DN24" s="321">
        <v>1</v>
      </c>
      <c r="DO24" s="326"/>
      <c r="DP24" s="326"/>
      <c r="DQ24" s="326"/>
      <c r="DR24" s="326"/>
      <c r="DS24" s="326"/>
      <c r="DT24" s="326"/>
      <c r="DU24" s="326"/>
      <c r="DV24" s="326"/>
      <c r="DW24" s="326"/>
      <c r="DX24" s="326"/>
      <c r="DY24" s="326"/>
      <c r="DZ24" s="326"/>
      <c r="EA24" s="326"/>
      <c r="EB24" s="326"/>
      <c r="EC24" s="326"/>
      <c r="ED24" s="326"/>
      <c r="EE24" s="326"/>
      <c r="EF24" s="326"/>
      <c r="EG24" s="327"/>
      <c r="EH24" s="327"/>
      <c r="EI24" s="327"/>
      <c r="EJ24" s="327"/>
      <c r="EK24" s="327"/>
      <c r="EL24" s="327"/>
      <c r="EM24" s="328">
        <f t="shared" si="104"/>
        <v>0</v>
      </c>
      <c r="EN24" s="327">
        <f t="shared" ref="EN24:EN29" si="106">DO24+DQ24+DS24+DU24</f>
        <v>0</v>
      </c>
      <c r="EO24" s="328">
        <f t="shared" ref="EO24:EO29" si="107">DP24+DR24+DT24+DV24</f>
        <v>0</v>
      </c>
      <c r="EP24" s="329">
        <f t="shared" ref="EP24:EP25" si="108">DQ24+DS24+DU24+DW24+DY24+EA24+EC24+EE24+EG24+EI24+EK24+DO24</f>
        <v>0</v>
      </c>
      <c r="EQ24" s="327">
        <f t="shared" ref="EQ24:EQ28" si="109">DP24+DR24+DT24+DV24</f>
        <v>0</v>
      </c>
      <c r="ER24" s="330">
        <f>+AT24/AS24</f>
        <v>1</v>
      </c>
      <c r="ES24" s="330">
        <f>+BC24/BB24</f>
        <v>1.04</v>
      </c>
      <c r="ET24" s="331">
        <f>BE24/BD24</f>
        <v>0.78000000000000014</v>
      </c>
      <c r="EU24" s="331">
        <f>+(AA24+BC24)/(Z24+BB24)</f>
        <v>1.024</v>
      </c>
      <c r="EV24" s="331">
        <f>+(AA24+BC24)/G24</f>
        <v>0.32</v>
      </c>
      <c r="EW24" s="427" t="s">
        <v>596</v>
      </c>
      <c r="EX24" s="425" t="s">
        <v>386</v>
      </c>
      <c r="EY24" s="425" t="s">
        <v>386</v>
      </c>
      <c r="EZ24" s="426" t="s">
        <v>390</v>
      </c>
      <c r="FA24" s="426" t="s">
        <v>389</v>
      </c>
      <c r="FB24" s="429"/>
    </row>
    <row r="25" spans="1:159" s="70" customFormat="1" ht="29.25" customHeight="1" x14ac:dyDescent="0.25">
      <c r="A25" s="425"/>
      <c r="B25" s="425"/>
      <c r="C25" s="425"/>
      <c r="D25" s="425"/>
      <c r="E25" s="425"/>
      <c r="F25" s="126" t="s">
        <v>3</v>
      </c>
      <c r="G25" s="287">
        <f>+AA25+BD25+BF25+CJ25+DN25</f>
        <v>14813565379</v>
      </c>
      <c r="H25" s="288">
        <v>1412790000</v>
      </c>
      <c r="I25" s="287"/>
      <c r="J25" s="287"/>
      <c r="K25" s="287"/>
      <c r="L25" s="287"/>
      <c r="M25" s="287"/>
      <c r="N25" s="287"/>
      <c r="O25" s="287"/>
      <c r="P25" s="287"/>
      <c r="Q25" s="287"/>
      <c r="R25" s="287"/>
      <c r="S25" s="287"/>
      <c r="T25" s="332"/>
      <c r="U25" s="289"/>
      <c r="V25" s="289"/>
      <c r="W25" s="288">
        <v>1412790000</v>
      </c>
      <c r="X25" s="288">
        <v>1412790000</v>
      </c>
      <c r="Y25" s="288">
        <v>1326141063</v>
      </c>
      <c r="Z25" s="289">
        <v>1399790000</v>
      </c>
      <c r="AA25" s="289">
        <v>1326141063</v>
      </c>
      <c r="AB25" s="289">
        <v>2973776000</v>
      </c>
      <c r="AC25" s="289">
        <v>0</v>
      </c>
      <c r="AD25" s="289">
        <v>0</v>
      </c>
      <c r="AE25" s="289">
        <v>408790000</v>
      </c>
      <c r="AF25" s="289">
        <f>408790000-AD25</f>
        <v>408790000</v>
      </c>
      <c r="AG25" s="289">
        <v>1385154150</v>
      </c>
      <c r="AH25" s="289">
        <f>(1793944150-AF25-AD25)</f>
        <v>1385154150</v>
      </c>
      <c r="AI25" s="289">
        <v>557630000</v>
      </c>
      <c r="AJ25" s="289">
        <f>1942784150-AH25-AF25-AD25</f>
        <v>148840000</v>
      </c>
      <c r="AK25" s="287">
        <v>0</v>
      </c>
      <c r="AL25" s="287">
        <f>1942784150-AJ25-AH25-AF25-AD25+5000000</f>
        <v>5000000</v>
      </c>
      <c r="AM25" s="287">
        <v>244731564</v>
      </c>
      <c r="AN25" s="287">
        <v>244731564</v>
      </c>
      <c r="AO25" s="287">
        <v>0</v>
      </c>
      <c r="AP25" s="287">
        <v>0</v>
      </c>
      <c r="AQ25" s="287">
        <v>62546600</v>
      </c>
      <c r="AR25" s="287">
        <v>0</v>
      </c>
      <c r="AS25" s="287">
        <f>62546600+16124316</f>
        <v>78670916</v>
      </c>
      <c r="AT25" s="287">
        <v>13226834</v>
      </c>
      <c r="AU25" s="287">
        <f>5737286+62546600</f>
        <v>68283886</v>
      </c>
      <c r="AV25" s="287"/>
      <c r="AW25" s="287">
        <v>62546600</v>
      </c>
      <c r="AX25" s="287"/>
      <c r="AY25" s="287">
        <v>62546600</v>
      </c>
      <c r="AZ25" s="333"/>
      <c r="BA25" s="288">
        <f>AY25+AW25+AU25+AS25+AQ25+AO25+AM25+AK25+AI25+AG25+AE25+AC25</f>
        <v>2930900316</v>
      </c>
      <c r="BB25" s="288">
        <f t="shared" ref="BB25:BC26" si="110">AC25+AE25+AG25+AI25+AK25+AM25+AO25+AQ25+AS25</f>
        <v>2737523230</v>
      </c>
      <c r="BC25" s="288">
        <f t="shared" si="110"/>
        <v>2205742548</v>
      </c>
      <c r="BD25" s="288">
        <f>AE25+AG25+AI25+AK25+AM25+AO25+AQ25+AS25+AU25+AW25+AY25+AC25</f>
        <v>2930900316</v>
      </c>
      <c r="BE25" s="290">
        <f>AD25+AF25+AH25+AJ25+AL25+AN25+AP25+AR25+AT25+AV25+AX25+AZ25</f>
        <v>2205742548</v>
      </c>
      <c r="BF25" s="287">
        <v>4122493000</v>
      </c>
      <c r="BG25" s="333">
        <v>1515392000</v>
      </c>
      <c r="BH25" s="287">
        <v>791006000</v>
      </c>
      <c r="BI25" s="287"/>
      <c r="BJ25" s="287"/>
      <c r="BK25" s="287"/>
      <c r="BL25" s="287"/>
      <c r="BM25" s="287"/>
      <c r="BN25" s="287"/>
      <c r="BO25" s="287"/>
      <c r="BP25" s="287"/>
      <c r="BQ25" s="287"/>
      <c r="BR25" s="287"/>
      <c r="BS25" s="287"/>
      <c r="BT25" s="287"/>
      <c r="BU25" s="287"/>
      <c r="BV25" s="287"/>
      <c r="BW25" s="287"/>
      <c r="BX25" s="287"/>
      <c r="BY25" s="287"/>
      <c r="BZ25" s="287"/>
      <c r="CA25" s="287"/>
      <c r="CB25" s="287"/>
      <c r="CC25" s="287"/>
      <c r="CD25" s="287"/>
      <c r="CE25" s="288">
        <v>0</v>
      </c>
      <c r="CF25" s="290">
        <v>0</v>
      </c>
      <c r="CG25" s="290">
        <v>791006000</v>
      </c>
      <c r="CH25" s="288">
        <v>0</v>
      </c>
      <c r="CI25" s="290">
        <v>791006000</v>
      </c>
      <c r="CJ25" s="287">
        <v>4321368000</v>
      </c>
      <c r="CK25" s="287"/>
      <c r="CL25" s="287"/>
      <c r="CM25" s="287"/>
      <c r="CN25" s="287"/>
      <c r="CO25" s="287"/>
      <c r="CP25" s="287"/>
      <c r="CQ25" s="287"/>
      <c r="CR25" s="287"/>
      <c r="CS25" s="287"/>
      <c r="CT25" s="287"/>
      <c r="CU25" s="287"/>
      <c r="CV25" s="287"/>
      <c r="CW25" s="287"/>
      <c r="CX25" s="287"/>
      <c r="CY25" s="287"/>
      <c r="CZ25" s="287"/>
      <c r="DA25" s="287"/>
      <c r="DB25" s="287"/>
      <c r="DC25" s="287"/>
      <c r="DD25" s="287"/>
      <c r="DE25" s="287"/>
      <c r="DF25" s="287"/>
      <c r="DG25" s="287"/>
      <c r="DH25" s="287"/>
      <c r="DI25" s="288">
        <v>0</v>
      </c>
      <c r="DJ25" s="290">
        <v>0</v>
      </c>
      <c r="DK25" s="290">
        <v>0</v>
      </c>
      <c r="DL25" s="288">
        <v>0</v>
      </c>
      <c r="DM25" s="290">
        <v>0</v>
      </c>
      <c r="DN25" s="287">
        <v>2112663000</v>
      </c>
      <c r="DO25" s="291"/>
      <c r="DP25" s="291"/>
      <c r="DQ25" s="291"/>
      <c r="DR25" s="291"/>
      <c r="DS25" s="291"/>
      <c r="DT25" s="291"/>
      <c r="DU25" s="291"/>
      <c r="DV25" s="291"/>
      <c r="DW25" s="291"/>
      <c r="DX25" s="291"/>
      <c r="DY25" s="291"/>
      <c r="DZ25" s="291"/>
      <c r="EA25" s="291"/>
      <c r="EB25" s="291"/>
      <c r="EC25" s="291"/>
      <c r="ED25" s="291"/>
      <c r="EE25" s="291"/>
      <c r="EF25" s="291"/>
      <c r="EG25" s="291"/>
      <c r="EH25" s="291"/>
      <c r="EI25" s="291"/>
      <c r="EJ25" s="291"/>
      <c r="EK25" s="291"/>
      <c r="EL25" s="291"/>
      <c r="EM25" s="281">
        <f t="shared" si="104"/>
        <v>0</v>
      </c>
      <c r="EN25" s="292">
        <f t="shared" si="106"/>
        <v>0</v>
      </c>
      <c r="EO25" s="292">
        <f t="shared" si="107"/>
        <v>0</v>
      </c>
      <c r="EP25" s="293">
        <f t="shared" si="108"/>
        <v>0</v>
      </c>
      <c r="EQ25" s="292">
        <f t="shared" si="109"/>
        <v>0</v>
      </c>
      <c r="ER25" s="285">
        <f t="shared" ref="ER25:ER30" si="111">+AT25/AS25</f>
        <v>0.16812863854286381</v>
      </c>
      <c r="ES25" s="285">
        <f t="shared" si="16"/>
        <v>0.80574386504840723</v>
      </c>
      <c r="ET25" s="286">
        <f t="shared" si="17"/>
        <v>0.75258190664441549</v>
      </c>
      <c r="EU25" s="286">
        <f t="shared" si="18"/>
        <v>0.85366599400548648</v>
      </c>
      <c r="EV25" s="286">
        <f t="shared" si="19"/>
        <v>0.23842225154025831</v>
      </c>
      <c r="EW25" s="427"/>
      <c r="EX25" s="425"/>
      <c r="EY25" s="425"/>
      <c r="EZ25" s="426"/>
      <c r="FA25" s="426"/>
      <c r="FB25" s="429"/>
    </row>
    <row r="26" spans="1:159" s="70" customFormat="1" ht="29.25" customHeight="1" x14ac:dyDescent="0.25">
      <c r="A26" s="425"/>
      <c r="B26" s="425"/>
      <c r="C26" s="425"/>
      <c r="D26" s="425"/>
      <c r="E26" s="425"/>
      <c r="F26" s="127" t="s">
        <v>220</v>
      </c>
      <c r="G26" s="287"/>
      <c r="H26" s="346"/>
      <c r="I26" s="287"/>
      <c r="J26" s="287"/>
      <c r="K26" s="287"/>
      <c r="L26" s="287"/>
      <c r="M26" s="287"/>
      <c r="N26" s="287"/>
      <c r="O26" s="287"/>
      <c r="P26" s="287"/>
      <c r="Q26" s="287"/>
      <c r="R26" s="287"/>
      <c r="S26" s="287"/>
      <c r="T26" s="332"/>
      <c r="U26" s="289"/>
      <c r="V26" s="289"/>
      <c r="W26" s="346"/>
      <c r="X26" s="346"/>
      <c r="Y26" s="346"/>
      <c r="Z26" s="289"/>
      <c r="AA26" s="289"/>
      <c r="AB26" s="289"/>
      <c r="AC26" s="287">
        <v>0</v>
      </c>
      <c r="AD26" s="287">
        <v>0</v>
      </c>
      <c r="AE26" s="289">
        <v>0</v>
      </c>
      <c r="AF26" s="287">
        <v>0</v>
      </c>
      <c r="AG26" s="287">
        <v>38410320</v>
      </c>
      <c r="AH26" s="287">
        <v>38410320</v>
      </c>
      <c r="AI26" s="287">
        <f>121559153-AG26</f>
        <v>83148833</v>
      </c>
      <c r="AJ26" s="287">
        <f>121559153-AH26</f>
        <v>83148833</v>
      </c>
      <c r="AK26" s="287">
        <v>253856212</v>
      </c>
      <c r="AL26" s="287">
        <f>375415365-AJ26-AH26-AF26-AD26-5062267</f>
        <v>248793945</v>
      </c>
      <c r="AM26" s="287">
        <v>303351665</v>
      </c>
      <c r="AN26" s="287">
        <v>303351665</v>
      </c>
      <c r="AO26" s="287">
        <v>0</v>
      </c>
      <c r="AP26" s="287">
        <v>207894550</v>
      </c>
      <c r="AQ26" s="287">
        <v>0</v>
      </c>
      <c r="AR26" s="287">
        <v>206559350</v>
      </c>
      <c r="AS26" s="287">
        <v>0</v>
      </c>
      <c r="AT26" s="287">
        <v>243123239</v>
      </c>
      <c r="AU26" s="287">
        <v>0</v>
      </c>
      <c r="AV26" s="287"/>
      <c r="AW26" s="287">
        <v>0</v>
      </c>
      <c r="AX26" s="287"/>
      <c r="AY26" s="287">
        <v>0</v>
      </c>
      <c r="AZ26" s="333"/>
      <c r="BA26" s="288">
        <f>AY26+AW26+AU26+AS26+AQ26+AO26+AM26+AK26+AI26+AG26+AE26+AC26</f>
        <v>678767030</v>
      </c>
      <c r="BB26" s="288">
        <f t="shared" si="110"/>
        <v>678767030</v>
      </c>
      <c r="BC26" s="288">
        <f t="shared" si="110"/>
        <v>1331281902</v>
      </c>
      <c r="BD26" s="288">
        <f t="shared" ref="BD26:BD28" si="112">AE26+AG26+AI26+AK26+AM26+AO26+AQ26+AS26+AU26+AW26+AY26+AC26</f>
        <v>678767030</v>
      </c>
      <c r="BE26" s="290">
        <f>AD26+AF26+AH26+AJ26+AL26+AN26+AP26+AR26+AT26+AV26+AX26+AZ26</f>
        <v>1331281902</v>
      </c>
      <c r="BF26" s="287">
        <v>0</v>
      </c>
      <c r="BG26" s="333"/>
      <c r="BH26" s="287"/>
      <c r="BI26" s="287"/>
      <c r="BJ26" s="287"/>
      <c r="BK26" s="287"/>
      <c r="BL26" s="287"/>
      <c r="BM26" s="287"/>
      <c r="BN26" s="287"/>
      <c r="BO26" s="287"/>
      <c r="BP26" s="287"/>
      <c r="BQ26" s="287"/>
      <c r="BR26" s="287"/>
      <c r="BS26" s="287"/>
      <c r="BT26" s="287"/>
      <c r="BU26" s="287"/>
      <c r="BV26" s="287"/>
      <c r="BW26" s="287"/>
      <c r="BX26" s="287"/>
      <c r="BY26" s="287"/>
      <c r="BZ26" s="287"/>
      <c r="CA26" s="287"/>
      <c r="CB26" s="287"/>
      <c r="CC26" s="287"/>
      <c r="CD26" s="287"/>
      <c r="CE26" s="288"/>
      <c r="CF26" s="290"/>
      <c r="CG26" s="290"/>
      <c r="CH26" s="288"/>
      <c r="CI26" s="290"/>
      <c r="CJ26" s="287">
        <v>0</v>
      </c>
      <c r="CK26" s="287"/>
      <c r="CL26" s="287"/>
      <c r="CM26" s="287"/>
      <c r="CN26" s="287"/>
      <c r="CO26" s="287"/>
      <c r="CP26" s="287"/>
      <c r="CQ26" s="287"/>
      <c r="CR26" s="287"/>
      <c r="CS26" s="287"/>
      <c r="CT26" s="287"/>
      <c r="CU26" s="287"/>
      <c r="CV26" s="287"/>
      <c r="CW26" s="287"/>
      <c r="CX26" s="287"/>
      <c r="CY26" s="287"/>
      <c r="CZ26" s="287"/>
      <c r="DA26" s="287"/>
      <c r="DB26" s="287"/>
      <c r="DC26" s="287"/>
      <c r="DD26" s="287"/>
      <c r="DE26" s="287"/>
      <c r="DF26" s="287"/>
      <c r="DG26" s="287"/>
      <c r="DH26" s="287"/>
      <c r="DI26" s="288"/>
      <c r="DJ26" s="290"/>
      <c r="DK26" s="290"/>
      <c r="DL26" s="288"/>
      <c r="DM26" s="290"/>
      <c r="DN26" s="287">
        <v>0</v>
      </c>
      <c r="DO26" s="291"/>
      <c r="DP26" s="291"/>
      <c r="DQ26" s="291"/>
      <c r="DR26" s="291"/>
      <c r="DS26" s="291"/>
      <c r="DT26" s="291"/>
      <c r="DU26" s="291"/>
      <c r="DV26" s="291"/>
      <c r="DW26" s="291"/>
      <c r="DX26" s="291"/>
      <c r="DY26" s="291"/>
      <c r="DZ26" s="291"/>
      <c r="EA26" s="291"/>
      <c r="EB26" s="291"/>
      <c r="EC26" s="291"/>
      <c r="ED26" s="291"/>
      <c r="EE26" s="291"/>
      <c r="EF26" s="291"/>
      <c r="EG26" s="291"/>
      <c r="EH26" s="291"/>
      <c r="EI26" s="291"/>
      <c r="EJ26" s="291"/>
      <c r="EK26" s="291"/>
      <c r="EL26" s="291"/>
      <c r="EM26" s="281">
        <f t="shared" ref="EM26:EM29" si="113">EI26+EG26+EE26+EC26+EA26+DY26+DW26+DU26+DS26+DQ26+DO26+EK26</f>
        <v>0</v>
      </c>
      <c r="EN26" s="292">
        <f t="shared" si="106"/>
        <v>0</v>
      </c>
      <c r="EO26" s="292">
        <f t="shared" si="107"/>
        <v>0</v>
      </c>
      <c r="EP26" s="288">
        <f t="shared" ref="EP26:EP27" si="114">DQ26+DS26+DU26+DW26+DY26+EA26+EC26+EE26+EG26+EI26+EK26</f>
        <v>0</v>
      </c>
      <c r="EQ26" s="292">
        <f t="shared" si="109"/>
        <v>0</v>
      </c>
      <c r="ER26" s="285" t="e">
        <f t="shared" si="111"/>
        <v>#DIV/0!</v>
      </c>
      <c r="ES26" s="285">
        <f t="shared" si="16"/>
        <v>1.9613237578731542</v>
      </c>
      <c r="ET26" s="286">
        <f t="shared" si="17"/>
        <v>1.9613237578731542</v>
      </c>
      <c r="EU26" s="286">
        <f t="shared" si="18"/>
        <v>1.9613237578731542</v>
      </c>
      <c r="EV26" s="286" t="e">
        <f t="shared" si="19"/>
        <v>#DIV/0!</v>
      </c>
      <c r="EW26" s="427"/>
      <c r="EX26" s="425"/>
      <c r="EY26" s="425"/>
      <c r="EZ26" s="426"/>
      <c r="FA26" s="426"/>
      <c r="FB26" s="429"/>
    </row>
    <row r="27" spans="1:159" s="4" customFormat="1" ht="29.25" customHeight="1" x14ac:dyDescent="0.25">
      <c r="A27" s="425"/>
      <c r="B27" s="425"/>
      <c r="C27" s="425"/>
      <c r="D27" s="425"/>
      <c r="E27" s="425"/>
      <c r="F27" s="128" t="s">
        <v>42</v>
      </c>
      <c r="G27" s="334">
        <f>+AA27+BD27+BF27+CJ27+DN27</f>
        <v>0</v>
      </c>
      <c r="H27" s="288">
        <v>0</v>
      </c>
      <c r="I27" s="282"/>
      <c r="J27" s="282"/>
      <c r="K27" s="282"/>
      <c r="L27" s="282"/>
      <c r="M27" s="282"/>
      <c r="N27" s="282"/>
      <c r="O27" s="282"/>
      <c r="P27" s="282"/>
      <c r="Q27" s="282"/>
      <c r="R27" s="282"/>
      <c r="S27" s="282"/>
      <c r="T27" s="335"/>
      <c r="U27" s="282"/>
      <c r="V27" s="282"/>
      <c r="W27" s="288">
        <v>0</v>
      </c>
      <c r="X27" s="288">
        <v>0</v>
      </c>
      <c r="Y27" s="288">
        <v>0</v>
      </c>
      <c r="Z27" s="288">
        <v>0</v>
      </c>
      <c r="AA27" s="288">
        <v>0</v>
      </c>
      <c r="AB27" s="282">
        <v>0</v>
      </c>
      <c r="AC27" s="282">
        <v>0</v>
      </c>
      <c r="AD27" s="282">
        <v>0</v>
      </c>
      <c r="AE27" s="282">
        <v>0</v>
      </c>
      <c r="AF27" s="282">
        <v>0</v>
      </c>
      <c r="AG27" s="282">
        <v>0</v>
      </c>
      <c r="AH27" s="282">
        <v>0</v>
      </c>
      <c r="AI27" s="282">
        <v>0</v>
      </c>
      <c r="AJ27" s="282">
        <v>0</v>
      </c>
      <c r="AK27" s="282">
        <v>0</v>
      </c>
      <c r="AL27" s="282">
        <v>0</v>
      </c>
      <c r="AM27" s="282">
        <v>0</v>
      </c>
      <c r="AN27" s="282">
        <v>0</v>
      </c>
      <c r="AO27" s="282">
        <v>0</v>
      </c>
      <c r="AP27" s="282">
        <v>0</v>
      </c>
      <c r="AQ27" s="282">
        <v>0</v>
      </c>
      <c r="AR27" s="282">
        <v>0</v>
      </c>
      <c r="AS27" s="282">
        <v>0</v>
      </c>
      <c r="AT27" s="282">
        <v>0</v>
      </c>
      <c r="AU27" s="282">
        <v>0</v>
      </c>
      <c r="AV27" s="282">
        <v>0</v>
      </c>
      <c r="AW27" s="282">
        <v>0</v>
      </c>
      <c r="AX27" s="282">
        <v>0</v>
      </c>
      <c r="AY27" s="282">
        <v>0</v>
      </c>
      <c r="AZ27" s="335"/>
      <c r="BA27" s="334">
        <f>AY27+AW27+AU27+AS27+AQ27+AO27+AM27+AK27+AI27+AG27+AE27+AC27</f>
        <v>0</v>
      </c>
      <c r="BB27" s="334">
        <f t="shared" ref="BB27:BB28" si="115">AC27+AE27+AG27+AI27+AK27+AM27+AO27+AQ27+AS27</f>
        <v>0</v>
      </c>
      <c r="BC27" s="334">
        <f t="shared" ref="BC27:BC28" si="116">AD27+AF27+AH27+AJ27+AL27+AN27+AP27+AR27+AT27</f>
        <v>0</v>
      </c>
      <c r="BD27" s="336">
        <f t="shared" si="112"/>
        <v>0</v>
      </c>
      <c r="BE27" s="347">
        <f>AD27+AF27+AH27+AJ27+AL27+AN27+AP27+AR27+AT27+AV27+AX27+AZ27</f>
        <v>0</v>
      </c>
      <c r="BF27" s="282">
        <v>0</v>
      </c>
      <c r="BG27" s="282">
        <v>0</v>
      </c>
      <c r="BH27" s="282">
        <v>0</v>
      </c>
      <c r="BI27" s="282"/>
      <c r="BJ27" s="282"/>
      <c r="BK27" s="335"/>
      <c r="BL27" s="282"/>
      <c r="BM27" s="335"/>
      <c r="BN27" s="335"/>
      <c r="BO27" s="282"/>
      <c r="BP27" s="282"/>
      <c r="BQ27" s="282"/>
      <c r="BR27" s="282"/>
      <c r="BS27" s="282"/>
      <c r="BT27" s="282"/>
      <c r="BU27" s="282"/>
      <c r="BV27" s="282"/>
      <c r="BW27" s="282"/>
      <c r="BX27" s="282"/>
      <c r="BY27" s="282"/>
      <c r="BZ27" s="282"/>
      <c r="CA27" s="282"/>
      <c r="CB27" s="282"/>
      <c r="CC27" s="282"/>
      <c r="CD27" s="282"/>
      <c r="CE27" s="335">
        <v>0</v>
      </c>
      <c r="CF27" s="282">
        <v>0</v>
      </c>
      <c r="CG27" s="335">
        <v>0</v>
      </c>
      <c r="CH27" s="336">
        <v>0</v>
      </c>
      <c r="CI27" s="282">
        <v>0</v>
      </c>
      <c r="CJ27" s="282">
        <v>0</v>
      </c>
      <c r="CK27" s="282"/>
      <c r="CL27" s="282"/>
      <c r="CM27" s="282"/>
      <c r="CN27" s="282"/>
      <c r="CO27" s="282"/>
      <c r="CP27" s="282"/>
      <c r="CQ27" s="282"/>
      <c r="CR27" s="282"/>
      <c r="CS27" s="282"/>
      <c r="CT27" s="282"/>
      <c r="CU27" s="282"/>
      <c r="CV27" s="282"/>
      <c r="CW27" s="282"/>
      <c r="CX27" s="282"/>
      <c r="CY27" s="282"/>
      <c r="CZ27" s="282"/>
      <c r="DA27" s="282"/>
      <c r="DB27" s="282"/>
      <c r="DC27" s="282"/>
      <c r="DD27" s="282"/>
      <c r="DE27" s="282"/>
      <c r="DF27" s="282"/>
      <c r="DG27" s="282"/>
      <c r="DH27" s="282"/>
      <c r="DI27" s="335">
        <v>0</v>
      </c>
      <c r="DJ27" s="282">
        <v>0</v>
      </c>
      <c r="DK27" s="335">
        <v>0</v>
      </c>
      <c r="DL27" s="336">
        <v>0</v>
      </c>
      <c r="DM27" s="282">
        <v>0</v>
      </c>
      <c r="DN27" s="282">
        <v>0</v>
      </c>
      <c r="DO27" s="295"/>
      <c r="DP27" s="295"/>
      <c r="DQ27" s="295"/>
      <c r="DR27" s="295"/>
      <c r="DS27" s="295"/>
      <c r="DT27" s="295"/>
      <c r="DU27" s="295"/>
      <c r="DV27" s="295"/>
      <c r="DW27" s="295"/>
      <c r="DX27" s="295"/>
      <c r="DY27" s="295"/>
      <c r="DZ27" s="295"/>
      <c r="EA27" s="295"/>
      <c r="EB27" s="295"/>
      <c r="EC27" s="295"/>
      <c r="ED27" s="295"/>
      <c r="EE27" s="295"/>
      <c r="EF27" s="295"/>
      <c r="EG27" s="295"/>
      <c r="EH27" s="295"/>
      <c r="EI27" s="295"/>
      <c r="EJ27" s="295"/>
      <c r="EK27" s="295"/>
      <c r="EL27" s="295"/>
      <c r="EM27" s="282">
        <f t="shared" si="113"/>
        <v>0</v>
      </c>
      <c r="EN27" s="296">
        <f t="shared" si="106"/>
        <v>0</v>
      </c>
      <c r="EO27" s="297">
        <f t="shared" si="107"/>
        <v>0</v>
      </c>
      <c r="EP27" s="284">
        <f t="shared" si="114"/>
        <v>0</v>
      </c>
      <c r="EQ27" s="282">
        <f t="shared" si="109"/>
        <v>0</v>
      </c>
      <c r="ER27" s="285" t="e">
        <f t="shared" si="111"/>
        <v>#DIV/0!</v>
      </c>
      <c r="ES27" s="285" t="e">
        <f t="shared" si="16"/>
        <v>#DIV/0!</v>
      </c>
      <c r="ET27" s="286" t="e">
        <f t="shared" si="17"/>
        <v>#DIV/0!</v>
      </c>
      <c r="EU27" s="286" t="e">
        <f t="shared" si="18"/>
        <v>#DIV/0!</v>
      </c>
      <c r="EV27" s="286" t="e">
        <f t="shared" si="19"/>
        <v>#DIV/0!</v>
      </c>
      <c r="EW27" s="427"/>
      <c r="EX27" s="425"/>
      <c r="EY27" s="425"/>
      <c r="EZ27" s="426"/>
      <c r="FA27" s="426"/>
      <c r="FB27" s="429"/>
    </row>
    <row r="28" spans="1:159" s="4" customFormat="1" ht="29.25" customHeight="1" x14ac:dyDescent="0.25">
      <c r="A28" s="425"/>
      <c r="B28" s="425"/>
      <c r="C28" s="425"/>
      <c r="D28" s="425"/>
      <c r="E28" s="425"/>
      <c r="F28" s="126" t="s">
        <v>4</v>
      </c>
      <c r="G28" s="287">
        <f>+AA28+BD28+BF28+CJ28+DN28</f>
        <v>592742679</v>
      </c>
      <c r="H28" s="282">
        <v>0</v>
      </c>
      <c r="I28" s="287">
        <v>0</v>
      </c>
      <c r="J28" s="287">
        <v>0</v>
      </c>
      <c r="K28" s="287">
        <v>0</v>
      </c>
      <c r="L28" s="287">
        <v>0</v>
      </c>
      <c r="M28" s="287">
        <v>0</v>
      </c>
      <c r="N28" s="287">
        <v>0</v>
      </c>
      <c r="O28" s="287">
        <v>0</v>
      </c>
      <c r="P28" s="287">
        <v>0</v>
      </c>
      <c r="Q28" s="287">
        <v>0</v>
      </c>
      <c r="R28" s="287">
        <v>0</v>
      </c>
      <c r="S28" s="287">
        <v>0</v>
      </c>
      <c r="T28" s="332">
        <v>0</v>
      </c>
      <c r="U28" s="289">
        <v>0</v>
      </c>
      <c r="V28" s="289">
        <v>0</v>
      </c>
      <c r="W28" s="282">
        <v>0</v>
      </c>
      <c r="X28" s="282">
        <v>0</v>
      </c>
      <c r="Y28" s="282">
        <v>0</v>
      </c>
      <c r="Z28" s="289">
        <v>0</v>
      </c>
      <c r="AA28" s="289">
        <v>0</v>
      </c>
      <c r="AB28" s="289">
        <v>592742679</v>
      </c>
      <c r="AC28" s="287">
        <v>91072667</v>
      </c>
      <c r="AD28" s="287">
        <v>91072667</v>
      </c>
      <c r="AE28" s="287">
        <f>205477567-AC28</f>
        <v>114404900</v>
      </c>
      <c r="AF28" s="287">
        <f>205477567-AD28</f>
        <v>114404900</v>
      </c>
      <c r="AG28" s="287">
        <v>43650195</v>
      </c>
      <c r="AH28" s="287">
        <f>249127762-AF28-AD28</f>
        <v>43650195</v>
      </c>
      <c r="AI28" s="287">
        <v>52211433</v>
      </c>
      <c r="AJ28" s="287">
        <f>301339195-AH28-AF28-AD28</f>
        <v>52211433</v>
      </c>
      <c r="AK28" s="287">
        <v>38507889</v>
      </c>
      <c r="AL28" s="287">
        <f>339847084-AJ28-AH28-AF28-AD28</f>
        <v>38507889</v>
      </c>
      <c r="AM28" s="287">
        <v>92916500</v>
      </c>
      <c r="AN28" s="287">
        <v>91626500</v>
      </c>
      <c r="AO28" s="287">
        <v>63971107</v>
      </c>
      <c r="AP28" s="287">
        <v>0</v>
      </c>
      <c r="AQ28" s="287">
        <v>16343157</v>
      </c>
      <c r="AR28" s="287">
        <v>100496560</v>
      </c>
      <c r="AS28" s="287">
        <f>23000000+56664831</f>
        <v>79664831</v>
      </c>
      <c r="AT28" s="287">
        <v>809200</v>
      </c>
      <c r="AU28" s="287">
        <v>0</v>
      </c>
      <c r="AV28" s="287"/>
      <c r="AW28" s="287">
        <v>0</v>
      </c>
      <c r="AX28" s="287"/>
      <c r="AY28" s="287">
        <v>0</v>
      </c>
      <c r="AZ28" s="333"/>
      <c r="BA28" s="288">
        <f>AY28+AW28+AU28+AS28+AQ28+AO28+AM28+AK28+AI28+AG28+AE28+AC28</f>
        <v>592742679</v>
      </c>
      <c r="BB28" s="288">
        <f t="shared" si="115"/>
        <v>592742679</v>
      </c>
      <c r="BC28" s="288">
        <f t="shared" si="116"/>
        <v>532779344</v>
      </c>
      <c r="BD28" s="288">
        <f t="shared" si="112"/>
        <v>592742679</v>
      </c>
      <c r="BE28" s="288">
        <f>AD28+AF28+AH28+AJ28+AL28+AN28+AP28+AR28+AT28+AV28+AX28+AZ28</f>
        <v>532779344</v>
      </c>
      <c r="BF28" s="287">
        <v>0</v>
      </c>
      <c r="BG28" s="333">
        <v>0</v>
      </c>
      <c r="BH28" s="287">
        <v>0</v>
      </c>
      <c r="BI28" s="287"/>
      <c r="BJ28" s="287"/>
      <c r="BK28" s="287"/>
      <c r="BL28" s="287"/>
      <c r="BM28" s="287"/>
      <c r="BN28" s="287"/>
      <c r="BO28" s="287"/>
      <c r="BP28" s="287"/>
      <c r="BQ28" s="287"/>
      <c r="BR28" s="287"/>
      <c r="BS28" s="287"/>
      <c r="BT28" s="287"/>
      <c r="BU28" s="287"/>
      <c r="BV28" s="287"/>
      <c r="BW28" s="287"/>
      <c r="BX28" s="287"/>
      <c r="BY28" s="287"/>
      <c r="BZ28" s="287"/>
      <c r="CA28" s="287"/>
      <c r="CB28" s="287"/>
      <c r="CC28" s="287"/>
      <c r="CD28" s="287"/>
      <c r="CE28" s="288">
        <v>0</v>
      </c>
      <c r="CF28" s="290">
        <v>0</v>
      </c>
      <c r="CG28" s="290">
        <v>0</v>
      </c>
      <c r="CH28" s="288">
        <v>0</v>
      </c>
      <c r="CI28" s="290">
        <v>0</v>
      </c>
      <c r="CJ28" s="287">
        <v>0</v>
      </c>
      <c r="CK28" s="287"/>
      <c r="CL28" s="287"/>
      <c r="CM28" s="287"/>
      <c r="CN28" s="287"/>
      <c r="CO28" s="287"/>
      <c r="CP28" s="287"/>
      <c r="CQ28" s="287"/>
      <c r="CR28" s="287"/>
      <c r="CS28" s="287"/>
      <c r="CT28" s="287"/>
      <c r="CU28" s="287"/>
      <c r="CV28" s="287"/>
      <c r="CW28" s="287"/>
      <c r="CX28" s="287"/>
      <c r="CY28" s="287"/>
      <c r="CZ28" s="287"/>
      <c r="DA28" s="287"/>
      <c r="DB28" s="287"/>
      <c r="DC28" s="287"/>
      <c r="DD28" s="287"/>
      <c r="DE28" s="287"/>
      <c r="DF28" s="287"/>
      <c r="DG28" s="287"/>
      <c r="DH28" s="287"/>
      <c r="DI28" s="288">
        <v>0</v>
      </c>
      <c r="DJ28" s="290">
        <v>0</v>
      </c>
      <c r="DK28" s="290">
        <v>0</v>
      </c>
      <c r="DL28" s="288">
        <v>0</v>
      </c>
      <c r="DM28" s="290">
        <v>0</v>
      </c>
      <c r="DN28" s="287">
        <v>0</v>
      </c>
      <c r="DO28" s="298"/>
      <c r="DP28" s="298"/>
      <c r="DQ28" s="298"/>
      <c r="DR28" s="298"/>
      <c r="DS28" s="298"/>
      <c r="DT28" s="298"/>
      <c r="DU28" s="298"/>
      <c r="DV28" s="298"/>
      <c r="DW28" s="298"/>
      <c r="DX28" s="298"/>
      <c r="DY28" s="298"/>
      <c r="DZ28" s="298"/>
      <c r="EA28" s="298"/>
      <c r="EB28" s="298"/>
      <c r="EC28" s="298"/>
      <c r="ED28" s="298"/>
      <c r="EE28" s="298"/>
      <c r="EF28" s="298"/>
      <c r="EG28" s="298"/>
      <c r="EH28" s="298"/>
      <c r="EI28" s="298"/>
      <c r="EJ28" s="298"/>
      <c r="EK28" s="298"/>
      <c r="EL28" s="298"/>
      <c r="EM28" s="282">
        <f t="shared" si="113"/>
        <v>0</v>
      </c>
      <c r="EN28" s="292">
        <f t="shared" si="106"/>
        <v>0</v>
      </c>
      <c r="EO28" s="292">
        <f t="shared" si="107"/>
        <v>0</v>
      </c>
      <c r="EP28" s="288">
        <f t="shared" ref="EP28:EP29" si="117">DQ28+DS28+DU28+DW28+DY28+EA28+EC28+EE28+EG28+EI28+EK28+DO28</f>
        <v>0</v>
      </c>
      <c r="EQ28" s="292">
        <f t="shared" si="109"/>
        <v>0</v>
      </c>
      <c r="ER28" s="285">
        <f t="shared" si="111"/>
        <v>1.0157556224527735E-2</v>
      </c>
      <c r="ES28" s="285">
        <f t="shared" si="16"/>
        <v>0.89883749369766575</v>
      </c>
      <c r="ET28" s="286">
        <f t="shared" si="17"/>
        <v>0.89883749369766575</v>
      </c>
      <c r="EU28" s="286">
        <f t="shared" si="18"/>
        <v>0.89883749369766575</v>
      </c>
      <c r="EV28" s="286">
        <f t="shared" si="19"/>
        <v>0.89883749369766575</v>
      </c>
      <c r="EW28" s="427"/>
      <c r="EX28" s="425"/>
      <c r="EY28" s="425"/>
      <c r="EZ28" s="426"/>
      <c r="FA28" s="426"/>
      <c r="FB28" s="429"/>
    </row>
    <row r="29" spans="1:159" s="4" customFormat="1" ht="29.25" customHeight="1" thickBot="1" x14ac:dyDescent="0.3">
      <c r="A29" s="425"/>
      <c r="B29" s="425"/>
      <c r="C29" s="425"/>
      <c r="D29" s="425"/>
      <c r="E29" s="425"/>
      <c r="F29" s="128" t="s">
        <v>43</v>
      </c>
      <c r="G29" s="337">
        <f>+G24+G27</f>
        <v>8</v>
      </c>
      <c r="H29" s="337">
        <f>+H24+H27</f>
        <v>1</v>
      </c>
      <c r="I29" s="302"/>
      <c r="J29" s="302"/>
      <c r="K29" s="302"/>
      <c r="L29" s="302"/>
      <c r="M29" s="302"/>
      <c r="N29" s="302"/>
      <c r="O29" s="302"/>
      <c r="P29" s="302"/>
      <c r="Q29" s="302"/>
      <c r="R29" s="302"/>
      <c r="S29" s="302"/>
      <c r="T29" s="338"/>
      <c r="U29" s="302"/>
      <c r="V29" s="302"/>
      <c r="W29" s="337">
        <f t="shared" ref="W29:AK29" si="118">+W24+W27</f>
        <v>1</v>
      </c>
      <c r="X29" s="337">
        <f t="shared" si="118"/>
        <v>1</v>
      </c>
      <c r="Y29" s="337">
        <f t="shared" si="118"/>
        <v>1</v>
      </c>
      <c r="Z29" s="337">
        <f t="shared" si="118"/>
        <v>1</v>
      </c>
      <c r="AA29" s="337">
        <f t="shared" si="118"/>
        <v>1</v>
      </c>
      <c r="AB29" s="337">
        <f t="shared" si="118"/>
        <v>2</v>
      </c>
      <c r="AC29" s="337">
        <f t="shared" si="118"/>
        <v>0.17</v>
      </c>
      <c r="AD29" s="337">
        <f t="shared" si="118"/>
        <v>0.15</v>
      </c>
      <c r="AE29" s="337">
        <f t="shared" si="118"/>
        <v>0.17</v>
      </c>
      <c r="AF29" s="337">
        <f t="shared" si="118"/>
        <v>0.11</v>
      </c>
      <c r="AG29" s="337">
        <f t="shared" si="118"/>
        <v>0.17</v>
      </c>
      <c r="AH29" s="337">
        <f t="shared" si="118"/>
        <v>0.1</v>
      </c>
      <c r="AI29" s="337">
        <f t="shared" si="118"/>
        <v>0.17</v>
      </c>
      <c r="AJ29" s="337">
        <f t="shared" si="118"/>
        <v>0.15</v>
      </c>
      <c r="AK29" s="337">
        <f t="shared" si="118"/>
        <v>0.14000000000000001</v>
      </c>
      <c r="AL29" s="337">
        <f t="shared" ref="AL29:AP29" si="119">+AL24+AL27</f>
        <v>0.14000000000000001</v>
      </c>
      <c r="AM29" s="337">
        <f t="shared" si="119"/>
        <v>0.17</v>
      </c>
      <c r="AN29" s="337">
        <f t="shared" si="119"/>
        <v>0.35</v>
      </c>
      <c r="AO29" s="337">
        <f t="shared" si="119"/>
        <v>0.17</v>
      </c>
      <c r="AP29" s="337">
        <f t="shared" si="119"/>
        <v>0.26</v>
      </c>
      <c r="AQ29" s="337">
        <f t="shared" ref="AQ29:AR29" si="120">+AQ24+AQ27</f>
        <v>0.17</v>
      </c>
      <c r="AR29" s="337">
        <f t="shared" si="120"/>
        <v>0.13</v>
      </c>
      <c r="AS29" s="337">
        <f t="shared" ref="AS29:AT29" si="121">+AS24+AS27</f>
        <v>0.17</v>
      </c>
      <c r="AT29" s="337">
        <f t="shared" si="121"/>
        <v>0.17</v>
      </c>
      <c r="AU29" s="337">
        <f t="shared" ref="AU29" si="122">+AU24+AU27</f>
        <v>0.17</v>
      </c>
      <c r="AV29" s="302"/>
      <c r="AW29" s="337">
        <f t="shared" ref="AW29" si="123">+AW24+AW27</f>
        <v>0.17</v>
      </c>
      <c r="AX29" s="302"/>
      <c r="AY29" s="337">
        <f t="shared" ref="AY29" si="124">+AY24+AY27</f>
        <v>0.16</v>
      </c>
      <c r="AZ29" s="338"/>
      <c r="BA29" s="337">
        <f t="shared" ref="BA29:BE30" si="125">+BA24+BA27</f>
        <v>1.9999999999999996</v>
      </c>
      <c r="BB29" s="302">
        <f t="shared" si="125"/>
        <v>1.5</v>
      </c>
      <c r="BC29" s="302">
        <f t="shared" si="125"/>
        <v>1.56</v>
      </c>
      <c r="BD29" s="339">
        <f t="shared" si="125"/>
        <v>1.9999999999999998</v>
      </c>
      <c r="BE29" s="302">
        <f t="shared" si="125"/>
        <v>1.56</v>
      </c>
      <c r="BF29" s="302">
        <f t="shared" ref="BF29" si="126">+BF24+BF27</f>
        <v>2</v>
      </c>
      <c r="BG29" s="302">
        <v>8</v>
      </c>
      <c r="BH29" s="302">
        <v>4</v>
      </c>
      <c r="BI29" s="302"/>
      <c r="BJ29" s="302"/>
      <c r="BK29" s="338"/>
      <c r="BL29" s="302"/>
      <c r="BM29" s="338"/>
      <c r="BN29" s="338"/>
      <c r="BO29" s="302"/>
      <c r="BP29" s="302"/>
      <c r="BQ29" s="302"/>
      <c r="BR29" s="302"/>
      <c r="BS29" s="302"/>
      <c r="BT29" s="302"/>
      <c r="BU29" s="302"/>
      <c r="BV29" s="302"/>
      <c r="BW29" s="302"/>
      <c r="BX29" s="302"/>
      <c r="BY29" s="302"/>
      <c r="BZ29" s="302"/>
      <c r="CA29" s="302"/>
      <c r="CB29" s="302"/>
      <c r="CC29" s="302"/>
      <c r="CD29" s="302"/>
      <c r="CE29" s="338">
        <v>0</v>
      </c>
      <c r="CF29" s="302">
        <v>0</v>
      </c>
      <c r="CG29" s="338">
        <v>4</v>
      </c>
      <c r="CH29" s="339">
        <v>0</v>
      </c>
      <c r="CI29" s="302">
        <v>4</v>
      </c>
      <c r="CJ29" s="302">
        <f t="shared" ref="CJ29" si="127">+CJ24+CJ27</f>
        <v>2</v>
      </c>
      <c r="CK29" s="302"/>
      <c r="CL29" s="302"/>
      <c r="CM29" s="302"/>
      <c r="CN29" s="302"/>
      <c r="CO29" s="302"/>
      <c r="CP29" s="302"/>
      <c r="CQ29" s="302"/>
      <c r="CR29" s="302"/>
      <c r="CS29" s="302"/>
      <c r="CT29" s="302"/>
      <c r="CU29" s="302"/>
      <c r="CV29" s="302"/>
      <c r="CW29" s="302"/>
      <c r="CX29" s="302"/>
      <c r="CY29" s="302"/>
      <c r="CZ29" s="302"/>
      <c r="DA29" s="302"/>
      <c r="DB29" s="302"/>
      <c r="DC29" s="302"/>
      <c r="DD29" s="302"/>
      <c r="DE29" s="302"/>
      <c r="DF29" s="302"/>
      <c r="DG29" s="302"/>
      <c r="DH29" s="302"/>
      <c r="DI29" s="338">
        <v>0</v>
      </c>
      <c r="DJ29" s="302">
        <v>0</v>
      </c>
      <c r="DK29" s="338">
        <v>0</v>
      </c>
      <c r="DL29" s="339">
        <v>0</v>
      </c>
      <c r="DM29" s="302">
        <v>0</v>
      </c>
      <c r="DN29" s="302">
        <f t="shared" ref="DN29" si="128">+DN24+DN27</f>
        <v>1</v>
      </c>
      <c r="DO29" s="340"/>
      <c r="DP29" s="340"/>
      <c r="DQ29" s="340"/>
      <c r="DR29" s="340"/>
      <c r="DS29" s="340"/>
      <c r="DT29" s="340"/>
      <c r="DU29" s="340"/>
      <c r="DV29" s="340"/>
      <c r="DW29" s="340"/>
      <c r="DX29" s="340"/>
      <c r="DY29" s="340"/>
      <c r="DZ29" s="340"/>
      <c r="EA29" s="340"/>
      <c r="EB29" s="340"/>
      <c r="EC29" s="340"/>
      <c r="ED29" s="340"/>
      <c r="EE29" s="340"/>
      <c r="EF29" s="340"/>
      <c r="EG29" s="340"/>
      <c r="EH29" s="340"/>
      <c r="EI29" s="340"/>
      <c r="EJ29" s="340"/>
      <c r="EK29" s="340"/>
      <c r="EL29" s="340"/>
      <c r="EM29" s="302">
        <f t="shared" si="113"/>
        <v>0</v>
      </c>
      <c r="EN29" s="306">
        <f t="shared" si="106"/>
        <v>0</v>
      </c>
      <c r="EO29" s="306">
        <f t="shared" si="107"/>
        <v>0</v>
      </c>
      <c r="EP29" s="304">
        <f t="shared" si="117"/>
        <v>0</v>
      </c>
      <c r="EQ29" s="306">
        <f t="shared" ref="EQ29" si="129">DR29+DT29+DV29+DP29</f>
        <v>0</v>
      </c>
      <c r="ER29" s="307">
        <f t="shared" si="111"/>
        <v>1</v>
      </c>
      <c r="ES29" s="307">
        <f t="shared" si="16"/>
        <v>1.04</v>
      </c>
      <c r="ET29" s="308">
        <f t="shared" si="17"/>
        <v>0.78000000000000014</v>
      </c>
      <c r="EU29" s="308">
        <f t="shared" si="18"/>
        <v>1.024</v>
      </c>
      <c r="EV29" s="308">
        <f t="shared" si="19"/>
        <v>0.32</v>
      </c>
      <c r="EW29" s="427"/>
      <c r="EX29" s="425"/>
      <c r="EY29" s="425"/>
      <c r="EZ29" s="426"/>
      <c r="FA29" s="426"/>
      <c r="FB29" s="429"/>
    </row>
    <row r="30" spans="1:159" s="34" customFormat="1" ht="29.25" customHeight="1" thickBot="1" x14ac:dyDescent="0.3">
      <c r="A30" s="425"/>
      <c r="B30" s="425"/>
      <c r="C30" s="425"/>
      <c r="D30" s="425"/>
      <c r="E30" s="425"/>
      <c r="F30" s="277" t="s">
        <v>45</v>
      </c>
      <c r="G30" s="309">
        <f>+G25+G28</f>
        <v>15406308058</v>
      </c>
      <c r="H30" s="310">
        <f>+H25+H28</f>
        <v>1412790000</v>
      </c>
      <c r="I30" s="310"/>
      <c r="J30" s="310"/>
      <c r="K30" s="310"/>
      <c r="L30" s="310"/>
      <c r="M30" s="310"/>
      <c r="N30" s="310"/>
      <c r="O30" s="310"/>
      <c r="P30" s="310"/>
      <c r="Q30" s="310"/>
      <c r="R30" s="310"/>
      <c r="S30" s="310"/>
      <c r="T30" s="341"/>
      <c r="U30" s="342"/>
      <c r="V30" s="342"/>
      <c r="W30" s="310">
        <f t="shared" ref="W30:AK30" si="130">+W25+W28</f>
        <v>1412790000</v>
      </c>
      <c r="X30" s="310">
        <f t="shared" si="130"/>
        <v>1412790000</v>
      </c>
      <c r="Y30" s="310">
        <f t="shared" si="130"/>
        <v>1326141063</v>
      </c>
      <c r="Z30" s="310">
        <f t="shared" si="130"/>
        <v>1399790000</v>
      </c>
      <c r="AA30" s="310">
        <f t="shared" si="130"/>
        <v>1326141063</v>
      </c>
      <c r="AB30" s="310">
        <f t="shared" si="130"/>
        <v>3566518679</v>
      </c>
      <c r="AC30" s="310">
        <f t="shared" si="130"/>
        <v>91072667</v>
      </c>
      <c r="AD30" s="310">
        <f t="shared" si="130"/>
        <v>91072667</v>
      </c>
      <c r="AE30" s="310">
        <f t="shared" si="130"/>
        <v>523194900</v>
      </c>
      <c r="AF30" s="310">
        <f t="shared" si="130"/>
        <v>523194900</v>
      </c>
      <c r="AG30" s="310">
        <f t="shared" si="130"/>
        <v>1428804345</v>
      </c>
      <c r="AH30" s="310">
        <f t="shared" si="130"/>
        <v>1428804345</v>
      </c>
      <c r="AI30" s="310">
        <f t="shared" si="130"/>
        <v>609841433</v>
      </c>
      <c r="AJ30" s="310">
        <f t="shared" si="130"/>
        <v>201051433</v>
      </c>
      <c r="AK30" s="310">
        <f t="shared" si="130"/>
        <v>38507889</v>
      </c>
      <c r="AL30" s="310">
        <f t="shared" ref="AL30:AP30" si="131">+AL25+AL28</f>
        <v>43507889</v>
      </c>
      <c r="AM30" s="310">
        <f t="shared" si="131"/>
        <v>337648064</v>
      </c>
      <c r="AN30" s="310">
        <f t="shared" si="131"/>
        <v>336358064</v>
      </c>
      <c r="AO30" s="310">
        <f t="shared" si="131"/>
        <v>63971107</v>
      </c>
      <c r="AP30" s="310">
        <f t="shared" si="131"/>
        <v>0</v>
      </c>
      <c r="AQ30" s="310">
        <f t="shared" ref="AQ30:AR30" si="132">+AQ25+AQ28</f>
        <v>78889757</v>
      </c>
      <c r="AR30" s="310">
        <f t="shared" si="132"/>
        <v>100496560</v>
      </c>
      <c r="AS30" s="310">
        <f t="shared" ref="AS30:AT30" si="133">+AS25+AS28</f>
        <v>158335747</v>
      </c>
      <c r="AT30" s="310">
        <f t="shared" si="133"/>
        <v>14036034</v>
      </c>
      <c r="AU30" s="310">
        <f t="shared" ref="AU30" si="134">+AU25+AU28</f>
        <v>68283886</v>
      </c>
      <c r="AV30" s="310"/>
      <c r="AW30" s="310">
        <f t="shared" ref="AW30" si="135">+AW25+AW28</f>
        <v>62546600</v>
      </c>
      <c r="AX30" s="310"/>
      <c r="AY30" s="310">
        <f t="shared" ref="AY30" si="136">+AY25+AY28</f>
        <v>62546600</v>
      </c>
      <c r="AZ30" s="343"/>
      <c r="BA30" s="311">
        <f t="shared" si="125"/>
        <v>3523642995</v>
      </c>
      <c r="BB30" s="312">
        <f t="shared" si="125"/>
        <v>3330265909</v>
      </c>
      <c r="BC30" s="312">
        <f t="shared" si="125"/>
        <v>2738521892</v>
      </c>
      <c r="BD30" s="311">
        <f t="shared" si="125"/>
        <v>3523642995</v>
      </c>
      <c r="BE30" s="312">
        <f t="shared" si="125"/>
        <v>2738521892</v>
      </c>
      <c r="BF30" s="312">
        <f t="shared" ref="BF30" si="137">+BF25+BF28</f>
        <v>4122493000</v>
      </c>
      <c r="BG30" s="343">
        <v>1515392000</v>
      </c>
      <c r="BH30" s="310">
        <v>791006000</v>
      </c>
      <c r="BI30" s="310"/>
      <c r="BJ30" s="310"/>
      <c r="BK30" s="310"/>
      <c r="BL30" s="310"/>
      <c r="BM30" s="310"/>
      <c r="BN30" s="310"/>
      <c r="BO30" s="310"/>
      <c r="BP30" s="310"/>
      <c r="BQ30" s="310"/>
      <c r="BR30" s="310"/>
      <c r="BS30" s="310"/>
      <c r="BT30" s="310"/>
      <c r="BU30" s="310"/>
      <c r="BV30" s="310"/>
      <c r="BW30" s="310"/>
      <c r="BX30" s="310"/>
      <c r="BY30" s="310"/>
      <c r="BZ30" s="310"/>
      <c r="CA30" s="310"/>
      <c r="CB30" s="310"/>
      <c r="CC30" s="310"/>
      <c r="CD30" s="310"/>
      <c r="CE30" s="311">
        <v>0</v>
      </c>
      <c r="CF30" s="312">
        <v>0</v>
      </c>
      <c r="CG30" s="312">
        <v>791006000</v>
      </c>
      <c r="CH30" s="311">
        <v>0</v>
      </c>
      <c r="CI30" s="312">
        <v>791006000</v>
      </c>
      <c r="CJ30" s="312">
        <f t="shared" ref="CJ30" si="138">+CJ25+CJ28</f>
        <v>4321368000</v>
      </c>
      <c r="CK30" s="310"/>
      <c r="CL30" s="310"/>
      <c r="CM30" s="310"/>
      <c r="CN30" s="310"/>
      <c r="CO30" s="310"/>
      <c r="CP30" s="310"/>
      <c r="CQ30" s="310"/>
      <c r="CR30" s="310"/>
      <c r="CS30" s="310"/>
      <c r="CT30" s="310"/>
      <c r="CU30" s="310"/>
      <c r="CV30" s="310"/>
      <c r="CW30" s="310"/>
      <c r="CX30" s="310"/>
      <c r="CY30" s="310"/>
      <c r="CZ30" s="310"/>
      <c r="DA30" s="310"/>
      <c r="DB30" s="310"/>
      <c r="DC30" s="310"/>
      <c r="DD30" s="310"/>
      <c r="DE30" s="310"/>
      <c r="DF30" s="310"/>
      <c r="DG30" s="310"/>
      <c r="DH30" s="310"/>
      <c r="DI30" s="311">
        <v>0</v>
      </c>
      <c r="DJ30" s="312">
        <v>0</v>
      </c>
      <c r="DK30" s="312">
        <v>0</v>
      </c>
      <c r="DL30" s="311">
        <v>0</v>
      </c>
      <c r="DM30" s="312">
        <v>0</v>
      </c>
      <c r="DN30" s="312">
        <f t="shared" ref="DN30" si="139">+DN25+DN28</f>
        <v>2112663000</v>
      </c>
      <c r="DO30" s="344"/>
      <c r="DP30" s="344"/>
      <c r="DQ30" s="344"/>
      <c r="DR30" s="344"/>
      <c r="DS30" s="344"/>
      <c r="DT30" s="344"/>
      <c r="DU30" s="344"/>
      <c r="DV30" s="344"/>
      <c r="DW30" s="344"/>
      <c r="DX30" s="344"/>
      <c r="DY30" s="344"/>
      <c r="DZ30" s="344"/>
      <c r="EA30" s="344"/>
      <c r="EB30" s="344"/>
      <c r="EC30" s="344"/>
      <c r="ED30" s="344"/>
      <c r="EE30" s="344"/>
      <c r="EF30" s="344"/>
      <c r="EG30" s="344"/>
      <c r="EH30" s="344"/>
      <c r="EI30" s="344"/>
      <c r="EJ30" s="344"/>
      <c r="EK30" s="344"/>
      <c r="EL30" s="344"/>
      <c r="EM30" s="314">
        <f t="shared" ref="EM30:EM32" si="140">EK30+EI30+EG30+EE30+EC30+EA30+DY30+DW30+DU30+DS30+DQ30+DO30</f>
        <v>0</v>
      </c>
      <c r="EN30" s="315">
        <f t="shared" si="65"/>
        <v>0</v>
      </c>
      <c r="EO30" s="316">
        <f t="shared" si="66"/>
        <v>0</v>
      </c>
      <c r="EP30" s="315">
        <f t="shared" ref="EP30:EQ30" si="141">+EP25+EP28</f>
        <v>0</v>
      </c>
      <c r="EQ30" s="315">
        <f t="shared" si="141"/>
        <v>0</v>
      </c>
      <c r="ER30" s="317">
        <f t="shared" si="111"/>
        <v>8.8647284431607229E-2</v>
      </c>
      <c r="ES30" s="317">
        <f t="shared" si="16"/>
        <v>0.8223132827319225</v>
      </c>
      <c r="ET30" s="318">
        <f t="shared" si="17"/>
        <v>0.77718483282384854</v>
      </c>
      <c r="EU30" s="318">
        <f t="shared" si="18"/>
        <v>0.85932661964228807</v>
      </c>
      <c r="EV30" s="319">
        <f t="shared" si="19"/>
        <v>0.26383108397532989</v>
      </c>
      <c r="EW30" s="428"/>
      <c r="EX30" s="425"/>
      <c r="EY30" s="425"/>
      <c r="EZ30" s="426"/>
      <c r="FA30" s="426"/>
      <c r="FB30" s="429"/>
    </row>
    <row r="31" spans="1:159" s="4" customFormat="1" ht="29.25" customHeight="1" x14ac:dyDescent="0.25">
      <c r="A31" s="425" t="s">
        <v>313</v>
      </c>
      <c r="B31" s="425">
        <v>4</v>
      </c>
      <c r="C31" s="425" t="s">
        <v>319</v>
      </c>
      <c r="D31" s="425" t="s">
        <v>273</v>
      </c>
      <c r="E31" s="425">
        <v>269</v>
      </c>
      <c r="F31" s="128" t="s">
        <v>41</v>
      </c>
      <c r="G31" s="348">
        <f>+AA31+BD31+BF31+CJ31+DN31</f>
        <v>4700</v>
      </c>
      <c r="H31" s="348">
        <v>491</v>
      </c>
      <c r="I31" s="327"/>
      <c r="J31" s="327"/>
      <c r="K31" s="327"/>
      <c r="L31" s="327"/>
      <c r="M31" s="327"/>
      <c r="N31" s="327"/>
      <c r="O31" s="327"/>
      <c r="P31" s="327"/>
      <c r="Q31" s="327"/>
      <c r="R31" s="327"/>
      <c r="S31" s="327"/>
      <c r="T31" s="328"/>
      <c r="U31" s="327"/>
      <c r="V31" s="327"/>
      <c r="W31" s="348">
        <v>491</v>
      </c>
      <c r="X31" s="348">
        <v>491</v>
      </c>
      <c r="Y31" s="327">
        <v>491</v>
      </c>
      <c r="Z31" s="348">
        <v>491</v>
      </c>
      <c r="AA31" s="327">
        <v>491</v>
      </c>
      <c r="AB31" s="327">
        <v>893</v>
      </c>
      <c r="AC31" s="327">
        <v>15</v>
      </c>
      <c r="AD31" s="327">
        <v>36</v>
      </c>
      <c r="AE31" s="327">
        <v>18</v>
      </c>
      <c r="AF31" s="327">
        <v>16</v>
      </c>
      <c r="AG31" s="327">
        <v>90</v>
      </c>
      <c r="AH31" s="327">
        <v>104</v>
      </c>
      <c r="AI31" s="327">
        <v>97</v>
      </c>
      <c r="AJ31" s="327">
        <v>116</v>
      </c>
      <c r="AK31" s="327">
        <v>97</v>
      </c>
      <c r="AL31" s="327">
        <v>76</v>
      </c>
      <c r="AM31" s="327">
        <v>97</v>
      </c>
      <c r="AN31" s="327">
        <v>115</v>
      </c>
      <c r="AO31" s="327">
        <v>97</v>
      </c>
      <c r="AP31" s="327">
        <v>96</v>
      </c>
      <c r="AQ31" s="327">
        <v>97</v>
      </c>
      <c r="AR31" s="327">
        <v>102</v>
      </c>
      <c r="AS31" s="327">
        <v>97</v>
      </c>
      <c r="AT31" s="327">
        <v>96</v>
      </c>
      <c r="AU31" s="327">
        <v>97</v>
      </c>
      <c r="AV31" s="327"/>
      <c r="AW31" s="327">
        <v>91</v>
      </c>
      <c r="AX31" s="327"/>
      <c r="AY31" s="327">
        <v>0</v>
      </c>
      <c r="AZ31" s="328"/>
      <c r="BA31" s="348">
        <f>AY31+AW31+AU31+AS31+AQ31+AO31+AM31+AK31+AI31+AG31+AE31+AC31</f>
        <v>893</v>
      </c>
      <c r="BB31" s="348">
        <f>AC31+AE31+AG31+AI31+AK31+AM31+AO31+AQ31+AS31</f>
        <v>705</v>
      </c>
      <c r="BC31" s="348">
        <f>AD31+AF31+AH31+AJ31+AL31+AN31+AP31+AR31+AT31</f>
        <v>757</v>
      </c>
      <c r="BD31" s="349">
        <f>AE31+AG31+AI31+AK31+AM31+AO31+AQ31+AS31+AU31+AW31+AY31+AC31</f>
        <v>893</v>
      </c>
      <c r="BE31" s="349">
        <f>AD31+AF31+AH31+AJ31+AL31+AN31+AP31+AR31+AT31+AV31+AX31+AZ31</f>
        <v>757</v>
      </c>
      <c r="BF31" s="327">
        <v>1272</v>
      </c>
      <c r="BG31" s="327">
        <v>8</v>
      </c>
      <c r="BH31" s="327">
        <v>4</v>
      </c>
      <c r="BI31" s="327"/>
      <c r="BJ31" s="327"/>
      <c r="BK31" s="328"/>
      <c r="BL31" s="327"/>
      <c r="BM31" s="328"/>
      <c r="BN31" s="328"/>
      <c r="BO31" s="327"/>
      <c r="BP31" s="327"/>
      <c r="BQ31" s="327"/>
      <c r="BR31" s="327"/>
      <c r="BS31" s="327"/>
      <c r="BT31" s="327"/>
      <c r="BU31" s="327"/>
      <c r="BV31" s="327"/>
      <c r="BW31" s="327"/>
      <c r="BX31" s="327"/>
      <c r="BY31" s="327"/>
      <c r="BZ31" s="327"/>
      <c r="CA31" s="327"/>
      <c r="CB31" s="327"/>
      <c r="CC31" s="327"/>
      <c r="CD31" s="327"/>
      <c r="CE31" s="328">
        <v>0</v>
      </c>
      <c r="CF31" s="327">
        <v>0</v>
      </c>
      <c r="CG31" s="328">
        <v>4</v>
      </c>
      <c r="CH31" s="349">
        <v>0</v>
      </c>
      <c r="CI31" s="327">
        <v>4</v>
      </c>
      <c r="CJ31" s="327">
        <v>1589</v>
      </c>
      <c r="CK31" s="327"/>
      <c r="CL31" s="327"/>
      <c r="CM31" s="327"/>
      <c r="CN31" s="327"/>
      <c r="CO31" s="327"/>
      <c r="CP31" s="327"/>
      <c r="CQ31" s="327"/>
      <c r="CR31" s="327"/>
      <c r="CS31" s="327"/>
      <c r="CT31" s="327"/>
      <c r="CU31" s="327"/>
      <c r="CV31" s="327"/>
      <c r="CW31" s="327"/>
      <c r="CX31" s="327"/>
      <c r="CY31" s="327"/>
      <c r="CZ31" s="327"/>
      <c r="DA31" s="327"/>
      <c r="DB31" s="327"/>
      <c r="DC31" s="327"/>
      <c r="DD31" s="327"/>
      <c r="DE31" s="327"/>
      <c r="DF31" s="327"/>
      <c r="DG31" s="327"/>
      <c r="DH31" s="327"/>
      <c r="DI31" s="328">
        <v>0</v>
      </c>
      <c r="DJ31" s="327">
        <v>0</v>
      </c>
      <c r="DK31" s="328">
        <v>0</v>
      </c>
      <c r="DL31" s="349">
        <v>0</v>
      </c>
      <c r="DM31" s="327">
        <v>0</v>
      </c>
      <c r="DN31" s="327">
        <v>455</v>
      </c>
      <c r="DO31" s="326"/>
      <c r="DP31" s="326"/>
      <c r="DQ31" s="326"/>
      <c r="DR31" s="326"/>
      <c r="DS31" s="326"/>
      <c r="DT31" s="326"/>
      <c r="DU31" s="326"/>
      <c r="DV31" s="326"/>
      <c r="DW31" s="326"/>
      <c r="DX31" s="326"/>
      <c r="DY31" s="326"/>
      <c r="DZ31" s="326"/>
      <c r="EA31" s="326"/>
      <c r="EB31" s="326"/>
      <c r="EC31" s="326"/>
      <c r="ED31" s="326"/>
      <c r="EE31" s="326"/>
      <c r="EF31" s="326"/>
      <c r="EG31" s="327"/>
      <c r="EH31" s="327"/>
      <c r="EI31" s="327"/>
      <c r="EJ31" s="327"/>
      <c r="EK31" s="327"/>
      <c r="EL31" s="327"/>
      <c r="EM31" s="328">
        <f t="shared" si="140"/>
        <v>0</v>
      </c>
      <c r="EN31" s="327">
        <f t="shared" ref="EN31:EN36" si="142">DO31+DQ31+DS31+DU31</f>
        <v>0</v>
      </c>
      <c r="EO31" s="328">
        <f t="shared" ref="EO31:EO36" si="143">DP31+DR31+DT31+DV31</f>
        <v>0</v>
      </c>
      <c r="EP31" s="329">
        <f t="shared" ref="EP31:EP32" si="144">DQ31+DS31+DU31+DW31+DY31+EA31+EC31+EE31+EG31+EI31+EK31+DO31</f>
        <v>0</v>
      </c>
      <c r="EQ31" s="327">
        <f t="shared" ref="EQ31:EQ35" si="145">DP31+DR31+DT31+DV31</f>
        <v>0</v>
      </c>
      <c r="ER31" s="330">
        <f>+AT31/AS31</f>
        <v>0.98969072164948457</v>
      </c>
      <c r="ES31" s="330">
        <f>+BC31/BB31</f>
        <v>1.0737588652482271</v>
      </c>
      <c r="ET31" s="350">
        <f>BE31/BD31</f>
        <v>0.84770436730123178</v>
      </c>
      <c r="EU31" s="331">
        <f>+(AA31+BC31)/(Z31+BB31)</f>
        <v>1.0434782608695652</v>
      </c>
      <c r="EV31" s="331">
        <f>+(AA31+BC31)/G31</f>
        <v>0.26553191489361699</v>
      </c>
      <c r="EW31" s="463" t="s">
        <v>557</v>
      </c>
      <c r="EX31" s="425" t="s">
        <v>386</v>
      </c>
      <c r="EY31" s="425" t="s">
        <v>386</v>
      </c>
      <c r="EZ31" s="425" t="s">
        <v>392</v>
      </c>
      <c r="FA31" s="465" t="s">
        <v>393</v>
      </c>
      <c r="FB31" s="429"/>
    </row>
    <row r="32" spans="1:159" s="70" customFormat="1" ht="29.25" customHeight="1" x14ac:dyDescent="0.25">
      <c r="A32" s="425"/>
      <c r="B32" s="425"/>
      <c r="C32" s="425"/>
      <c r="D32" s="425"/>
      <c r="E32" s="425"/>
      <c r="F32" s="126" t="s">
        <v>3</v>
      </c>
      <c r="G32" s="287">
        <f>+AA32+BD32+BF32+CJ32+DN32</f>
        <v>6462434131.000001</v>
      </c>
      <c r="H32" s="287">
        <v>621054131</v>
      </c>
      <c r="I32" s="287"/>
      <c r="J32" s="287"/>
      <c r="K32" s="287"/>
      <c r="L32" s="287"/>
      <c r="M32" s="287"/>
      <c r="N32" s="287"/>
      <c r="O32" s="287"/>
      <c r="P32" s="287"/>
      <c r="Q32" s="287"/>
      <c r="R32" s="287"/>
      <c r="S32" s="287"/>
      <c r="T32" s="332"/>
      <c r="U32" s="289"/>
      <c r="V32" s="289"/>
      <c r="W32" s="287">
        <v>621054131</v>
      </c>
      <c r="X32" s="287">
        <v>621054131</v>
      </c>
      <c r="Y32" s="289">
        <v>535986131</v>
      </c>
      <c r="Z32" s="287">
        <v>556054131</v>
      </c>
      <c r="AA32" s="289">
        <v>535986131</v>
      </c>
      <c r="AB32" s="289">
        <v>1480481000</v>
      </c>
      <c r="AC32" s="287">
        <v>0</v>
      </c>
      <c r="AD32" s="289">
        <v>0</v>
      </c>
      <c r="AE32" s="289">
        <v>740287000</v>
      </c>
      <c r="AF32" s="289">
        <f>740287000-AD32</f>
        <v>740287000</v>
      </c>
      <c r="AG32" s="289">
        <v>261288000</v>
      </c>
      <c r="AH32" s="289">
        <f>1001575000-AF32-AD32</f>
        <v>261288000</v>
      </c>
      <c r="AI32" s="289">
        <v>0</v>
      </c>
      <c r="AJ32" s="289">
        <f>1001575000-AH32-AF32-AD32</f>
        <v>0</v>
      </c>
      <c r="AK32" s="287">
        <v>0</v>
      </c>
      <c r="AL32" s="287">
        <f>1001575000-AJ32-AH32-AF32-AD32</f>
        <v>0</v>
      </c>
      <c r="AM32" s="287">
        <v>150666666.66666666</v>
      </c>
      <c r="AN32" s="287">
        <v>150000000</v>
      </c>
      <c r="AO32" s="287">
        <v>0</v>
      </c>
      <c r="AP32" s="287">
        <v>0</v>
      </c>
      <c r="AQ32" s="287">
        <f>150666666.666667+5381200</f>
        <v>156047866.66666701</v>
      </c>
      <c r="AR32" s="287">
        <v>0</v>
      </c>
      <c r="AS32" s="287">
        <f>150666666.666667+5381200+107000000</f>
        <v>263047866.66666701</v>
      </c>
      <c r="AT32" s="287">
        <v>0</v>
      </c>
      <c r="AU32" s="287">
        <v>5381200</v>
      </c>
      <c r="AV32" s="287"/>
      <c r="AW32" s="287">
        <v>5381200</v>
      </c>
      <c r="AX32" s="287"/>
      <c r="AY32" s="287">
        <v>5381200</v>
      </c>
      <c r="AZ32" s="333"/>
      <c r="BA32" s="288">
        <f>AY32+AW32+AU32+AS32+AQ32+AO32+AM32+AK32+AI32+AG32+AE32+AC32</f>
        <v>1587481000.0000005</v>
      </c>
      <c r="BB32" s="288">
        <f>AC32+AE32+AG32+AI32+AK32+AM32+AO32+AQ32+AS32</f>
        <v>1571337400.0000007</v>
      </c>
      <c r="BC32" s="288">
        <f t="shared" ref="BC32:BC35" si="146">AD32+AF32+AH32+AJ32+AL32+AN32+AP32+AR32+AT32</f>
        <v>1151575000</v>
      </c>
      <c r="BD32" s="288">
        <f>AE32+AG32+AI32+AK32+AM32+AO32+AQ32+AS32+AU32+AW32+AY32+AC32</f>
        <v>1587481000.0000007</v>
      </c>
      <c r="BE32" s="288">
        <f>AD32+AF32+AH32+AJ32+AL32+AN32+AP32+AR32+AT32+AV32+AX32+AZ32</f>
        <v>1151575000</v>
      </c>
      <c r="BF32" s="287">
        <v>1633442000</v>
      </c>
      <c r="BG32" s="333">
        <v>1515392000</v>
      </c>
      <c r="BH32" s="287">
        <v>791006000</v>
      </c>
      <c r="BI32" s="287"/>
      <c r="BJ32" s="287"/>
      <c r="BK32" s="287"/>
      <c r="BL32" s="287"/>
      <c r="BM32" s="287"/>
      <c r="BN32" s="287"/>
      <c r="BO32" s="287"/>
      <c r="BP32" s="287"/>
      <c r="BQ32" s="287"/>
      <c r="BR32" s="287"/>
      <c r="BS32" s="287"/>
      <c r="BT32" s="287"/>
      <c r="BU32" s="287"/>
      <c r="BV32" s="287"/>
      <c r="BW32" s="287"/>
      <c r="BX32" s="287"/>
      <c r="BY32" s="287"/>
      <c r="BZ32" s="287"/>
      <c r="CA32" s="287"/>
      <c r="CB32" s="287"/>
      <c r="CC32" s="287"/>
      <c r="CD32" s="287"/>
      <c r="CE32" s="288">
        <v>0</v>
      </c>
      <c r="CF32" s="290">
        <v>0</v>
      </c>
      <c r="CG32" s="290">
        <v>791006000</v>
      </c>
      <c r="CH32" s="288">
        <v>0</v>
      </c>
      <c r="CI32" s="290">
        <v>791006000</v>
      </c>
      <c r="CJ32" s="287">
        <v>1710164000</v>
      </c>
      <c r="CK32" s="287"/>
      <c r="CL32" s="287"/>
      <c r="CM32" s="287"/>
      <c r="CN32" s="287"/>
      <c r="CO32" s="287"/>
      <c r="CP32" s="287"/>
      <c r="CQ32" s="287"/>
      <c r="CR32" s="287"/>
      <c r="CS32" s="287"/>
      <c r="CT32" s="287"/>
      <c r="CU32" s="287"/>
      <c r="CV32" s="287"/>
      <c r="CW32" s="287"/>
      <c r="CX32" s="287"/>
      <c r="CY32" s="287"/>
      <c r="CZ32" s="287"/>
      <c r="DA32" s="287"/>
      <c r="DB32" s="287"/>
      <c r="DC32" s="287"/>
      <c r="DD32" s="287"/>
      <c r="DE32" s="287"/>
      <c r="DF32" s="287"/>
      <c r="DG32" s="287"/>
      <c r="DH32" s="287"/>
      <c r="DI32" s="288">
        <v>0</v>
      </c>
      <c r="DJ32" s="290">
        <v>0</v>
      </c>
      <c r="DK32" s="290">
        <v>0</v>
      </c>
      <c r="DL32" s="288">
        <v>0</v>
      </c>
      <c r="DM32" s="290">
        <v>0</v>
      </c>
      <c r="DN32" s="287">
        <v>995361000</v>
      </c>
      <c r="DO32" s="291"/>
      <c r="DP32" s="291"/>
      <c r="DQ32" s="291"/>
      <c r="DR32" s="291"/>
      <c r="DS32" s="291"/>
      <c r="DT32" s="291"/>
      <c r="DU32" s="291"/>
      <c r="DV32" s="291"/>
      <c r="DW32" s="291"/>
      <c r="DX32" s="291"/>
      <c r="DY32" s="291"/>
      <c r="DZ32" s="291"/>
      <c r="EA32" s="291"/>
      <c r="EB32" s="291"/>
      <c r="EC32" s="291"/>
      <c r="ED32" s="291"/>
      <c r="EE32" s="291"/>
      <c r="EF32" s="291"/>
      <c r="EG32" s="291"/>
      <c r="EH32" s="291"/>
      <c r="EI32" s="291"/>
      <c r="EJ32" s="291"/>
      <c r="EK32" s="291"/>
      <c r="EL32" s="291"/>
      <c r="EM32" s="281">
        <f t="shared" si="140"/>
        <v>0</v>
      </c>
      <c r="EN32" s="292">
        <f t="shared" si="142"/>
        <v>0</v>
      </c>
      <c r="EO32" s="292">
        <f t="shared" si="143"/>
        <v>0</v>
      </c>
      <c r="EP32" s="293">
        <f t="shared" si="144"/>
        <v>0</v>
      </c>
      <c r="EQ32" s="292">
        <f t="shared" si="145"/>
        <v>0</v>
      </c>
      <c r="ER32" s="285">
        <f t="shared" ref="ER32:ER37" si="147">+AT32/AS32</f>
        <v>0</v>
      </c>
      <c r="ES32" s="285">
        <f t="shared" si="16"/>
        <v>0.73286297392272304</v>
      </c>
      <c r="ET32" s="286">
        <f t="shared" si="17"/>
        <v>0.72541025687866467</v>
      </c>
      <c r="EU32" s="286">
        <f t="shared" si="18"/>
        <v>0.79325366600794245</v>
      </c>
      <c r="EV32" s="286">
        <f t="shared" si="19"/>
        <v>0.26113397781570358</v>
      </c>
      <c r="EW32" s="463"/>
      <c r="EX32" s="425"/>
      <c r="EY32" s="425"/>
      <c r="EZ32" s="425"/>
      <c r="FA32" s="465"/>
      <c r="FB32" s="429"/>
    </row>
    <row r="33" spans="1:158" s="70" customFormat="1" ht="29.25" customHeight="1" x14ac:dyDescent="0.25">
      <c r="A33" s="425"/>
      <c r="B33" s="425"/>
      <c r="C33" s="425"/>
      <c r="D33" s="425"/>
      <c r="E33" s="425"/>
      <c r="F33" s="127" t="s">
        <v>220</v>
      </c>
      <c r="G33" s="287"/>
      <c r="H33" s="287"/>
      <c r="I33" s="287"/>
      <c r="J33" s="287"/>
      <c r="K33" s="287"/>
      <c r="L33" s="287"/>
      <c r="M33" s="287"/>
      <c r="N33" s="287"/>
      <c r="O33" s="287"/>
      <c r="P33" s="287"/>
      <c r="Q33" s="287"/>
      <c r="R33" s="287"/>
      <c r="S33" s="287"/>
      <c r="T33" s="332"/>
      <c r="U33" s="289"/>
      <c r="V33" s="289"/>
      <c r="W33" s="287"/>
      <c r="X33" s="287"/>
      <c r="Y33" s="289">
        <v>0</v>
      </c>
      <c r="Z33" s="287"/>
      <c r="AA33" s="289">
        <v>0</v>
      </c>
      <c r="AB33" s="289"/>
      <c r="AC33" s="287">
        <v>0</v>
      </c>
      <c r="AD33" s="287">
        <v>0</v>
      </c>
      <c r="AE33" s="289">
        <v>0</v>
      </c>
      <c r="AF33" s="289">
        <v>0</v>
      </c>
      <c r="AG33" s="289">
        <v>27208599</v>
      </c>
      <c r="AH33" s="289">
        <v>27208599</v>
      </c>
      <c r="AI33" s="289">
        <v>102633333</v>
      </c>
      <c r="AJ33" s="289">
        <f>129841932-AH33-AF33-AD33</f>
        <v>102633333</v>
      </c>
      <c r="AK33" s="287">
        <v>113778067</v>
      </c>
      <c r="AL33" s="287">
        <f>243619999-AJ33-AH33-AF33-AD33</f>
        <v>113778067</v>
      </c>
      <c r="AM33" s="287">
        <v>115052000</v>
      </c>
      <c r="AN33" s="287">
        <v>115052000</v>
      </c>
      <c r="AO33" s="287">
        <v>0</v>
      </c>
      <c r="AP33" s="287">
        <v>111614000</v>
      </c>
      <c r="AQ33" s="287">
        <v>0</v>
      </c>
      <c r="AR33" s="287">
        <v>111614000</v>
      </c>
      <c r="AS33" s="287">
        <v>0</v>
      </c>
      <c r="AT33" s="287">
        <v>111614000</v>
      </c>
      <c r="AU33" s="287">
        <v>0</v>
      </c>
      <c r="AV33" s="287"/>
      <c r="AW33" s="287">
        <v>0</v>
      </c>
      <c r="AX33" s="287"/>
      <c r="AY33" s="287">
        <v>0</v>
      </c>
      <c r="AZ33" s="333"/>
      <c r="BA33" s="288">
        <f>AY33+AW33+AU33+AS33+AQ33+AO33+AM33+AK33+AI33+AG33+AE33+AC33</f>
        <v>358671999</v>
      </c>
      <c r="BB33" s="288">
        <f>AC33+AE33+AG33+AI33+AK33+AM33+AO33+AQ33+AS33</f>
        <v>358671999</v>
      </c>
      <c r="BC33" s="288">
        <f t="shared" si="146"/>
        <v>693513999</v>
      </c>
      <c r="BD33" s="288">
        <f t="shared" ref="BD33:BD35" si="148">AE33+AG33+AI33+AK33+AM33+AO33+AQ33+AS33+AU33+AW33+AY33+AC33</f>
        <v>358671999</v>
      </c>
      <c r="BE33" s="288">
        <f>AD33+AF33+AH33+AJ33+AL33+AN33+AP33+AR33+AT33+AV33+AX33+AZ33</f>
        <v>693513999</v>
      </c>
      <c r="BF33" s="287">
        <v>0</v>
      </c>
      <c r="BG33" s="333"/>
      <c r="BH33" s="287"/>
      <c r="BI33" s="287"/>
      <c r="BJ33" s="287"/>
      <c r="BK33" s="287"/>
      <c r="BL33" s="287"/>
      <c r="BM33" s="287"/>
      <c r="BN33" s="287"/>
      <c r="BO33" s="287"/>
      <c r="BP33" s="287"/>
      <c r="BQ33" s="287"/>
      <c r="BR33" s="287"/>
      <c r="BS33" s="287"/>
      <c r="BT33" s="287"/>
      <c r="BU33" s="287"/>
      <c r="BV33" s="287"/>
      <c r="BW33" s="287"/>
      <c r="BX33" s="287"/>
      <c r="BY33" s="287"/>
      <c r="BZ33" s="287"/>
      <c r="CA33" s="287"/>
      <c r="CB33" s="287"/>
      <c r="CC33" s="287"/>
      <c r="CD33" s="287"/>
      <c r="CE33" s="288"/>
      <c r="CF33" s="290"/>
      <c r="CG33" s="290"/>
      <c r="CH33" s="288"/>
      <c r="CI33" s="290"/>
      <c r="CJ33" s="287">
        <v>0</v>
      </c>
      <c r="CK33" s="287"/>
      <c r="CL33" s="287"/>
      <c r="CM33" s="287"/>
      <c r="CN33" s="287"/>
      <c r="CO33" s="287"/>
      <c r="CP33" s="287"/>
      <c r="CQ33" s="287"/>
      <c r="CR33" s="287"/>
      <c r="CS33" s="287"/>
      <c r="CT33" s="287"/>
      <c r="CU33" s="287"/>
      <c r="CV33" s="287"/>
      <c r="CW33" s="287"/>
      <c r="CX33" s="287"/>
      <c r="CY33" s="287"/>
      <c r="CZ33" s="287"/>
      <c r="DA33" s="287"/>
      <c r="DB33" s="287"/>
      <c r="DC33" s="287"/>
      <c r="DD33" s="287"/>
      <c r="DE33" s="287"/>
      <c r="DF33" s="287"/>
      <c r="DG33" s="287"/>
      <c r="DH33" s="287"/>
      <c r="DI33" s="288"/>
      <c r="DJ33" s="290"/>
      <c r="DK33" s="290"/>
      <c r="DL33" s="288"/>
      <c r="DM33" s="290"/>
      <c r="DN33" s="287">
        <v>0</v>
      </c>
      <c r="DO33" s="291"/>
      <c r="DP33" s="291"/>
      <c r="DQ33" s="291"/>
      <c r="DR33" s="291"/>
      <c r="DS33" s="291"/>
      <c r="DT33" s="291"/>
      <c r="DU33" s="291"/>
      <c r="DV33" s="291"/>
      <c r="DW33" s="291"/>
      <c r="DX33" s="291"/>
      <c r="DY33" s="291"/>
      <c r="DZ33" s="291"/>
      <c r="EA33" s="291"/>
      <c r="EB33" s="291"/>
      <c r="EC33" s="291"/>
      <c r="ED33" s="291"/>
      <c r="EE33" s="291"/>
      <c r="EF33" s="291"/>
      <c r="EG33" s="291"/>
      <c r="EH33" s="291"/>
      <c r="EI33" s="291"/>
      <c r="EJ33" s="291"/>
      <c r="EK33" s="291"/>
      <c r="EL33" s="291"/>
      <c r="EM33" s="281">
        <f t="shared" ref="EM33:EM36" si="149">EI33+EG33+EE33+EC33+EA33+DY33+DW33+DU33+DS33+DQ33+DO33+EK33</f>
        <v>0</v>
      </c>
      <c r="EN33" s="292">
        <f t="shared" si="142"/>
        <v>0</v>
      </c>
      <c r="EO33" s="292">
        <f t="shared" si="143"/>
        <v>0</v>
      </c>
      <c r="EP33" s="288">
        <f t="shared" ref="EP33:EP34" si="150">DQ33+DS33+DU33+DW33+DY33+EA33+EC33+EE33+EG33+EI33+EK33</f>
        <v>0</v>
      </c>
      <c r="EQ33" s="292">
        <f t="shared" si="145"/>
        <v>0</v>
      </c>
      <c r="ER33" s="285" t="e">
        <f t="shared" si="147"/>
        <v>#DIV/0!</v>
      </c>
      <c r="ES33" s="285">
        <f t="shared" si="16"/>
        <v>1.933560470105167</v>
      </c>
      <c r="ET33" s="286">
        <f t="shared" si="17"/>
        <v>1.933560470105167</v>
      </c>
      <c r="EU33" s="286">
        <f t="shared" si="18"/>
        <v>1.933560470105167</v>
      </c>
      <c r="EV33" s="286" t="e">
        <f t="shared" si="19"/>
        <v>#DIV/0!</v>
      </c>
      <c r="EW33" s="463"/>
      <c r="EX33" s="425"/>
      <c r="EY33" s="425"/>
      <c r="EZ33" s="425"/>
      <c r="FA33" s="465"/>
      <c r="FB33" s="429"/>
    </row>
    <row r="34" spans="1:158" s="4" customFormat="1" ht="29.25" customHeight="1" x14ac:dyDescent="0.25">
      <c r="A34" s="425"/>
      <c r="B34" s="425"/>
      <c r="C34" s="425"/>
      <c r="D34" s="425"/>
      <c r="E34" s="425"/>
      <c r="F34" s="128" t="s">
        <v>42</v>
      </c>
      <c r="G34" s="334">
        <f>+AA34+BD34+BF34+CJ34+DN34</f>
        <v>0</v>
      </c>
      <c r="H34" s="288">
        <v>0</v>
      </c>
      <c r="I34" s="282"/>
      <c r="J34" s="282"/>
      <c r="K34" s="282"/>
      <c r="L34" s="282"/>
      <c r="M34" s="282"/>
      <c r="N34" s="282"/>
      <c r="O34" s="282"/>
      <c r="P34" s="282"/>
      <c r="Q34" s="282"/>
      <c r="R34" s="282"/>
      <c r="S34" s="282"/>
      <c r="T34" s="335"/>
      <c r="U34" s="282"/>
      <c r="V34" s="282"/>
      <c r="W34" s="288">
        <v>0</v>
      </c>
      <c r="X34" s="288">
        <v>0</v>
      </c>
      <c r="Y34" s="288">
        <v>0</v>
      </c>
      <c r="Z34" s="288">
        <v>0</v>
      </c>
      <c r="AA34" s="288">
        <v>0</v>
      </c>
      <c r="AB34" s="282">
        <v>0</v>
      </c>
      <c r="AC34" s="282">
        <v>0</v>
      </c>
      <c r="AD34" s="282">
        <v>0</v>
      </c>
      <c r="AE34" s="282">
        <v>0</v>
      </c>
      <c r="AF34" s="282">
        <v>0</v>
      </c>
      <c r="AG34" s="282">
        <v>0</v>
      </c>
      <c r="AH34" s="282">
        <v>0</v>
      </c>
      <c r="AI34" s="282">
        <v>0</v>
      </c>
      <c r="AJ34" s="282">
        <v>0</v>
      </c>
      <c r="AK34" s="282">
        <v>0</v>
      </c>
      <c r="AL34" s="282">
        <v>0</v>
      </c>
      <c r="AM34" s="282">
        <v>0</v>
      </c>
      <c r="AN34" s="282">
        <v>0</v>
      </c>
      <c r="AO34" s="282">
        <v>0</v>
      </c>
      <c r="AP34" s="282">
        <v>0</v>
      </c>
      <c r="AQ34" s="282">
        <v>0</v>
      </c>
      <c r="AR34" s="282">
        <v>0</v>
      </c>
      <c r="AS34" s="282">
        <v>0</v>
      </c>
      <c r="AT34" s="282">
        <v>0</v>
      </c>
      <c r="AU34" s="282">
        <v>0</v>
      </c>
      <c r="AV34" s="282">
        <v>0</v>
      </c>
      <c r="AW34" s="282">
        <v>0</v>
      </c>
      <c r="AX34" s="282">
        <v>0</v>
      </c>
      <c r="AY34" s="282">
        <v>0</v>
      </c>
      <c r="AZ34" s="335"/>
      <c r="BA34" s="334">
        <f>AY34+AW34+AU34+AS34+AQ34+AO34+AM34+AK34+AI34+AG34+AE34+AC34</f>
        <v>0</v>
      </c>
      <c r="BB34" s="334">
        <f>AC34+AE34+AG34+AI34+AK34+AM34+AO34+AQ34+AS34</f>
        <v>0</v>
      </c>
      <c r="BC34" s="334">
        <f t="shared" si="146"/>
        <v>0</v>
      </c>
      <c r="BD34" s="336">
        <f t="shared" si="148"/>
        <v>0</v>
      </c>
      <c r="BE34" s="336">
        <f>AD34+AF34+AH34+AJ34+AL34+AN34+AP34+AR34+AT34+AV34+AX34+AZ34</f>
        <v>0</v>
      </c>
      <c r="BF34" s="282">
        <v>0</v>
      </c>
      <c r="BG34" s="282">
        <v>0</v>
      </c>
      <c r="BH34" s="282">
        <v>0</v>
      </c>
      <c r="BI34" s="282"/>
      <c r="BJ34" s="282"/>
      <c r="BK34" s="335"/>
      <c r="BL34" s="282"/>
      <c r="BM34" s="335"/>
      <c r="BN34" s="335"/>
      <c r="BO34" s="282"/>
      <c r="BP34" s="282"/>
      <c r="BQ34" s="282"/>
      <c r="BR34" s="282"/>
      <c r="BS34" s="282"/>
      <c r="BT34" s="282"/>
      <c r="BU34" s="282"/>
      <c r="BV34" s="282"/>
      <c r="BW34" s="282"/>
      <c r="BX34" s="282"/>
      <c r="BY34" s="282"/>
      <c r="BZ34" s="282"/>
      <c r="CA34" s="282"/>
      <c r="CB34" s="282"/>
      <c r="CC34" s="282"/>
      <c r="CD34" s="282"/>
      <c r="CE34" s="335">
        <v>0</v>
      </c>
      <c r="CF34" s="282">
        <v>0</v>
      </c>
      <c r="CG34" s="335">
        <v>0</v>
      </c>
      <c r="CH34" s="336">
        <v>0</v>
      </c>
      <c r="CI34" s="282">
        <v>0</v>
      </c>
      <c r="CJ34" s="282">
        <v>0</v>
      </c>
      <c r="CK34" s="282"/>
      <c r="CL34" s="282"/>
      <c r="CM34" s="282"/>
      <c r="CN34" s="282"/>
      <c r="CO34" s="282"/>
      <c r="CP34" s="282"/>
      <c r="CQ34" s="282"/>
      <c r="CR34" s="282"/>
      <c r="CS34" s="282"/>
      <c r="CT34" s="282"/>
      <c r="CU34" s="282"/>
      <c r="CV34" s="282"/>
      <c r="CW34" s="282"/>
      <c r="CX34" s="282"/>
      <c r="CY34" s="282"/>
      <c r="CZ34" s="282"/>
      <c r="DA34" s="282"/>
      <c r="DB34" s="282"/>
      <c r="DC34" s="282"/>
      <c r="DD34" s="282"/>
      <c r="DE34" s="282"/>
      <c r="DF34" s="282"/>
      <c r="DG34" s="282"/>
      <c r="DH34" s="282"/>
      <c r="DI34" s="335">
        <v>0</v>
      </c>
      <c r="DJ34" s="282">
        <v>0</v>
      </c>
      <c r="DK34" s="335">
        <v>0</v>
      </c>
      <c r="DL34" s="336">
        <v>0</v>
      </c>
      <c r="DM34" s="282">
        <v>0</v>
      </c>
      <c r="DN34" s="282">
        <v>0</v>
      </c>
      <c r="DO34" s="295"/>
      <c r="DP34" s="295"/>
      <c r="DQ34" s="295"/>
      <c r="DR34" s="295"/>
      <c r="DS34" s="295"/>
      <c r="DT34" s="295"/>
      <c r="DU34" s="295"/>
      <c r="DV34" s="295"/>
      <c r="DW34" s="295"/>
      <c r="DX34" s="295"/>
      <c r="DY34" s="295"/>
      <c r="DZ34" s="295"/>
      <c r="EA34" s="295"/>
      <c r="EB34" s="295"/>
      <c r="EC34" s="295"/>
      <c r="ED34" s="295"/>
      <c r="EE34" s="295"/>
      <c r="EF34" s="295"/>
      <c r="EG34" s="295"/>
      <c r="EH34" s="295"/>
      <c r="EI34" s="295"/>
      <c r="EJ34" s="295"/>
      <c r="EK34" s="295"/>
      <c r="EL34" s="295"/>
      <c r="EM34" s="282">
        <f t="shared" si="149"/>
        <v>0</v>
      </c>
      <c r="EN34" s="296">
        <f t="shared" si="142"/>
        <v>0</v>
      </c>
      <c r="EO34" s="297">
        <f t="shared" si="143"/>
        <v>0</v>
      </c>
      <c r="EP34" s="284">
        <f t="shared" si="150"/>
        <v>0</v>
      </c>
      <c r="EQ34" s="282">
        <f t="shared" si="145"/>
        <v>0</v>
      </c>
      <c r="ER34" s="285" t="e">
        <f t="shared" si="147"/>
        <v>#DIV/0!</v>
      </c>
      <c r="ES34" s="285" t="e">
        <f t="shared" si="16"/>
        <v>#DIV/0!</v>
      </c>
      <c r="ET34" s="286" t="e">
        <f t="shared" si="17"/>
        <v>#DIV/0!</v>
      </c>
      <c r="EU34" s="286" t="e">
        <f t="shared" si="18"/>
        <v>#DIV/0!</v>
      </c>
      <c r="EV34" s="286" t="e">
        <f t="shared" si="19"/>
        <v>#DIV/0!</v>
      </c>
      <c r="EW34" s="463"/>
      <c r="EX34" s="425"/>
      <c r="EY34" s="425"/>
      <c r="EZ34" s="425"/>
      <c r="FA34" s="465"/>
      <c r="FB34" s="429"/>
    </row>
    <row r="35" spans="1:158" s="4" customFormat="1" ht="29.25" customHeight="1" x14ac:dyDescent="0.25">
      <c r="A35" s="425"/>
      <c r="B35" s="425"/>
      <c r="C35" s="425"/>
      <c r="D35" s="425"/>
      <c r="E35" s="425"/>
      <c r="F35" s="126" t="s">
        <v>4</v>
      </c>
      <c r="G35" s="287">
        <f>+AA35+BD35+BF35+CJ35+DN35</f>
        <v>131226434</v>
      </c>
      <c r="H35" s="287">
        <v>200998268</v>
      </c>
      <c r="I35" s="287">
        <v>0</v>
      </c>
      <c r="J35" s="287">
        <v>0</v>
      </c>
      <c r="K35" s="287">
        <v>0</v>
      </c>
      <c r="L35" s="287">
        <v>0</v>
      </c>
      <c r="M35" s="287">
        <v>0</v>
      </c>
      <c r="N35" s="287">
        <v>0</v>
      </c>
      <c r="O35" s="287">
        <v>0</v>
      </c>
      <c r="P35" s="287">
        <v>0</v>
      </c>
      <c r="Q35" s="287">
        <v>0</v>
      </c>
      <c r="R35" s="287">
        <v>0</v>
      </c>
      <c r="S35" s="287">
        <v>0</v>
      </c>
      <c r="T35" s="332">
        <v>0</v>
      </c>
      <c r="U35" s="289">
        <v>0</v>
      </c>
      <c r="V35" s="289">
        <v>0</v>
      </c>
      <c r="W35" s="287">
        <v>200998268</v>
      </c>
      <c r="X35" s="287">
        <v>200998268</v>
      </c>
      <c r="Y35" s="288">
        <v>0</v>
      </c>
      <c r="Z35" s="287">
        <v>200998268</v>
      </c>
      <c r="AA35" s="288">
        <v>0</v>
      </c>
      <c r="AB35" s="289">
        <v>131226434</v>
      </c>
      <c r="AC35" s="289">
        <v>69771834</v>
      </c>
      <c r="AD35" s="289">
        <v>69771834</v>
      </c>
      <c r="AE35" s="289">
        <v>42432466</v>
      </c>
      <c r="AF35" s="289">
        <f>112204300-AD35</f>
        <v>42432466</v>
      </c>
      <c r="AG35" s="289">
        <v>19022134</v>
      </c>
      <c r="AH35" s="289">
        <f>131226434-AF35-AD35</f>
        <v>19022134</v>
      </c>
      <c r="AI35" s="289">
        <v>0</v>
      </c>
      <c r="AJ35" s="289">
        <f>131226434-AH35-AF35-AD35</f>
        <v>0</v>
      </c>
      <c r="AK35" s="287">
        <v>0</v>
      </c>
      <c r="AL35" s="287">
        <f>131226434-AJ35-AH35-AF35-AD35</f>
        <v>0</v>
      </c>
      <c r="AM35" s="287">
        <v>0</v>
      </c>
      <c r="AN35" s="287">
        <v>0</v>
      </c>
      <c r="AO35" s="287">
        <v>0</v>
      </c>
      <c r="AP35" s="287">
        <v>0</v>
      </c>
      <c r="AQ35" s="287">
        <v>0</v>
      </c>
      <c r="AR35" s="287">
        <v>0</v>
      </c>
      <c r="AS35" s="287">
        <v>0</v>
      </c>
      <c r="AT35" s="287">
        <v>0</v>
      </c>
      <c r="AU35" s="287">
        <v>0</v>
      </c>
      <c r="AV35" s="287"/>
      <c r="AW35" s="287">
        <v>0</v>
      </c>
      <c r="AX35" s="287"/>
      <c r="AY35" s="287">
        <v>0</v>
      </c>
      <c r="AZ35" s="333"/>
      <c r="BA35" s="288">
        <f>AY35+AW35+AU35+AS35+AQ35+AO35+AM35+AK35+AI35+AG35+AE35+AC35</f>
        <v>131226434</v>
      </c>
      <c r="BB35" s="288">
        <f>AC35+AE35+AG35+AI35+AK35+AM35+AO35+AQ35+AS35</f>
        <v>131226434</v>
      </c>
      <c r="BC35" s="288">
        <f t="shared" si="146"/>
        <v>131226434</v>
      </c>
      <c r="BD35" s="288">
        <f t="shared" si="148"/>
        <v>131226434</v>
      </c>
      <c r="BE35" s="288">
        <f>AD35+AF35+AH35+AJ35+AL35+AN35+AP35+AR35+AT35+AV35+AX35+AZ35</f>
        <v>131226434</v>
      </c>
      <c r="BF35" s="287">
        <v>0</v>
      </c>
      <c r="BG35" s="333">
        <v>0</v>
      </c>
      <c r="BH35" s="287">
        <v>0</v>
      </c>
      <c r="BI35" s="287"/>
      <c r="BJ35" s="287"/>
      <c r="BK35" s="287"/>
      <c r="BL35" s="287"/>
      <c r="BM35" s="287"/>
      <c r="BN35" s="287"/>
      <c r="BO35" s="287"/>
      <c r="BP35" s="287"/>
      <c r="BQ35" s="287"/>
      <c r="BR35" s="287"/>
      <c r="BS35" s="287"/>
      <c r="BT35" s="287"/>
      <c r="BU35" s="287"/>
      <c r="BV35" s="287"/>
      <c r="BW35" s="287"/>
      <c r="BX35" s="287"/>
      <c r="BY35" s="287"/>
      <c r="BZ35" s="287"/>
      <c r="CA35" s="287"/>
      <c r="CB35" s="287"/>
      <c r="CC35" s="287"/>
      <c r="CD35" s="287"/>
      <c r="CE35" s="288">
        <v>0</v>
      </c>
      <c r="CF35" s="290">
        <v>0</v>
      </c>
      <c r="CG35" s="290">
        <v>0</v>
      </c>
      <c r="CH35" s="288">
        <v>0</v>
      </c>
      <c r="CI35" s="290">
        <v>0</v>
      </c>
      <c r="CJ35" s="287">
        <v>0</v>
      </c>
      <c r="CK35" s="287"/>
      <c r="CL35" s="287"/>
      <c r="CM35" s="287"/>
      <c r="CN35" s="287"/>
      <c r="CO35" s="287"/>
      <c r="CP35" s="287"/>
      <c r="CQ35" s="287"/>
      <c r="CR35" s="287"/>
      <c r="CS35" s="287"/>
      <c r="CT35" s="287"/>
      <c r="CU35" s="287"/>
      <c r="CV35" s="287"/>
      <c r="CW35" s="287"/>
      <c r="CX35" s="287"/>
      <c r="CY35" s="287"/>
      <c r="CZ35" s="287"/>
      <c r="DA35" s="287"/>
      <c r="DB35" s="287"/>
      <c r="DC35" s="287"/>
      <c r="DD35" s="287"/>
      <c r="DE35" s="287"/>
      <c r="DF35" s="287"/>
      <c r="DG35" s="287"/>
      <c r="DH35" s="287"/>
      <c r="DI35" s="288">
        <v>0</v>
      </c>
      <c r="DJ35" s="290">
        <v>0</v>
      </c>
      <c r="DK35" s="290">
        <v>0</v>
      </c>
      <c r="DL35" s="288">
        <v>0</v>
      </c>
      <c r="DM35" s="290">
        <v>0</v>
      </c>
      <c r="DN35" s="287">
        <v>0</v>
      </c>
      <c r="DO35" s="298"/>
      <c r="DP35" s="298"/>
      <c r="DQ35" s="298"/>
      <c r="DR35" s="298"/>
      <c r="DS35" s="298"/>
      <c r="DT35" s="298"/>
      <c r="DU35" s="298"/>
      <c r="DV35" s="298"/>
      <c r="DW35" s="298"/>
      <c r="DX35" s="298"/>
      <c r="DY35" s="298"/>
      <c r="DZ35" s="298"/>
      <c r="EA35" s="298"/>
      <c r="EB35" s="298"/>
      <c r="EC35" s="298"/>
      <c r="ED35" s="298"/>
      <c r="EE35" s="298"/>
      <c r="EF35" s="298"/>
      <c r="EG35" s="298"/>
      <c r="EH35" s="298"/>
      <c r="EI35" s="298"/>
      <c r="EJ35" s="298"/>
      <c r="EK35" s="298"/>
      <c r="EL35" s="298"/>
      <c r="EM35" s="282">
        <f t="shared" si="149"/>
        <v>0</v>
      </c>
      <c r="EN35" s="292">
        <f t="shared" si="142"/>
        <v>0</v>
      </c>
      <c r="EO35" s="292">
        <f t="shared" si="143"/>
        <v>0</v>
      </c>
      <c r="EP35" s="288">
        <f t="shared" ref="EP35:EP36" si="151">DQ35+DS35+DU35+DW35+DY35+EA35+EC35+EE35+EG35+EI35+EK35+DO35</f>
        <v>0</v>
      </c>
      <c r="EQ35" s="292">
        <f t="shared" si="145"/>
        <v>0</v>
      </c>
      <c r="ER35" s="285" t="e">
        <f t="shared" si="147"/>
        <v>#DIV/0!</v>
      </c>
      <c r="ES35" s="285">
        <f t="shared" si="16"/>
        <v>1</v>
      </c>
      <c r="ET35" s="286">
        <f t="shared" si="17"/>
        <v>1</v>
      </c>
      <c r="EU35" s="286">
        <f t="shared" si="18"/>
        <v>0.39499300687159622</v>
      </c>
      <c r="EV35" s="286">
        <f t="shared" si="19"/>
        <v>1</v>
      </c>
      <c r="EW35" s="463"/>
      <c r="EX35" s="425"/>
      <c r="EY35" s="425"/>
      <c r="EZ35" s="425"/>
      <c r="FA35" s="465"/>
      <c r="FB35" s="429"/>
    </row>
    <row r="36" spans="1:158" s="4" customFormat="1" ht="29.25" customHeight="1" thickBot="1" x14ac:dyDescent="0.3">
      <c r="A36" s="425"/>
      <c r="B36" s="425"/>
      <c r="C36" s="425"/>
      <c r="D36" s="425"/>
      <c r="E36" s="425"/>
      <c r="F36" s="128" t="s">
        <v>43</v>
      </c>
      <c r="G36" s="337">
        <f>+G31+G34</f>
        <v>4700</v>
      </c>
      <c r="H36" s="337">
        <f t="shared" ref="H36:AA36" si="152">+H31+H34</f>
        <v>491</v>
      </c>
      <c r="I36" s="337">
        <f t="shared" si="152"/>
        <v>0</v>
      </c>
      <c r="J36" s="337">
        <f t="shared" si="152"/>
        <v>0</v>
      </c>
      <c r="K36" s="337">
        <f t="shared" si="152"/>
        <v>0</v>
      </c>
      <c r="L36" s="337">
        <f t="shared" si="152"/>
        <v>0</v>
      </c>
      <c r="M36" s="337">
        <f t="shared" si="152"/>
        <v>0</v>
      </c>
      <c r="N36" s="337">
        <f t="shared" si="152"/>
        <v>0</v>
      </c>
      <c r="O36" s="337">
        <f t="shared" si="152"/>
        <v>0</v>
      </c>
      <c r="P36" s="337">
        <f t="shared" si="152"/>
        <v>0</v>
      </c>
      <c r="Q36" s="337">
        <f t="shared" si="152"/>
        <v>0</v>
      </c>
      <c r="R36" s="337">
        <f t="shared" si="152"/>
        <v>0</v>
      </c>
      <c r="S36" s="337">
        <f t="shared" si="152"/>
        <v>0</v>
      </c>
      <c r="T36" s="337">
        <f t="shared" si="152"/>
        <v>0</v>
      </c>
      <c r="U36" s="337">
        <f t="shared" si="152"/>
        <v>0</v>
      </c>
      <c r="V36" s="337">
        <f t="shared" si="152"/>
        <v>0</v>
      </c>
      <c r="W36" s="337">
        <f t="shared" si="152"/>
        <v>491</v>
      </c>
      <c r="X36" s="337">
        <f t="shared" si="152"/>
        <v>491</v>
      </c>
      <c r="Y36" s="337">
        <f t="shared" si="152"/>
        <v>491</v>
      </c>
      <c r="Z36" s="337">
        <f t="shared" si="152"/>
        <v>491</v>
      </c>
      <c r="AA36" s="337">
        <f t="shared" si="152"/>
        <v>491</v>
      </c>
      <c r="AB36" s="302">
        <f t="shared" ref="AB36:AY36" si="153">+AB31+AB34</f>
        <v>893</v>
      </c>
      <c r="AC36" s="337">
        <f t="shared" si="153"/>
        <v>15</v>
      </c>
      <c r="AD36" s="337">
        <f t="shared" si="153"/>
        <v>36</v>
      </c>
      <c r="AE36" s="337">
        <f t="shared" si="153"/>
        <v>18</v>
      </c>
      <c r="AF36" s="337">
        <f t="shared" si="153"/>
        <v>16</v>
      </c>
      <c r="AG36" s="337">
        <f t="shared" si="153"/>
        <v>90</v>
      </c>
      <c r="AH36" s="337">
        <f t="shared" si="153"/>
        <v>104</v>
      </c>
      <c r="AI36" s="337">
        <f t="shared" si="153"/>
        <v>97</v>
      </c>
      <c r="AJ36" s="337">
        <f t="shared" si="153"/>
        <v>116</v>
      </c>
      <c r="AK36" s="337">
        <f t="shared" si="153"/>
        <v>97</v>
      </c>
      <c r="AL36" s="337">
        <f>+AL31+AL34</f>
        <v>76</v>
      </c>
      <c r="AM36" s="337">
        <f t="shared" si="153"/>
        <v>97</v>
      </c>
      <c r="AN36" s="337">
        <f t="shared" ref="AN36" si="154">+AN31+AN34</f>
        <v>115</v>
      </c>
      <c r="AO36" s="337">
        <f t="shared" si="153"/>
        <v>97</v>
      </c>
      <c r="AP36" s="337">
        <f t="shared" si="153"/>
        <v>96</v>
      </c>
      <c r="AQ36" s="337">
        <f t="shared" si="153"/>
        <v>97</v>
      </c>
      <c r="AR36" s="337">
        <f t="shared" si="153"/>
        <v>102</v>
      </c>
      <c r="AS36" s="337">
        <f t="shared" si="153"/>
        <v>97</v>
      </c>
      <c r="AT36" s="337">
        <f t="shared" si="153"/>
        <v>96</v>
      </c>
      <c r="AU36" s="337">
        <f t="shared" si="153"/>
        <v>97</v>
      </c>
      <c r="AV36" s="337">
        <f t="shared" si="153"/>
        <v>0</v>
      </c>
      <c r="AW36" s="337">
        <f t="shared" si="153"/>
        <v>91</v>
      </c>
      <c r="AX36" s="337">
        <f t="shared" si="153"/>
        <v>0</v>
      </c>
      <c r="AY36" s="337">
        <f t="shared" si="153"/>
        <v>0</v>
      </c>
      <c r="AZ36" s="338"/>
      <c r="BA36" s="337">
        <f t="shared" ref="BA36:BE36" si="155">+BA31+BA34</f>
        <v>893</v>
      </c>
      <c r="BB36" s="302">
        <f t="shared" si="155"/>
        <v>705</v>
      </c>
      <c r="BC36" s="338">
        <f t="shared" si="155"/>
        <v>757</v>
      </c>
      <c r="BD36" s="339">
        <f t="shared" si="155"/>
        <v>893</v>
      </c>
      <c r="BE36" s="302">
        <f t="shared" si="155"/>
        <v>757</v>
      </c>
      <c r="BF36" s="302">
        <f t="shared" ref="BF36" si="156">+BF31+BF34</f>
        <v>1272</v>
      </c>
      <c r="BG36" s="302">
        <v>8</v>
      </c>
      <c r="BH36" s="302">
        <v>4</v>
      </c>
      <c r="BI36" s="302"/>
      <c r="BJ36" s="302"/>
      <c r="BK36" s="338"/>
      <c r="BL36" s="302"/>
      <c r="BM36" s="338"/>
      <c r="BN36" s="338"/>
      <c r="BO36" s="302"/>
      <c r="BP36" s="302"/>
      <c r="BQ36" s="302"/>
      <c r="BR36" s="302"/>
      <c r="BS36" s="302"/>
      <c r="BT36" s="302"/>
      <c r="BU36" s="302"/>
      <c r="BV36" s="302"/>
      <c r="BW36" s="302"/>
      <c r="BX36" s="302"/>
      <c r="BY36" s="302"/>
      <c r="BZ36" s="302"/>
      <c r="CA36" s="302"/>
      <c r="CB36" s="302"/>
      <c r="CC36" s="302"/>
      <c r="CD36" s="302"/>
      <c r="CE36" s="338">
        <v>0</v>
      </c>
      <c r="CF36" s="302">
        <v>0</v>
      </c>
      <c r="CG36" s="338">
        <v>4</v>
      </c>
      <c r="CH36" s="339">
        <v>0</v>
      </c>
      <c r="CI36" s="302">
        <v>4</v>
      </c>
      <c r="CJ36" s="302">
        <f t="shared" ref="CJ36" si="157">+CJ31+CJ34</f>
        <v>1589</v>
      </c>
      <c r="CK36" s="302"/>
      <c r="CL36" s="302"/>
      <c r="CM36" s="302"/>
      <c r="CN36" s="302"/>
      <c r="CO36" s="302"/>
      <c r="CP36" s="302"/>
      <c r="CQ36" s="302"/>
      <c r="CR36" s="302"/>
      <c r="CS36" s="302"/>
      <c r="CT36" s="302"/>
      <c r="CU36" s="302"/>
      <c r="CV36" s="302"/>
      <c r="CW36" s="302"/>
      <c r="CX36" s="302"/>
      <c r="CY36" s="302"/>
      <c r="CZ36" s="302"/>
      <c r="DA36" s="302"/>
      <c r="DB36" s="302"/>
      <c r="DC36" s="302"/>
      <c r="DD36" s="302"/>
      <c r="DE36" s="302"/>
      <c r="DF36" s="302"/>
      <c r="DG36" s="302"/>
      <c r="DH36" s="302"/>
      <c r="DI36" s="338">
        <v>0</v>
      </c>
      <c r="DJ36" s="302">
        <v>0</v>
      </c>
      <c r="DK36" s="338">
        <v>0</v>
      </c>
      <c r="DL36" s="339">
        <v>0</v>
      </c>
      <c r="DM36" s="302">
        <v>0</v>
      </c>
      <c r="DN36" s="302">
        <f t="shared" ref="DN36" si="158">+DN31+DN34</f>
        <v>455</v>
      </c>
      <c r="DO36" s="340"/>
      <c r="DP36" s="340"/>
      <c r="DQ36" s="340"/>
      <c r="DR36" s="340"/>
      <c r="DS36" s="340"/>
      <c r="DT36" s="340"/>
      <c r="DU36" s="340"/>
      <c r="DV36" s="340"/>
      <c r="DW36" s="340"/>
      <c r="DX36" s="340"/>
      <c r="DY36" s="340"/>
      <c r="DZ36" s="340"/>
      <c r="EA36" s="340"/>
      <c r="EB36" s="340"/>
      <c r="EC36" s="340"/>
      <c r="ED36" s="340"/>
      <c r="EE36" s="340"/>
      <c r="EF36" s="340"/>
      <c r="EG36" s="340"/>
      <c r="EH36" s="340"/>
      <c r="EI36" s="340"/>
      <c r="EJ36" s="340"/>
      <c r="EK36" s="340"/>
      <c r="EL36" s="340"/>
      <c r="EM36" s="302">
        <f t="shared" si="149"/>
        <v>0</v>
      </c>
      <c r="EN36" s="306">
        <f t="shared" si="142"/>
        <v>0</v>
      </c>
      <c r="EO36" s="306">
        <f t="shared" si="143"/>
        <v>0</v>
      </c>
      <c r="EP36" s="304">
        <f t="shared" si="151"/>
        <v>0</v>
      </c>
      <c r="EQ36" s="306">
        <f t="shared" ref="EQ36" si="159">DR36+DT36+DV36+DP36</f>
        <v>0</v>
      </c>
      <c r="ER36" s="307">
        <f t="shared" si="147"/>
        <v>0.98969072164948457</v>
      </c>
      <c r="ES36" s="307">
        <f t="shared" si="16"/>
        <v>1.0737588652482271</v>
      </c>
      <c r="ET36" s="308">
        <f t="shared" si="17"/>
        <v>0.84770436730123178</v>
      </c>
      <c r="EU36" s="308">
        <f t="shared" si="18"/>
        <v>1.0434782608695652</v>
      </c>
      <c r="EV36" s="308">
        <f t="shared" si="19"/>
        <v>0.26553191489361699</v>
      </c>
      <c r="EW36" s="463"/>
      <c r="EX36" s="425"/>
      <c r="EY36" s="425"/>
      <c r="EZ36" s="425"/>
      <c r="FA36" s="465"/>
      <c r="FB36" s="429"/>
    </row>
    <row r="37" spans="1:158" s="34" customFormat="1" ht="29.25" customHeight="1" thickBot="1" x14ac:dyDescent="0.3">
      <c r="A37" s="425"/>
      <c r="B37" s="425"/>
      <c r="C37" s="425"/>
      <c r="D37" s="425"/>
      <c r="E37" s="425"/>
      <c r="F37" s="277" t="s">
        <v>45</v>
      </c>
      <c r="G37" s="309">
        <f>+G32+G35</f>
        <v>6593660565.000001</v>
      </c>
      <c r="H37" s="310">
        <f t="shared" ref="H37:AA37" si="160">+H32+H35</f>
        <v>822052399</v>
      </c>
      <c r="I37" s="310">
        <f t="shared" si="160"/>
        <v>0</v>
      </c>
      <c r="J37" s="310">
        <f t="shared" si="160"/>
        <v>0</v>
      </c>
      <c r="K37" s="310">
        <f t="shared" si="160"/>
        <v>0</v>
      </c>
      <c r="L37" s="310">
        <f t="shared" si="160"/>
        <v>0</v>
      </c>
      <c r="M37" s="310">
        <f t="shared" si="160"/>
        <v>0</v>
      </c>
      <c r="N37" s="310">
        <f t="shared" si="160"/>
        <v>0</v>
      </c>
      <c r="O37" s="310">
        <f t="shared" si="160"/>
        <v>0</v>
      </c>
      <c r="P37" s="310">
        <f t="shared" si="160"/>
        <v>0</v>
      </c>
      <c r="Q37" s="310">
        <f t="shared" si="160"/>
        <v>0</v>
      </c>
      <c r="R37" s="310">
        <f t="shared" si="160"/>
        <v>0</v>
      </c>
      <c r="S37" s="310">
        <f t="shared" si="160"/>
        <v>0</v>
      </c>
      <c r="T37" s="310">
        <f t="shared" si="160"/>
        <v>0</v>
      </c>
      <c r="U37" s="310">
        <f t="shared" si="160"/>
        <v>0</v>
      </c>
      <c r="V37" s="310">
        <f t="shared" si="160"/>
        <v>0</v>
      </c>
      <c r="W37" s="310">
        <f t="shared" si="160"/>
        <v>822052399</v>
      </c>
      <c r="X37" s="310">
        <f t="shared" si="160"/>
        <v>822052399</v>
      </c>
      <c r="Y37" s="310">
        <f t="shared" si="160"/>
        <v>535986131</v>
      </c>
      <c r="Z37" s="310">
        <f t="shared" si="160"/>
        <v>757052399</v>
      </c>
      <c r="AA37" s="310">
        <f t="shared" si="160"/>
        <v>535986131</v>
      </c>
      <c r="AB37" s="342">
        <f t="shared" ref="AB37:AY37" si="161">+AB32+AB35</f>
        <v>1611707434</v>
      </c>
      <c r="AC37" s="310">
        <f t="shared" si="161"/>
        <v>69771834</v>
      </c>
      <c r="AD37" s="310">
        <f t="shared" si="161"/>
        <v>69771834</v>
      </c>
      <c r="AE37" s="310">
        <f t="shared" si="161"/>
        <v>782719466</v>
      </c>
      <c r="AF37" s="310">
        <f t="shared" si="161"/>
        <v>782719466</v>
      </c>
      <c r="AG37" s="310">
        <f t="shared" si="161"/>
        <v>280310134</v>
      </c>
      <c r="AH37" s="310">
        <f t="shared" si="161"/>
        <v>280310134</v>
      </c>
      <c r="AI37" s="310">
        <f t="shared" si="161"/>
        <v>0</v>
      </c>
      <c r="AJ37" s="310">
        <f t="shared" si="161"/>
        <v>0</v>
      </c>
      <c r="AK37" s="310">
        <f t="shared" si="161"/>
        <v>0</v>
      </c>
      <c r="AL37" s="310">
        <f>+AL32+AL35</f>
        <v>0</v>
      </c>
      <c r="AM37" s="310">
        <f t="shared" si="161"/>
        <v>150666666.66666666</v>
      </c>
      <c r="AN37" s="310">
        <f t="shared" ref="AN37" si="162">+AN32+AN35</f>
        <v>150000000</v>
      </c>
      <c r="AO37" s="310">
        <f t="shared" si="161"/>
        <v>0</v>
      </c>
      <c r="AP37" s="310">
        <f t="shared" si="161"/>
        <v>0</v>
      </c>
      <c r="AQ37" s="310">
        <f t="shared" si="161"/>
        <v>156047866.66666701</v>
      </c>
      <c r="AR37" s="310">
        <f t="shared" si="161"/>
        <v>0</v>
      </c>
      <c r="AS37" s="310">
        <f t="shared" si="161"/>
        <v>263047866.66666701</v>
      </c>
      <c r="AT37" s="310">
        <f t="shared" si="161"/>
        <v>0</v>
      </c>
      <c r="AU37" s="310">
        <f t="shared" si="161"/>
        <v>5381200</v>
      </c>
      <c r="AV37" s="310">
        <f t="shared" si="161"/>
        <v>0</v>
      </c>
      <c r="AW37" s="310">
        <f t="shared" si="161"/>
        <v>5381200</v>
      </c>
      <c r="AX37" s="310">
        <f t="shared" si="161"/>
        <v>0</v>
      </c>
      <c r="AY37" s="310">
        <f t="shared" si="161"/>
        <v>5381200</v>
      </c>
      <c r="AZ37" s="343"/>
      <c r="BA37" s="311">
        <f t="shared" ref="BA37:BE37" si="163">+BA32+BA35</f>
        <v>1718707434.0000005</v>
      </c>
      <c r="BB37" s="312">
        <f t="shared" si="163"/>
        <v>1702563834.0000007</v>
      </c>
      <c r="BC37" s="312">
        <f t="shared" si="163"/>
        <v>1282801434</v>
      </c>
      <c r="BD37" s="311">
        <f t="shared" si="163"/>
        <v>1718707434.0000007</v>
      </c>
      <c r="BE37" s="312">
        <f t="shared" si="163"/>
        <v>1282801434</v>
      </c>
      <c r="BF37" s="312">
        <f t="shared" ref="BF37" si="164">+BF32+BF35</f>
        <v>1633442000</v>
      </c>
      <c r="BG37" s="343">
        <v>1515392000</v>
      </c>
      <c r="BH37" s="310">
        <v>791006000</v>
      </c>
      <c r="BI37" s="310"/>
      <c r="BJ37" s="310"/>
      <c r="BK37" s="310"/>
      <c r="BL37" s="310"/>
      <c r="BM37" s="310"/>
      <c r="BN37" s="310"/>
      <c r="BO37" s="310"/>
      <c r="BP37" s="310"/>
      <c r="BQ37" s="310"/>
      <c r="BR37" s="310"/>
      <c r="BS37" s="310"/>
      <c r="BT37" s="310"/>
      <c r="BU37" s="310"/>
      <c r="BV37" s="310"/>
      <c r="BW37" s="310"/>
      <c r="BX37" s="310"/>
      <c r="BY37" s="310"/>
      <c r="BZ37" s="310"/>
      <c r="CA37" s="310"/>
      <c r="CB37" s="310"/>
      <c r="CC37" s="310"/>
      <c r="CD37" s="310"/>
      <c r="CE37" s="311">
        <v>0</v>
      </c>
      <c r="CF37" s="312">
        <v>0</v>
      </c>
      <c r="CG37" s="312">
        <v>791006000</v>
      </c>
      <c r="CH37" s="311">
        <v>0</v>
      </c>
      <c r="CI37" s="312">
        <v>791006000</v>
      </c>
      <c r="CJ37" s="312">
        <f t="shared" ref="CJ37" si="165">+CJ32+CJ35</f>
        <v>1710164000</v>
      </c>
      <c r="CK37" s="310"/>
      <c r="CL37" s="310"/>
      <c r="CM37" s="310"/>
      <c r="CN37" s="310"/>
      <c r="CO37" s="310"/>
      <c r="CP37" s="310"/>
      <c r="CQ37" s="310"/>
      <c r="CR37" s="310"/>
      <c r="CS37" s="310"/>
      <c r="CT37" s="310"/>
      <c r="CU37" s="310"/>
      <c r="CV37" s="310"/>
      <c r="CW37" s="310"/>
      <c r="CX37" s="310"/>
      <c r="CY37" s="310"/>
      <c r="CZ37" s="310"/>
      <c r="DA37" s="310"/>
      <c r="DB37" s="310"/>
      <c r="DC37" s="310"/>
      <c r="DD37" s="310"/>
      <c r="DE37" s="310"/>
      <c r="DF37" s="310"/>
      <c r="DG37" s="310"/>
      <c r="DH37" s="310"/>
      <c r="DI37" s="311">
        <v>0</v>
      </c>
      <c r="DJ37" s="312">
        <v>0</v>
      </c>
      <c r="DK37" s="312">
        <v>0</v>
      </c>
      <c r="DL37" s="311">
        <v>0</v>
      </c>
      <c r="DM37" s="312">
        <v>0</v>
      </c>
      <c r="DN37" s="312">
        <f>+DN32+DN35</f>
        <v>995361000</v>
      </c>
      <c r="DO37" s="344"/>
      <c r="DP37" s="344"/>
      <c r="DQ37" s="344"/>
      <c r="DR37" s="344"/>
      <c r="DS37" s="344"/>
      <c r="DT37" s="344"/>
      <c r="DU37" s="344"/>
      <c r="DV37" s="344"/>
      <c r="DW37" s="344"/>
      <c r="DX37" s="344"/>
      <c r="DY37" s="344"/>
      <c r="DZ37" s="344"/>
      <c r="EA37" s="344"/>
      <c r="EB37" s="344"/>
      <c r="EC37" s="344"/>
      <c r="ED37" s="344"/>
      <c r="EE37" s="344"/>
      <c r="EF37" s="344"/>
      <c r="EG37" s="344"/>
      <c r="EH37" s="344"/>
      <c r="EI37" s="344"/>
      <c r="EJ37" s="344"/>
      <c r="EK37" s="344"/>
      <c r="EL37" s="344"/>
      <c r="EM37" s="314">
        <f t="shared" ref="EM37" si="166">EK37+EI37+EG37+EE37+EC37+EA37+DY37+DW37+DU37+DS37+DQ37+DO37</f>
        <v>0</v>
      </c>
      <c r="EN37" s="315">
        <f t="shared" ref="EN37" si="167">+EN32+EN35</f>
        <v>0</v>
      </c>
      <c r="EO37" s="316">
        <f t="shared" ref="EO37" si="168">EO32+EO35</f>
        <v>0</v>
      </c>
      <c r="EP37" s="315">
        <f t="shared" ref="EP37:EQ37" si="169">+EP32+EP35</f>
        <v>0</v>
      </c>
      <c r="EQ37" s="315">
        <f t="shared" si="169"/>
        <v>0</v>
      </c>
      <c r="ER37" s="317">
        <f t="shared" si="147"/>
        <v>0</v>
      </c>
      <c r="ES37" s="317">
        <f t="shared" si="16"/>
        <v>0.75345276833831742</v>
      </c>
      <c r="ET37" s="318">
        <f t="shared" si="17"/>
        <v>0.74637568245951946</v>
      </c>
      <c r="EU37" s="318">
        <f t="shared" si="18"/>
        <v>0.73945989646588872</v>
      </c>
      <c r="EV37" s="319">
        <f t="shared" si="19"/>
        <v>0.27583882231584056</v>
      </c>
      <c r="EW37" s="464"/>
      <c r="EX37" s="425"/>
      <c r="EY37" s="425"/>
      <c r="EZ37" s="425"/>
      <c r="FA37" s="465"/>
      <c r="FB37" s="429"/>
    </row>
    <row r="38" spans="1:158" s="4" customFormat="1" ht="29.25" customHeight="1" x14ac:dyDescent="0.25">
      <c r="A38" s="425" t="s">
        <v>314</v>
      </c>
      <c r="B38" s="425">
        <v>5</v>
      </c>
      <c r="C38" s="425" t="s">
        <v>320</v>
      </c>
      <c r="D38" s="425" t="s">
        <v>323</v>
      </c>
      <c r="E38" s="425">
        <v>270</v>
      </c>
      <c r="F38" s="128" t="s">
        <v>41</v>
      </c>
      <c r="G38" s="351">
        <v>1</v>
      </c>
      <c r="H38" s="351" t="s">
        <v>324</v>
      </c>
      <c r="I38" s="351" t="s">
        <v>324</v>
      </c>
      <c r="J38" s="351" t="s">
        <v>324</v>
      </c>
      <c r="K38" s="351" t="s">
        <v>324</v>
      </c>
      <c r="L38" s="351" t="s">
        <v>324</v>
      </c>
      <c r="M38" s="351" t="s">
        <v>324</v>
      </c>
      <c r="N38" s="351" t="s">
        <v>324</v>
      </c>
      <c r="O38" s="351" t="s">
        <v>324</v>
      </c>
      <c r="P38" s="351" t="s">
        <v>324</v>
      </c>
      <c r="Q38" s="351" t="s">
        <v>324</v>
      </c>
      <c r="R38" s="351" t="s">
        <v>324</v>
      </c>
      <c r="S38" s="351" t="s">
        <v>324</v>
      </c>
      <c r="T38" s="351" t="s">
        <v>324</v>
      </c>
      <c r="U38" s="351" t="s">
        <v>324</v>
      </c>
      <c r="V38" s="351" t="s">
        <v>324</v>
      </c>
      <c r="W38" s="351" t="s">
        <v>324</v>
      </c>
      <c r="X38" s="351" t="s">
        <v>324</v>
      </c>
      <c r="Y38" s="351" t="s">
        <v>324</v>
      </c>
      <c r="Z38" s="351">
        <v>1</v>
      </c>
      <c r="AA38" s="351">
        <v>1</v>
      </c>
      <c r="AB38" s="351">
        <v>1</v>
      </c>
      <c r="AC38" s="351">
        <v>1</v>
      </c>
      <c r="AD38" s="351">
        <v>1</v>
      </c>
      <c r="AE38" s="351">
        <v>1</v>
      </c>
      <c r="AF38" s="351">
        <v>1</v>
      </c>
      <c r="AG38" s="351">
        <v>1</v>
      </c>
      <c r="AH38" s="351">
        <v>1</v>
      </c>
      <c r="AI38" s="351">
        <v>1</v>
      </c>
      <c r="AJ38" s="351">
        <v>1</v>
      </c>
      <c r="AK38" s="351">
        <v>1</v>
      </c>
      <c r="AL38" s="351">
        <v>1</v>
      </c>
      <c r="AM38" s="351">
        <v>1</v>
      </c>
      <c r="AN38" s="351">
        <v>1</v>
      </c>
      <c r="AO38" s="351">
        <v>1</v>
      </c>
      <c r="AP38" s="351">
        <v>1</v>
      </c>
      <c r="AQ38" s="351">
        <v>1</v>
      </c>
      <c r="AR38" s="351">
        <v>1</v>
      </c>
      <c r="AS38" s="351">
        <v>1</v>
      </c>
      <c r="AT38" s="351">
        <v>1</v>
      </c>
      <c r="AU38" s="351">
        <v>1</v>
      </c>
      <c r="AV38" s="351"/>
      <c r="AW38" s="351">
        <v>1</v>
      </c>
      <c r="AX38" s="351"/>
      <c r="AY38" s="351">
        <v>1</v>
      </c>
      <c r="AZ38" s="351"/>
      <c r="BA38" s="351">
        <f>+AB38</f>
        <v>1</v>
      </c>
      <c r="BB38" s="351">
        <f>+AQ38</f>
        <v>1</v>
      </c>
      <c r="BC38" s="351">
        <f>+AR38</f>
        <v>1</v>
      </c>
      <c r="BD38" s="351">
        <f>+G38</f>
        <v>1</v>
      </c>
      <c r="BE38" s="351">
        <f>+AP38</f>
        <v>1</v>
      </c>
      <c r="BF38" s="352">
        <v>1</v>
      </c>
      <c r="BG38" s="351"/>
      <c r="BH38" s="351"/>
      <c r="BI38" s="351"/>
      <c r="BJ38" s="351"/>
      <c r="BK38" s="351"/>
      <c r="BL38" s="351"/>
      <c r="BM38" s="351"/>
      <c r="BN38" s="351"/>
      <c r="BO38" s="351"/>
      <c r="BP38" s="351"/>
      <c r="BQ38" s="351"/>
      <c r="BR38" s="351"/>
      <c r="BS38" s="351"/>
      <c r="BT38" s="351"/>
      <c r="BU38" s="351"/>
      <c r="BV38" s="351"/>
      <c r="BW38" s="351"/>
      <c r="BX38" s="351"/>
      <c r="BY38" s="351"/>
      <c r="BZ38" s="351"/>
      <c r="CA38" s="351"/>
      <c r="CB38" s="351"/>
      <c r="CC38" s="351"/>
      <c r="CD38" s="351"/>
      <c r="CE38" s="351">
        <f t="shared" ref="CE38:CE39" si="170">CC38+CA38+BY38+BW38+BU38+BS38+BQ38+BO38+BM38+BK38+BI38+AZ38</f>
        <v>0</v>
      </c>
      <c r="CF38" s="351">
        <f t="shared" ref="CF38:CF42" si="171">AZ38+BI38+BK38+BM38</f>
        <v>0</v>
      </c>
      <c r="CG38" s="351">
        <f t="shared" ref="CG38:CG42" si="172">BH38+BJ38+BL38+BN38</f>
        <v>0</v>
      </c>
      <c r="CH38" s="351">
        <f t="shared" ref="CH38:CH39" si="173">BI38+BK38+BM38+BO38+BQ38+BS38+BU38+BW38+BY38+CA38+CC38+AZ38</f>
        <v>0</v>
      </c>
      <c r="CI38" s="351">
        <f t="shared" ref="CI38:CI42" si="174">BH38+BJ38+BL38+BN38</f>
        <v>0</v>
      </c>
      <c r="CJ38" s="351">
        <v>1</v>
      </c>
      <c r="CK38" s="351"/>
      <c r="CL38" s="351"/>
      <c r="CM38" s="351"/>
      <c r="CN38" s="351"/>
      <c r="CO38" s="351"/>
      <c r="CP38" s="351"/>
      <c r="CQ38" s="351"/>
      <c r="CR38" s="351"/>
      <c r="CS38" s="351"/>
      <c r="CT38" s="351"/>
      <c r="CU38" s="351"/>
      <c r="CV38" s="351"/>
      <c r="CW38" s="351"/>
      <c r="CX38" s="351"/>
      <c r="CY38" s="351"/>
      <c r="CZ38" s="351"/>
      <c r="DA38" s="351"/>
      <c r="DB38" s="351"/>
      <c r="DC38" s="351"/>
      <c r="DD38" s="351"/>
      <c r="DE38" s="351"/>
      <c r="DF38" s="351"/>
      <c r="DG38" s="351"/>
      <c r="DH38" s="351"/>
      <c r="DI38" s="351">
        <f t="shared" ref="DI38:DI39" si="175">DG38+DE38+DC38+DA38+CY38+CW38+CU38+CS38+CQ38+CO38+CM38+CK38</f>
        <v>0</v>
      </c>
      <c r="DJ38" s="351">
        <f t="shared" ref="DJ38:DJ39" si="176">CK38+CM38+CO38+CQ38</f>
        <v>0</v>
      </c>
      <c r="DK38" s="351">
        <f t="shared" ref="DK38:DK39" si="177">CL38+CN38+CP38+CR38</f>
        <v>0</v>
      </c>
      <c r="DL38" s="351">
        <f t="shared" ref="DL38:DL39" si="178">CM38+CO38+CQ38+CS38+CU38+CW38+CY38+DA38+DC38+DE38+DG38+CK38</f>
        <v>0</v>
      </c>
      <c r="DM38" s="351">
        <f t="shared" ref="DM38:DM39" si="179">CL38+CN38+CP38+CR38</f>
        <v>0</v>
      </c>
      <c r="DN38" s="351">
        <v>1</v>
      </c>
      <c r="DO38" s="351"/>
      <c r="DP38" s="351"/>
      <c r="DQ38" s="351"/>
      <c r="DR38" s="351"/>
      <c r="DS38" s="351"/>
      <c r="DT38" s="351"/>
      <c r="DU38" s="351"/>
      <c r="DV38" s="351"/>
      <c r="DW38" s="351"/>
      <c r="DX38" s="351"/>
      <c r="DY38" s="351"/>
      <c r="DZ38" s="351"/>
      <c r="EA38" s="351"/>
      <c r="EB38" s="351"/>
      <c r="EC38" s="351"/>
      <c r="ED38" s="351"/>
      <c r="EE38" s="351"/>
      <c r="EF38" s="351"/>
      <c r="EG38" s="351"/>
      <c r="EH38" s="351"/>
      <c r="EI38" s="351"/>
      <c r="EJ38" s="351"/>
      <c r="EK38" s="351"/>
      <c r="EL38" s="351"/>
      <c r="EM38" s="353">
        <f>EK38+EI38+EG38+EE38+EA38+DY38+DW38+DU38+DS38+DQ38+DO38</f>
        <v>0</v>
      </c>
      <c r="EN38" s="353">
        <f>DO38+DQ38+DS38+DU38</f>
        <v>0</v>
      </c>
      <c r="EO38" s="353">
        <f>DP38+DR38+DT38+DV38</f>
        <v>0</v>
      </c>
      <c r="EP38" s="353">
        <f>EM38+CO38</f>
        <v>0</v>
      </c>
      <c r="EQ38" s="353">
        <f>EO38+CO38</f>
        <v>0</v>
      </c>
      <c r="ER38" s="330">
        <f>+AT38/AS38</f>
        <v>1</v>
      </c>
      <c r="ES38" s="330">
        <f t="shared" si="16"/>
        <v>1</v>
      </c>
      <c r="ET38" s="331">
        <f t="shared" si="17"/>
        <v>1</v>
      </c>
      <c r="EU38" s="331">
        <f t="shared" si="18"/>
        <v>1</v>
      </c>
      <c r="EV38" s="331">
        <f t="shared" si="19"/>
        <v>2</v>
      </c>
      <c r="EW38" s="430" t="s">
        <v>594</v>
      </c>
      <c r="EX38" s="425" t="s">
        <v>367</v>
      </c>
      <c r="EY38" s="425" t="s">
        <v>367</v>
      </c>
      <c r="EZ38" s="426" t="s">
        <v>381</v>
      </c>
      <c r="FA38" s="432" t="s">
        <v>394</v>
      </c>
      <c r="FB38" s="429"/>
    </row>
    <row r="39" spans="1:158" s="62" customFormat="1" ht="29.25" customHeight="1" x14ac:dyDescent="0.25">
      <c r="A39" s="425"/>
      <c r="B39" s="425"/>
      <c r="C39" s="425"/>
      <c r="D39" s="425"/>
      <c r="E39" s="425"/>
      <c r="F39" s="126" t="s">
        <v>3</v>
      </c>
      <c r="G39" s="287">
        <f>+AA39+BD39+BF39+CJ39+DN39</f>
        <v>3311935000</v>
      </c>
      <c r="H39" s="288">
        <v>403410000</v>
      </c>
      <c r="I39" s="287"/>
      <c r="J39" s="287"/>
      <c r="K39" s="287"/>
      <c r="L39" s="287"/>
      <c r="M39" s="287"/>
      <c r="N39" s="287"/>
      <c r="O39" s="287"/>
      <c r="P39" s="287"/>
      <c r="Q39" s="287"/>
      <c r="R39" s="287"/>
      <c r="S39" s="287"/>
      <c r="T39" s="288"/>
      <c r="U39" s="289"/>
      <c r="V39" s="289"/>
      <c r="W39" s="288">
        <v>403410000</v>
      </c>
      <c r="X39" s="288">
        <v>403410000</v>
      </c>
      <c r="Y39" s="288">
        <v>232617000</v>
      </c>
      <c r="Z39" s="288">
        <v>263410000</v>
      </c>
      <c r="AA39" s="288">
        <v>232617000</v>
      </c>
      <c r="AB39" s="288">
        <v>689070000</v>
      </c>
      <c r="AC39" s="287">
        <v>0</v>
      </c>
      <c r="AD39" s="287">
        <v>0</v>
      </c>
      <c r="AE39" s="287">
        <v>34584000</v>
      </c>
      <c r="AF39" s="287">
        <f>34584000-AD39</f>
        <v>34584000</v>
      </c>
      <c r="AG39" s="287">
        <v>308422000</v>
      </c>
      <c r="AH39" s="287">
        <f>343006000-AF39-AD39</f>
        <v>308422000</v>
      </c>
      <c r="AI39" s="287">
        <v>1738634</v>
      </c>
      <c r="AJ39" s="287">
        <f>344744634-AH39-AF39-AD39</f>
        <v>1738634</v>
      </c>
      <c r="AK39" s="287">
        <v>14241944</v>
      </c>
      <c r="AL39" s="287">
        <f>358986578-AJ39-AH39-AF39-AD39-5000000</f>
        <v>9241944</v>
      </c>
      <c r="AM39" s="287">
        <v>0</v>
      </c>
      <c r="AN39" s="287">
        <v>101779714</v>
      </c>
      <c r="AO39" s="287">
        <v>0</v>
      </c>
      <c r="AP39" s="287">
        <v>0</v>
      </c>
      <c r="AQ39" s="287">
        <f>41419807.3333333+46164800</f>
        <v>87584607.333333299</v>
      </c>
      <c r="AR39" s="287">
        <v>36764000</v>
      </c>
      <c r="AS39" s="287">
        <f>41419807.3333333+46164800+35320000</f>
        <v>122904607.3333333</v>
      </c>
      <c r="AT39" s="287">
        <v>0</v>
      </c>
      <c r="AU39" s="287">
        <f>41419807.3333333+46164800</f>
        <v>87584607.333333299</v>
      </c>
      <c r="AV39" s="287"/>
      <c r="AW39" s="287">
        <v>46164800</v>
      </c>
      <c r="AX39" s="287"/>
      <c r="AY39" s="287">
        <v>46164800</v>
      </c>
      <c r="AZ39" s="287"/>
      <c r="BA39" s="287">
        <f>AY39+AW39+AU39+AS39+AQ39+AO39+AM39+AK39+AI39+AG39+AE39+AC39</f>
        <v>749390000</v>
      </c>
      <c r="BB39" s="290">
        <f>AC39+AE39+AG39+AI39+AK39+AM39+AO39+AQ39+AS39</f>
        <v>569475792.66666663</v>
      </c>
      <c r="BC39" s="287">
        <f>AD39+AF39+AH39+AJ39+AL39+AN39+AP39+AR39+AT39</f>
        <v>492530292</v>
      </c>
      <c r="BD39" s="288">
        <f>AE39+AG39+AI39+AK39+AM39+AO39+AQ39+AS39+AU39+AW39+AY39+AC39</f>
        <v>749389999.99999988</v>
      </c>
      <c r="BE39" s="288">
        <f>AD39+AF39+AH39+AJ39+AL39+AN39+AP39+AR39+AT39+AV39+AX39+AZ39</f>
        <v>492530292</v>
      </c>
      <c r="BF39" s="287">
        <v>722702000</v>
      </c>
      <c r="BG39" s="287"/>
      <c r="BH39" s="287"/>
      <c r="BI39" s="287"/>
      <c r="BJ39" s="287"/>
      <c r="BK39" s="287"/>
      <c r="BL39" s="287"/>
      <c r="BM39" s="287"/>
      <c r="BN39" s="287"/>
      <c r="BO39" s="287"/>
      <c r="BP39" s="287"/>
      <c r="BQ39" s="287"/>
      <c r="BR39" s="287"/>
      <c r="BS39" s="287"/>
      <c r="BT39" s="287"/>
      <c r="BU39" s="287"/>
      <c r="BV39" s="287"/>
      <c r="BW39" s="287"/>
      <c r="BX39" s="287"/>
      <c r="BY39" s="287"/>
      <c r="BZ39" s="287"/>
      <c r="CA39" s="287"/>
      <c r="CB39" s="287"/>
      <c r="CC39" s="287"/>
      <c r="CD39" s="287"/>
      <c r="CE39" s="288">
        <f t="shared" si="170"/>
        <v>0</v>
      </c>
      <c r="CF39" s="290">
        <f t="shared" si="171"/>
        <v>0</v>
      </c>
      <c r="CG39" s="290">
        <f t="shared" si="172"/>
        <v>0</v>
      </c>
      <c r="CH39" s="288">
        <f t="shared" si="173"/>
        <v>0</v>
      </c>
      <c r="CI39" s="290">
        <f t="shared" si="174"/>
        <v>0</v>
      </c>
      <c r="CJ39" s="287">
        <v>758837000</v>
      </c>
      <c r="CK39" s="287"/>
      <c r="CL39" s="287"/>
      <c r="CM39" s="287"/>
      <c r="CN39" s="287"/>
      <c r="CO39" s="287"/>
      <c r="CP39" s="287"/>
      <c r="CQ39" s="287"/>
      <c r="CR39" s="287"/>
      <c r="CS39" s="287"/>
      <c r="CT39" s="287"/>
      <c r="CU39" s="287"/>
      <c r="CV39" s="287"/>
      <c r="CW39" s="287"/>
      <c r="CX39" s="287"/>
      <c r="CY39" s="287"/>
      <c r="CZ39" s="287"/>
      <c r="DA39" s="287"/>
      <c r="DB39" s="287"/>
      <c r="DC39" s="287"/>
      <c r="DD39" s="287"/>
      <c r="DE39" s="287"/>
      <c r="DF39" s="287"/>
      <c r="DG39" s="287"/>
      <c r="DH39" s="287"/>
      <c r="DI39" s="288">
        <f t="shared" si="175"/>
        <v>0</v>
      </c>
      <c r="DJ39" s="290">
        <f t="shared" si="176"/>
        <v>0</v>
      </c>
      <c r="DK39" s="290">
        <f t="shared" si="177"/>
        <v>0</v>
      </c>
      <c r="DL39" s="288">
        <f t="shared" si="178"/>
        <v>0</v>
      </c>
      <c r="DM39" s="290">
        <f t="shared" si="179"/>
        <v>0</v>
      </c>
      <c r="DN39" s="287">
        <v>848389000</v>
      </c>
      <c r="DO39" s="298"/>
      <c r="DP39" s="298"/>
      <c r="DQ39" s="298"/>
      <c r="DR39" s="298"/>
      <c r="DS39" s="298"/>
      <c r="DT39" s="298"/>
      <c r="DU39" s="298"/>
      <c r="DV39" s="298"/>
      <c r="DW39" s="298"/>
      <c r="DX39" s="298"/>
      <c r="DY39" s="298"/>
      <c r="DZ39" s="298"/>
      <c r="EA39" s="298"/>
      <c r="EB39" s="298"/>
      <c r="EC39" s="298"/>
      <c r="ED39" s="298"/>
      <c r="EE39" s="298"/>
      <c r="EF39" s="298"/>
      <c r="EG39" s="298"/>
      <c r="EH39" s="298"/>
      <c r="EI39" s="298"/>
      <c r="EJ39" s="298"/>
      <c r="EK39" s="298"/>
      <c r="EL39" s="298"/>
      <c r="EM39" s="354">
        <f>EK39+EI39+EG39+EE39+EC39+EA39+DY39+DW39+DU39+DS39+DQ39+DO39</f>
        <v>0</v>
      </c>
      <c r="EN39" s="288">
        <f>DO39+DQ39+DS39+DU39</f>
        <v>0</v>
      </c>
      <c r="EO39" s="288">
        <f>DP39+DR39+DT39+DV39</f>
        <v>0</v>
      </c>
      <c r="EP39" s="288">
        <f>DO39+DQ39+DS39+DU39+DW39+DY39+EA39+EC39+EE39+EI39+EK39</f>
        <v>0</v>
      </c>
      <c r="EQ39" s="292">
        <f>DP39+DR39+DT39+DV39</f>
        <v>0</v>
      </c>
      <c r="ER39" s="285">
        <f t="shared" ref="ER39:ER44" si="180">+AT39/AS39</f>
        <v>0</v>
      </c>
      <c r="ES39" s="285">
        <f t="shared" si="16"/>
        <v>0.86488363217976949</v>
      </c>
      <c r="ET39" s="286">
        <f t="shared" si="17"/>
        <v>0.65724161251150948</v>
      </c>
      <c r="EU39" s="286">
        <f t="shared" si="18"/>
        <v>0.87064432889205834</v>
      </c>
      <c r="EV39" s="286">
        <f t="shared" si="19"/>
        <v>0.21894973542657087</v>
      </c>
      <c r="EW39" s="430"/>
      <c r="EX39" s="425"/>
      <c r="EY39" s="425"/>
      <c r="EZ39" s="426"/>
      <c r="FA39" s="432"/>
      <c r="FB39" s="429"/>
    </row>
    <row r="40" spans="1:158" s="62" customFormat="1" ht="29.25" customHeight="1" x14ac:dyDescent="0.25">
      <c r="A40" s="425"/>
      <c r="B40" s="425"/>
      <c r="C40" s="425"/>
      <c r="D40" s="425"/>
      <c r="E40" s="425"/>
      <c r="F40" s="127" t="s">
        <v>220</v>
      </c>
      <c r="G40" s="287"/>
      <c r="H40" s="288"/>
      <c r="I40" s="287"/>
      <c r="J40" s="287"/>
      <c r="K40" s="287"/>
      <c r="L40" s="287"/>
      <c r="M40" s="287"/>
      <c r="N40" s="287"/>
      <c r="O40" s="287"/>
      <c r="P40" s="287"/>
      <c r="Q40" s="287"/>
      <c r="R40" s="287"/>
      <c r="S40" s="287"/>
      <c r="T40" s="288"/>
      <c r="U40" s="289"/>
      <c r="V40" s="289"/>
      <c r="W40" s="288"/>
      <c r="X40" s="288"/>
      <c r="Y40" s="288"/>
      <c r="Z40" s="288"/>
      <c r="AA40" s="287"/>
      <c r="AB40" s="288"/>
      <c r="AC40" s="287">
        <v>0</v>
      </c>
      <c r="AD40" s="287">
        <v>0</v>
      </c>
      <c r="AE40" s="287">
        <v>0</v>
      </c>
      <c r="AF40" s="287">
        <v>0</v>
      </c>
      <c r="AG40" s="287">
        <v>0</v>
      </c>
      <c r="AH40" s="287">
        <v>0</v>
      </c>
      <c r="AI40" s="287">
        <v>29463567</v>
      </c>
      <c r="AJ40" s="287">
        <f>29463567-AH40</f>
        <v>29463567</v>
      </c>
      <c r="AK40" s="287">
        <v>42312234</v>
      </c>
      <c r="AL40" s="287">
        <f>71775801-AJ40+5062267</f>
        <v>47374501</v>
      </c>
      <c r="AM40" s="287">
        <v>45547691</v>
      </c>
      <c r="AN40" s="287">
        <v>45547691</v>
      </c>
      <c r="AO40" s="287">
        <v>0</v>
      </c>
      <c r="AP40" s="287">
        <v>52764501</v>
      </c>
      <c r="AQ40" s="287">
        <v>0</v>
      </c>
      <c r="AR40" s="287">
        <v>39402600</v>
      </c>
      <c r="AS40" s="287">
        <v>0</v>
      </c>
      <c r="AT40" s="287">
        <v>39458167</v>
      </c>
      <c r="AU40" s="287">
        <v>0</v>
      </c>
      <c r="AV40" s="287"/>
      <c r="AW40" s="287">
        <v>0</v>
      </c>
      <c r="AX40" s="287"/>
      <c r="AY40" s="287">
        <v>0</v>
      </c>
      <c r="AZ40" s="287"/>
      <c r="BA40" s="287">
        <f>AY40+AW40+AU40+AS40+AQ40+AO40+AM40+AK40+AI40+AG40+AE40+AC40</f>
        <v>117323492</v>
      </c>
      <c r="BB40" s="290">
        <f>AC40+AE40+AG40+AI40+AK40+AM40+AO40+AQ40+AS40</f>
        <v>117323492</v>
      </c>
      <c r="BC40" s="287">
        <f>AD40+AF40+AH40+AJ40+AL40+AN40+AP40+AR40+AT40</f>
        <v>254011027</v>
      </c>
      <c r="BD40" s="288">
        <f>AE40+AG40+AI40+AK40+AM40+AO40+AQ40+AS40+AU40+AW40+AY40+AC40</f>
        <v>117323492</v>
      </c>
      <c r="BE40" s="288">
        <f>AD40+AF40+AH40+AJ40+AL40+AN40+AP40+AR40+AT40+AV40+AX40+AZ40</f>
        <v>254011027</v>
      </c>
      <c r="BF40" s="287">
        <v>0</v>
      </c>
      <c r="BG40" s="287"/>
      <c r="BH40" s="287"/>
      <c r="BI40" s="287"/>
      <c r="BJ40" s="287"/>
      <c r="BK40" s="287"/>
      <c r="BL40" s="287"/>
      <c r="BM40" s="287"/>
      <c r="BN40" s="287"/>
      <c r="BO40" s="287"/>
      <c r="BP40" s="287"/>
      <c r="BQ40" s="287"/>
      <c r="BR40" s="287"/>
      <c r="BS40" s="287"/>
      <c r="BT40" s="287"/>
      <c r="BU40" s="287"/>
      <c r="BV40" s="287"/>
      <c r="BW40" s="287"/>
      <c r="BX40" s="287"/>
      <c r="BY40" s="287"/>
      <c r="BZ40" s="287"/>
      <c r="CA40" s="287"/>
      <c r="CB40" s="287"/>
      <c r="CC40" s="287"/>
      <c r="CD40" s="287"/>
      <c r="CE40" s="288"/>
      <c r="CF40" s="290"/>
      <c r="CG40" s="290"/>
      <c r="CH40" s="288"/>
      <c r="CI40" s="290"/>
      <c r="CJ40" s="287">
        <v>0</v>
      </c>
      <c r="CK40" s="287"/>
      <c r="CL40" s="287"/>
      <c r="CM40" s="287"/>
      <c r="CN40" s="287"/>
      <c r="CO40" s="287"/>
      <c r="CP40" s="287"/>
      <c r="CQ40" s="287"/>
      <c r="CR40" s="287"/>
      <c r="CS40" s="287"/>
      <c r="CT40" s="287"/>
      <c r="CU40" s="287"/>
      <c r="CV40" s="287"/>
      <c r="CW40" s="287"/>
      <c r="CX40" s="287"/>
      <c r="CY40" s="287"/>
      <c r="CZ40" s="287"/>
      <c r="DA40" s="287"/>
      <c r="DB40" s="287"/>
      <c r="DC40" s="287"/>
      <c r="DD40" s="287"/>
      <c r="DE40" s="287"/>
      <c r="DF40" s="287"/>
      <c r="DG40" s="287"/>
      <c r="DH40" s="287"/>
      <c r="DI40" s="288"/>
      <c r="DJ40" s="290"/>
      <c r="DK40" s="290"/>
      <c r="DL40" s="288"/>
      <c r="DM40" s="290"/>
      <c r="DN40" s="287">
        <v>0</v>
      </c>
      <c r="DO40" s="298"/>
      <c r="DP40" s="298"/>
      <c r="DQ40" s="298"/>
      <c r="DR40" s="298"/>
      <c r="DS40" s="298"/>
      <c r="DT40" s="298"/>
      <c r="DU40" s="298"/>
      <c r="DV40" s="298"/>
      <c r="DW40" s="298"/>
      <c r="DX40" s="298"/>
      <c r="DY40" s="298"/>
      <c r="DZ40" s="298"/>
      <c r="EA40" s="298"/>
      <c r="EB40" s="298"/>
      <c r="EC40" s="298"/>
      <c r="ED40" s="298"/>
      <c r="EE40" s="298"/>
      <c r="EF40" s="298"/>
      <c r="EG40" s="298"/>
      <c r="EH40" s="298"/>
      <c r="EI40" s="298"/>
      <c r="EJ40" s="298"/>
      <c r="EK40" s="298"/>
      <c r="EL40" s="298"/>
      <c r="EM40" s="354">
        <f>EI40+EG40+EE40+EC40+EA40+DY40+DW40+DU40+DS40+DQ40+DO40+EK40</f>
        <v>0</v>
      </c>
      <c r="EN40" s="288">
        <f>+DO40+DQ40+DS40+DU40</f>
        <v>0</v>
      </c>
      <c r="EO40" s="288">
        <f>DP40+DR40+DT40+DV40</f>
        <v>0</v>
      </c>
      <c r="EP40" s="288">
        <f>DQ40+DS40+DU40+DW40+DY40+EA40+EC40+EE40+EG40+EI40+EK40</f>
        <v>0</v>
      </c>
      <c r="EQ40" s="292">
        <f>DP40+DR40+DT40+DV40</f>
        <v>0</v>
      </c>
      <c r="ER40" s="285" t="e">
        <f t="shared" si="180"/>
        <v>#DIV/0!</v>
      </c>
      <c r="ES40" s="285">
        <f t="shared" si="16"/>
        <v>2.1650483008125945</v>
      </c>
      <c r="ET40" s="286">
        <f t="shared" si="17"/>
        <v>2.1650483008125945</v>
      </c>
      <c r="EU40" s="286">
        <f t="shared" si="18"/>
        <v>2.1650483008125945</v>
      </c>
      <c r="EV40" s="286" t="e">
        <f t="shared" si="19"/>
        <v>#DIV/0!</v>
      </c>
      <c r="EW40" s="430"/>
      <c r="EX40" s="425"/>
      <c r="EY40" s="425"/>
      <c r="EZ40" s="426"/>
      <c r="FA40" s="432"/>
      <c r="FB40" s="429"/>
    </row>
    <row r="41" spans="1:158" s="4" customFormat="1" ht="29.25" customHeight="1" x14ac:dyDescent="0.25">
      <c r="A41" s="425"/>
      <c r="B41" s="425"/>
      <c r="C41" s="425"/>
      <c r="D41" s="425"/>
      <c r="E41" s="425"/>
      <c r="F41" s="128" t="s">
        <v>42</v>
      </c>
      <c r="G41" s="279">
        <v>0</v>
      </c>
      <c r="H41" s="280">
        <v>0</v>
      </c>
      <c r="I41" s="281">
        <v>0</v>
      </c>
      <c r="J41" s="281">
        <v>0</v>
      </c>
      <c r="K41" s="281">
        <v>0</v>
      </c>
      <c r="L41" s="281">
        <v>0</v>
      </c>
      <c r="M41" s="281">
        <v>0</v>
      </c>
      <c r="N41" s="282">
        <v>0</v>
      </c>
      <c r="O41" s="281">
        <v>0</v>
      </c>
      <c r="P41" s="282">
        <v>0</v>
      </c>
      <c r="Q41" s="281">
        <v>0</v>
      </c>
      <c r="R41" s="283">
        <v>0</v>
      </c>
      <c r="S41" s="281">
        <v>0</v>
      </c>
      <c r="T41" s="282">
        <v>0</v>
      </c>
      <c r="U41" s="281">
        <v>0</v>
      </c>
      <c r="V41" s="281">
        <v>0</v>
      </c>
      <c r="W41" s="279">
        <v>0</v>
      </c>
      <c r="X41" s="279">
        <v>0</v>
      </c>
      <c r="Y41" s="279">
        <v>0</v>
      </c>
      <c r="Z41" s="279">
        <v>0</v>
      </c>
      <c r="AA41" s="279">
        <v>0</v>
      </c>
      <c r="AB41" s="279">
        <v>0</v>
      </c>
      <c r="AC41" s="279">
        <v>0</v>
      </c>
      <c r="AD41" s="279">
        <v>0</v>
      </c>
      <c r="AE41" s="279">
        <v>0</v>
      </c>
      <c r="AF41" s="279">
        <v>0</v>
      </c>
      <c r="AG41" s="279">
        <v>0</v>
      </c>
      <c r="AH41" s="279">
        <v>0</v>
      </c>
      <c r="AI41" s="279">
        <v>0</v>
      </c>
      <c r="AJ41" s="279">
        <v>0</v>
      </c>
      <c r="AK41" s="279">
        <v>0</v>
      </c>
      <c r="AL41" s="279">
        <v>0</v>
      </c>
      <c r="AM41" s="279">
        <v>0</v>
      </c>
      <c r="AN41" s="279">
        <v>0</v>
      </c>
      <c r="AO41" s="279">
        <v>0</v>
      </c>
      <c r="AP41" s="282">
        <v>0</v>
      </c>
      <c r="AQ41" s="279">
        <v>0</v>
      </c>
      <c r="AR41" s="282">
        <v>0</v>
      </c>
      <c r="AS41" s="279">
        <v>0</v>
      </c>
      <c r="AT41" s="282">
        <v>0</v>
      </c>
      <c r="AU41" s="279">
        <v>0</v>
      </c>
      <c r="AV41" s="282"/>
      <c r="AW41" s="279">
        <v>0</v>
      </c>
      <c r="AX41" s="282"/>
      <c r="AY41" s="279">
        <v>0</v>
      </c>
      <c r="AZ41" s="282"/>
      <c r="BA41" s="279">
        <f>+AB41</f>
        <v>0</v>
      </c>
      <c r="BB41" s="279">
        <f>+AQ41</f>
        <v>0</v>
      </c>
      <c r="BC41" s="279">
        <f>+AR41</f>
        <v>0</v>
      </c>
      <c r="BD41" s="279">
        <f>+G41</f>
        <v>0</v>
      </c>
      <c r="BE41" s="279">
        <f>+AR41</f>
        <v>0</v>
      </c>
      <c r="BF41" s="294">
        <v>0</v>
      </c>
      <c r="BG41" s="281"/>
      <c r="BH41" s="281"/>
      <c r="BI41" s="281"/>
      <c r="BJ41" s="281"/>
      <c r="BK41" s="281"/>
      <c r="BL41" s="281"/>
      <c r="BM41" s="281"/>
      <c r="BN41" s="281"/>
      <c r="BO41" s="281"/>
      <c r="BP41" s="281"/>
      <c r="BQ41" s="281"/>
      <c r="BR41" s="281"/>
      <c r="BS41" s="281"/>
      <c r="BT41" s="281"/>
      <c r="BU41" s="281"/>
      <c r="BV41" s="281"/>
      <c r="BW41" s="281"/>
      <c r="BX41" s="281"/>
      <c r="BY41" s="281"/>
      <c r="BZ41" s="281"/>
      <c r="CA41" s="281"/>
      <c r="CB41" s="281"/>
      <c r="CC41" s="281"/>
      <c r="CD41" s="281"/>
      <c r="CE41" s="281">
        <f t="shared" ref="CE41:CE42" si="181">CA41+BY41+BW41+BU41+BS41+BQ41+BO41+BM41+BK41+BI41+AZ41+CC41</f>
        <v>0</v>
      </c>
      <c r="CF41" s="281">
        <f t="shared" si="171"/>
        <v>0</v>
      </c>
      <c r="CG41" s="282">
        <f t="shared" si="172"/>
        <v>0</v>
      </c>
      <c r="CH41" s="284">
        <f t="shared" ref="CH41" si="182">AZ41+BI41+BK41+BM41+BO41+BQ41+BS41+BU41+BW41+BY41+CA41+CC41</f>
        <v>0</v>
      </c>
      <c r="CI41" s="282">
        <f t="shared" si="174"/>
        <v>0</v>
      </c>
      <c r="CJ41" s="279">
        <v>0</v>
      </c>
      <c r="CK41" s="281">
        <v>0</v>
      </c>
      <c r="CL41" s="281">
        <v>0</v>
      </c>
      <c r="CM41" s="281">
        <v>0</v>
      </c>
      <c r="CN41" s="281">
        <v>0</v>
      </c>
      <c r="CO41" s="281">
        <v>0</v>
      </c>
      <c r="CP41" s="281">
        <v>0</v>
      </c>
      <c r="CQ41" s="281">
        <v>0</v>
      </c>
      <c r="CR41" s="281">
        <v>0</v>
      </c>
      <c r="CS41" s="281">
        <v>0</v>
      </c>
      <c r="CT41" s="281">
        <v>0</v>
      </c>
      <c r="CU41" s="281">
        <v>0</v>
      </c>
      <c r="CV41" s="281">
        <v>0</v>
      </c>
      <c r="CW41" s="281">
        <v>0</v>
      </c>
      <c r="CX41" s="281">
        <v>0</v>
      </c>
      <c r="CY41" s="281">
        <v>0</v>
      </c>
      <c r="CZ41" s="281">
        <v>0</v>
      </c>
      <c r="DA41" s="281">
        <v>0</v>
      </c>
      <c r="DB41" s="281">
        <v>0</v>
      </c>
      <c r="DC41" s="281">
        <v>0</v>
      </c>
      <c r="DD41" s="281">
        <v>0</v>
      </c>
      <c r="DE41" s="281">
        <v>0</v>
      </c>
      <c r="DF41" s="281">
        <v>0</v>
      </c>
      <c r="DG41" s="281">
        <v>0</v>
      </c>
      <c r="DH41" s="281">
        <v>0</v>
      </c>
      <c r="DI41" s="281">
        <v>0</v>
      </c>
      <c r="DJ41" s="281">
        <v>0</v>
      </c>
      <c r="DK41" s="281">
        <v>0</v>
      </c>
      <c r="DL41" s="284">
        <v>0</v>
      </c>
      <c r="DM41" s="281">
        <v>0</v>
      </c>
      <c r="DN41" s="279">
        <v>0</v>
      </c>
      <c r="DO41" s="355"/>
      <c r="DP41" s="355"/>
      <c r="DQ41" s="355"/>
      <c r="DR41" s="355"/>
      <c r="DS41" s="355"/>
      <c r="DT41" s="355"/>
      <c r="DU41" s="355"/>
      <c r="DV41" s="355"/>
      <c r="DW41" s="355"/>
      <c r="DX41" s="355"/>
      <c r="DY41" s="355"/>
      <c r="DZ41" s="355"/>
      <c r="EA41" s="355"/>
      <c r="EB41" s="355"/>
      <c r="EC41" s="355"/>
      <c r="ED41" s="355"/>
      <c r="EE41" s="355"/>
      <c r="EF41" s="355"/>
      <c r="EG41" s="295"/>
      <c r="EH41" s="355"/>
      <c r="EI41" s="295"/>
      <c r="EJ41" s="355"/>
      <c r="EK41" s="295"/>
      <c r="EL41" s="355"/>
      <c r="EM41" s="355"/>
      <c r="EN41" s="356">
        <f>DO41+DQ41+DS41+DU41</f>
        <v>0</v>
      </c>
      <c r="EO41" s="356">
        <f>DP41+DR41+DT41+DV41</f>
        <v>0</v>
      </c>
      <c r="EP41" s="356">
        <f>DQ41+DS41+DU41+DW41+DY41+EA41+EC41+EE41+EG41+EI41+EK41</f>
        <v>0</v>
      </c>
      <c r="EQ41" s="357">
        <v>0</v>
      </c>
      <c r="ER41" s="285" t="e">
        <f t="shared" si="180"/>
        <v>#DIV/0!</v>
      </c>
      <c r="ES41" s="285" t="e">
        <f t="shared" si="16"/>
        <v>#DIV/0!</v>
      </c>
      <c r="ET41" s="286" t="e">
        <f t="shared" si="17"/>
        <v>#DIV/0!</v>
      </c>
      <c r="EU41" s="286" t="e">
        <f t="shared" si="18"/>
        <v>#DIV/0!</v>
      </c>
      <c r="EV41" s="286" t="e">
        <f t="shared" si="19"/>
        <v>#DIV/0!</v>
      </c>
      <c r="EW41" s="430"/>
      <c r="EX41" s="425"/>
      <c r="EY41" s="425"/>
      <c r="EZ41" s="426"/>
      <c r="FA41" s="432"/>
      <c r="FB41" s="429"/>
    </row>
    <row r="42" spans="1:158" s="60" customFormat="1" ht="29.25" customHeight="1" x14ac:dyDescent="0.25">
      <c r="A42" s="425"/>
      <c r="B42" s="425"/>
      <c r="C42" s="425"/>
      <c r="D42" s="425"/>
      <c r="E42" s="425"/>
      <c r="F42" s="126" t="s">
        <v>4</v>
      </c>
      <c r="G42" s="287">
        <f>+AA42+BD42+BF42+CJ42+DN42</f>
        <v>84042144</v>
      </c>
      <c r="H42" s="288">
        <v>104209010</v>
      </c>
      <c r="I42" s="287">
        <v>0</v>
      </c>
      <c r="J42" s="287">
        <v>0</v>
      </c>
      <c r="K42" s="287">
        <v>0</v>
      </c>
      <c r="L42" s="287">
        <v>0</v>
      </c>
      <c r="M42" s="287">
        <v>0</v>
      </c>
      <c r="N42" s="287">
        <v>0</v>
      </c>
      <c r="O42" s="287">
        <v>0</v>
      </c>
      <c r="P42" s="287">
        <v>0</v>
      </c>
      <c r="Q42" s="287">
        <v>0</v>
      </c>
      <c r="R42" s="287">
        <v>0</v>
      </c>
      <c r="S42" s="287">
        <v>0</v>
      </c>
      <c r="T42" s="288">
        <v>0</v>
      </c>
      <c r="U42" s="289">
        <v>0</v>
      </c>
      <c r="V42" s="289">
        <v>0</v>
      </c>
      <c r="W42" s="288">
        <v>104209010</v>
      </c>
      <c r="X42" s="288">
        <v>104209010</v>
      </c>
      <c r="Y42" s="288">
        <v>0</v>
      </c>
      <c r="Z42" s="288">
        <v>104209010</v>
      </c>
      <c r="AA42" s="287">
        <v>0</v>
      </c>
      <c r="AB42" s="288">
        <v>88778010</v>
      </c>
      <c r="AC42" s="287">
        <v>15431000</v>
      </c>
      <c r="AD42" s="287">
        <v>15431000</v>
      </c>
      <c r="AE42" s="287">
        <v>26156334</v>
      </c>
      <c r="AF42" s="287">
        <f>41587334-AD42</f>
        <v>26156334</v>
      </c>
      <c r="AG42" s="287">
        <v>10660833</v>
      </c>
      <c r="AH42" s="287">
        <f>52248167-AF42-AD42</f>
        <v>10660833</v>
      </c>
      <c r="AI42" s="287">
        <v>15349934</v>
      </c>
      <c r="AJ42" s="287">
        <f>67598101-AH42-AF42-AD42</f>
        <v>15349934</v>
      </c>
      <c r="AK42" s="287">
        <v>1480833</v>
      </c>
      <c r="AL42" s="287">
        <f>69078934-AJ42-AH42-AF42-AD42</f>
        <v>1480833</v>
      </c>
      <c r="AM42" s="287">
        <v>2673933</v>
      </c>
      <c r="AN42" s="287">
        <v>4986645</v>
      </c>
      <c r="AO42" s="287">
        <v>0</v>
      </c>
      <c r="AP42" s="287">
        <v>0</v>
      </c>
      <c r="AQ42" s="287">
        <v>11094200</v>
      </c>
      <c r="AR42" s="287">
        <v>2650000</v>
      </c>
      <c r="AS42" s="287">
        <f>1195077</f>
        <v>1195077</v>
      </c>
      <c r="AT42" s="287">
        <v>0</v>
      </c>
      <c r="AU42" s="287">
        <v>0</v>
      </c>
      <c r="AV42" s="287"/>
      <c r="AW42" s="287">
        <v>0</v>
      </c>
      <c r="AX42" s="287"/>
      <c r="AY42" s="287">
        <v>0</v>
      </c>
      <c r="AZ42" s="287"/>
      <c r="BA42" s="290">
        <f>AY42+AW42+AU42+AS42+AQ42+AO42+AM42+AK42+AI42+AG42+AE42+AC42</f>
        <v>84042144</v>
      </c>
      <c r="BB42" s="288">
        <f>AC42+AE42+AG42+AI42+AK42+AM42+AO42+AQ42+AS42</f>
        <v>84042144</v>
      </c>
      <c r="BC42" s="287">
        <f>AD42+AF42+AH42+AJ42+AL42+AN42+AP42+AR42+AT42</f>
        <v>76715579</v>
      </c>
      <c r="BD42" s="288">
        <f>AE42+AG42+AI42+AK42+AM42+AO42+AQ42+AS42+AU42+AW42+AY42+AC42</f>
        <v>84042144</v>
      </c>
      <c r="BE42" s="288">
        <f>AD42+AF42+AH42+AJ42+AL42+AN42+AP42+AR42+AT42+AV42+AX42+AZ42</f>
        <v>76715579</v>
      </c>
      <c r="BF42" s="287">
        <v>0</v>
      </c>
      <c r="BG42" s="287"/>
      <c r="BH42" s="287"/>
      <c r="BI42" s="287"/>
      <c r="BJ42" s="287"/>
      <c r="BK42" s="287"/>
      <c r="BL42" s="287"/>
      <c r="BM42" s="287"/>
      <c r="BN42" s="287"/>
      <c r="BO42" s="287"/>
      <c r="BP42" s="287"/>
      <c r="BQ42" s="287"/>
      <c r="BR42" s="287"/>
      <c r="BS42" s="287"/>
      <c r="BT42" s="287"/>
      <c r="BU42" s="287"/>
      <c r="BV42" s="287"/>
      <c r="BW42" s="287"/>
      <c r="BX42" s="287"/>
      <c r="BY42" s="287"/>
      <c r="BZ42" s="287"/>
      <c r="CA42" s="287"/>
      <c r="CB42" s="287"/>
      <c r="CC42" s="287"/>
      <c r="CD42" s="287"/>
      <c r="CE42" s="288">
        <f t="shared" si="181"/>
        <v>0</v>
      </c>
      <c r="CF42" s="290">
        <f t="shared" si="171"/>
        <v>0</v>
      </c>
      <c r="CG42" s="290">
        <f t="shared" si="172"/>
        <v>0</v>
      </c>
      <c r="CH42" s="288">
        <f t="shared" ref="CH42" si="183">BI42+BK42+BM42+BO42+BQ42+BS42+BU42+BW42+BY42+CA42+CC42+AZ42</f>
        <v>0</v>
      </c>
      <c r="CI42" s="290">
        <f t="shared" si="174"/>
        <v>0</v>
      </c>
      <c r="CJ42" s="287">
        <v>0</v>
      </c>
      <c r="CK42" s="287">
        <v>0</v>
      </c>
      <c r="CL42" s="287">
        <v>0</v>
      </c>
      <c r="CM42" s="287">
        <v>0</v>
      </c>
      <c r="CN42" s="287">
        <v>0</v>
      </c>
      <c r="CO42" s="287">
        <v>0</v>
      </c>
      <c r="CP42" s="287">
        <v>0</v>
      </c>
      <c r="CQ42" s="287">
        <v>0</v>
      </c>
      <c r="CR42" s="287">
        <v>0</v>
      </c>
      <c r="CS42" s="287">
        <v>0</v>
      </c>
      <c r="CT42" s="287">
        <v>0</v>
      </c>
      <c r="CU42" s="287">
        <v>0</v>
      </c>
      <c r="CV42" s="287">
        <v>0</v>
      </c>
      <c r="CW42" s="287">
        <v>0</v>
      </c>
      <c r="CX42" s="287">
        <v>0</v>
      </c>
      <c r="CY42" s="287">
        <v>0</v>
      </c>
      <c r="CZ42" s="287">
        <v>0</v>
      </c>
      <c r="DA42" s="287">
        <v>0</v>
      </c>
      <c r="DB42" s="287">
        <v>0</v>
      </c>
      <c r="DC42" s="287">
        <v>0</v>
      </c>
      <c r="DD42" s="287">
        <v>0</v>
      </c>
      <c r="DE42" s="287">
        <v>0</v>
      </c>
      <c r="DF42" s="287">
        <v>0</v>
      </c>
      <c r="DG42" s="287">
        <v>0</v>
      </c>
      <c r="DH42" s="287">
        <v>0</v>
      </c>
      <c r="DI42" s="288">
        <v>0</v>
      </c>
      <c r="DJ42" s="290">
        <v>0</v>
      </c>
      <c r="DK42" s="290">
        <v>0</v>
      </c>
      <c r="DL42" s="288">
        <v>0</v>
      </c>
      <c r="DM42" s="290">
        <v>0</v>
      </c>
      <c r="DN42" s="287">
        <v>0</v>
      </c>
      <c r="DO42" s="358"/>
      <c r="DP42" s="358"/>
      <c r="DQ42" s="358"/>
      <c r="DR42" s="358"/>
      <c r="DS42" s="358"/>
      <c r="DT42" s="358"/>
      <c r="DU42" s="358"/>
      <c r="DV42" s="358"/>
      <c r="DW42" s="358"/>
      <c r="DX42" s="358"/>
      <c r="DY42" s="358"/>
      <c r="DZ42" s="358"/>
      <c r="EA42" s="358"/>
      <c r="EB42" s="358"/>
      <c r="EC42" s="358"/>
      <c r="ED42" s="358"/>
      <c r="EE42" s="358"/>
      <c r="EF42" s="358"/>
      <c r="EG42" s="358"/>
      <c r="EH42" s="358"/>
      <c r="EI42" s="358"/>
      <c r="EJ42" s="358"/>
      <c r="EK42" s="358"/>
      <c r="EL42" s="358"/>
      <c r="EM42" s="281">
        <f>EI42+EG42+EE42+EC42+EA42+DY42+DW42+DU42+DS42+DQ42+DO42+EK42</f>
        <v>0</v>
      </c>
      <c r="EN42" s="288">
        <f>DO42+DQ42+DS42+DU42</f>
        <v>0</v>
      </c>
      <c r="EO42" s="359">
        <f>DP42+DR42+DT42+DV42</f>
        <v>0</v>
      </c>
      <c r="EP42" s="288">
        <f>DQ42+DS42+DU42+DW42+DY42+EA42+EC42+EE42+EG42+EI42+EK42+DO42</f>
        <v>0</v>
      </c>
      <c r="EQ42" s="292">
        <f>DP42+DR42+DT42+DV42</f>
        <v>0</v>
      </c>
      <c r="ER42" s="285">
        <f t="shared" si="180"/>
        <v>0</v>
      </c>
      <c r="ES42" s="285">
        <f t="shared" si="16"/>
        <v>0.91282272617890381</v>
      </c>
      <c r="ET42" s="286">
        <f t="shared" si="17"/>
        <v>0.91282272617890381</v>
      </c>
      <c r="EU42" s="286">
        <f t="shared" si="18"/>
        <v>0.4075171778229843</v>
      </c>
      <c r="EV42" s="286">
        <f t="shared" si="19"/>
        <v>0.91282272617890381</v>
      </c>
      <c r="EW42" s="430"/>
      <c r="EX42" s="425"/>
      <c r="EY42" s="425"/>
      <c r="EZ42" s="426"/>
      <c r="FA42" s="432"/>
      <c r="FB42" s="429"/>
    </row>
    <row r="43" spans="1:158" s="4" customFormat="1" ht="29.25" customHeight="1" thickBot="1" x14ac:dyDescent="0.3">
      <c r="A43" s="425"/>
      <c r="B43" s="425"/>
      <c r="C43" s="425"/>
      <c r="D43" s="425"/>
      <c r="E43" s="425"/>
      <c r="F43" s="128" t="s">
        <v>43</v>
      </c>
      <c r="G43" s="299">
        <f>+G38+G41</f>
        <v>1</v>
      </c>
      <c r="H43" s="300" t="e">
        <f>+H38+H41</f>
        <v>#VALUE!</v>
      </c>
      <c r="I43" s="301"/>
      <c r="J43" s="301"/>
      <c r="K43" s="301"/>
      <c r="L43" s="301"/>
      <c r="M43" s="301"/>
      <c r="N43" s="302"/>
      <c r="O43" s="301"/>
      <c r="P43" s="302"/>
      <c r="Q43" s="301"/>
      <c r="R43" s="303"/>
      <c r="S43" s="301"/>
      <c r="T43" s="302"/>
      <c r="U43" s="301"/>
      <c r="V43" s="301"/>
      <c r="W43" s="299" t="e">
        <f t="shared" ref="W43:AM44" si="184">+W38+W41</f>
        <v>#VALUE!</v>
      </c>
      <c r="X43" s="299" t="e">
        <f t="shared" si="184"/>
        <v>#VALUE!</v>
      </c>
      <c r="Y43" s="299" t="e">
        <f t="shared" si="184"/>
        <v>#VALUE!</v>
      </c>
      <c r="Z43" s="299">
        <f t="shared" si="184"/>
        <v>1</v>
      </c>
      <c r="AA43" s="299">
        <f t="shared" si="184"/>
        <v>1</v>
      </c>
      <c r="AB43" s="299">
        <f t="shared" si="184"/>
        <v>1</v>
      </c>
      <c r="AC43" s="299">
        <f t="shared" ref="AC43:AK43" si="185">+AC38+AC41</f>
        <v>1</v>
      </c>
      <c r="AD43" s="299">
        <f t="shared" si="185"/>
        <v>1</v>
      </c>
      <c r="AE43" s="299">
        <f t="shared" si="185"/>
        <v>1</v>
      </c>
      <c r="AF43" s="299">
        <f t="shared" si="185"/>
        <v>1</v>
      </c>
      <c r="AG43" s="299">
        <f t="shared" si="185"/>
        <v>1</v>
      </c>
      <c r="AH43" s="299">
        <f t="shared" si="185"/>
        <v>1</v>
      </c>
      <c r="AI43" s="299">
        <f t="shared" si="185"/>
        <v>1</v>
      </c>
      <c r="AJ43" s="299">
        <f t="shared" si="185"/>
        <v>1</v>
      </c>
      <c r="AK43" s="299">
        <f t="shared" si="185"/>
        <v>1</v>
      </c>
      <c r="AL43" s="299">
        <f t="shared" si="184"/>
        <v>1</v>
      </c>
      <c r="AM43" s="299">
        <f>+AM38+AM41</f>
        <v>1</v>
      </c>
      <c r="AN43" s="299">
        <f t="shared" ref="AN43" si="186">+AN38+AN41</f>
        <v>1</v>
      </c>
      <c r="AO43" s="299">
        <f t="shared" ref="AO43:AP44" si="187">+AO38+AO41</f>
        <v>1</v>
      </c>
      <c r="AP43" s="299">
        <f t="shared" si="187"/>
        <v>1</v>
      </c>
      <c r="AQ43" s="299">
        <f t="shared" ref="AQ43:AR44" si="188">+AQ38+AQ41</f>
        <v>1</v>
      </c>
      <c r="AR43" s="299">
        <f t="shared" si="188"/>
        <v>1</v>
      </c>
      <c r="AS43" s="299">
        <f t="shared" ref="AS43:AS44" si="189">+AS38+AS41</f>
        <v>1</v>
      </c>
      <c r="AT43" s="299">
        <f>AT38</f>
        <v>1</v>
      </c>
      <c r="AU43" s="299">
        <f t="shared" ref="AU43:AU44" si="190">+AU38+AU41</f>
        <v>1</v>
      </c>
      <c r="AV43" s="302"/>
      <c r="AW43" s="299">
        <f t="shared" ref="AW43:AW44" si="191">+AW38+AW41</f>
        <v>1</v>
      </c>
      <c r="AX43" s="302"/>
      <c r="AY43" s="299">
        <f>+AY38+AY41</f>
        <v>1</v>
      </c>
      <c r="AZ43" s="302"/>
      <c r="BA43" s="299">
        <f t="shared" ref="BA43:DL43" si="192">+BA38+BA41</f>
        <v>1</v>
      </c>
      <c r="BB43" s="299">
        <f t="shared" si="192"/>
        <v>1</v>
      </c>
      <c r="BC43" s="299">
        <f t="shared" si="192"/>
        <v>1</v>
      </c>
      <c r="BD43" s="299">
        <f t="shared" si="192"/>
        <v>1</v>
      </c>
      <c r="BE43" s="299">
        <f t="shared" si="192"/>
        <v>1</v>
      </c>
      <c r="BF43" s="299">
        <f t="shared" si="192"/>
        <v>1</v>
      </c>
      <c r="BG43" s="299">
        <f t="shared" si="192"/>
        <v>0</v>
      </c>
      <c r="BH43" s="299">
        <f t="shared" si="192"/>
        <v>0</v>
      </c>
      <c r="BI43" s="299">
        <f t="shared" si="192"/>
        <v>0</v>
      </c>
      <c r="BJ43" s="299">
        <f t="shared" si="192"/>
        <v>0</v>
      </c>
      <c r="BK43" s="299">
        <f t="shared" si="192"/>
        <v>0</v>
      </c>
      <c r="BL43" s="299">
        <f t="shared" si="192"/>
        <v>0</v>
      </c>
      <c r="BM43" s="299">
        <f t="shared" si="192"/>
        <v>0</v>
      </c>
      <c r="BN43" s="299">
        <f t="shared" si="192"/>
        <v>0</v>
      </c>
      <c r="BO43" s="299">
        <f t="shared" si="192"/>
        <v>0</v>
      </c>
      <c r="BP43" s="299">
        <f t="shared" si="192"/>
        <v>0</v>
      </c>
      <c r="BQ43" s="299">
        <f t="shared" si="192"/>
        <v>0</v>
      </c>
      <c r="BR43" s="299">
        <f t="shared" si="192"/>
        <v>0</v>
      </c>
      <c r="BS43" s="299">
        <f t="shared" si="192"/>
        <v>0</v>
      </c>
      <c r="BT43" s="299">
        <f t="shared" si="192"/>
        <v>0</v>
      </c>
      <c r="BU43" s="299">
        <f t="shared" si="192"/>
        <v>0</v>
      </c>
      <c r="BV43" s="299">
        <f t="shared" si="192"/>
        <v>0</v>
      </c>
      <c r="BW43" s="299">
        <f t="shared" si="192"/>
        <v>0</v>
      </c>
      <c r="BX43" s="299">
        <f t="shared" si="192"/>
        <v>0</v>
      </c>
      <c r="BY43" s="299">
        <f t="shared" si="192"/>
        <v>0</v>
      </c>
      <c r="BZ43" s="299">
        <f t="shared" si="192"/>
        <v>0</v>
      </c>
      <c r="CA43" s="299">
        <f t="shared" si="192"/>
        <v>0</v>
      </c>
      <c r="CB43" s="299">
        <f t="shared" si="192"/>
        <v>0</v>
      </c>
      <c r="CC43" s="299">
        <f t="shared" si="192"/>
        <v>0</v>
      </c>
      <c r="CD43" s="299">
        <f t="shared" si="192"/>
        <v>0</v>
      </c>
      <c r="CE43" s="299">
        <f t="shared" si="192"/>
        <v>0</v>
      </c>
      <c r="CF43" s="299">
        <f t="shared" si="192"/>
        <v>0</v>
      </c>
      <c r="CG43" s="299">
        <f t="shared" si="192"/>
        <v>0</v>
      </c>
      <c r="CH43" s="299">
        <f t="shared" si="192"/>
        <v>0</v>
      </c>
      <c r="CI43" s="299">
        <f t="shared" si="192"/>
        <v>0</v>
      </c>
      <c r="CJ43" s="299">
        <f t="shared" si="192"/>
        <v>1</v>
      </c>
      <c r="CK43" s="299">
        <f t="shared" si="192"/>
        <v>0</v>
      </c>
      <c r="CL43" s="299">
        <f t="shared" si="192"/>
        <v>0</v>
      </c>
      <c r="CM43" s="299">
        <f t="shared" si="192"/>
        <v>0</v>
      </c>
      <c r="CN43" s="299">
        <f t="shared" si="192"/>
        <v>0</v>
      </c>
      <c r="CO43" s="299">
        <f t="shared" si="192"/>
        <v>0</v>
      </c>
      <c r="CP43" s="299">
        <f t="shared" si="192"/>
        <v>0</v>
      </c>
      <c r="CQ43" s="299">
        <f t="shared" si="192"/>
        <v>0</v>
      </c>
      <c r="CR43" s="299">
        <f t="shared" si="192"/>
        <v>0</v>
      </c>
      <c r="CS43" s="299">
        <f t="shared" si="192"/>
        <v>0</v>
      </c>
      <c r="CT43" s="299">
        <f t="shared" si="192"/>
        <v>0</v>
      </c>
      <c r="CU43" s="299">
        <f t="shared" si="192"/>
        <v>0</v>
      </c>
      <c r="CV43" s="299">
        <f t="shared" si="192"/>
        <v>0</v>
      </c>
      <c r="CW43" s="299">
        <f t="shared" si="192"/>
        <v>0</v>
      </c>
      <c r="CX43" s="299">
        <f t="shared" si="192"/>
        <v>0</v>
      </c>
      <c r="CY43" s="299">
        <f t="shared" si="192"/>
        <v>0</v>
      </c>
      <c r="CZ43" s="299">
        <f t="shared" si="192"/>
        <v>0</v>
      </c>
      <c r="DA43" s="299">
        <f t="shared" si="192"/>
        <v>0</v>
      </c>
      <c r="DB43" s="299">
        <f t="shared" si="192"/>
        <v>0</v>
      </c>
      <c r="DC43" s="299">
        <f t="shared" si="192"/>
        <v>0</v>
      </c>
      <c r="DD43" s="299">
        <f t="shared" si="192"/>
        <v>0</v>
      </c>
      <c r="DE43" s="299">
        <f t="shared" si="192"/>
        <v>0</v>
      </c>
      <c r="DF43" s="299">
        <f t="shared" si="192"/>
        <v>0</v>
      </c>
      <c r="DG43" s="299">
        <f t="shared" si="192"/>
        <v>0</v>
      </c>
      <c r="DH43" s="299">
        <f t="shared" si="192"/>
        <v>0</v>
      </c>
      <c r="DI43" s="299">
        <f t="shared" si="192"/>
        <v>0</v>
      </c>
      <c r="DJ43" s="299">
        <f t="shared" si="192"/>
        <v>0</v>
      </c>
      <c r="DK43" s="299">
        <f t="shared" si="192"/>
        <v>0</v>
      </c>
      <c r="DL43" s="299">
        <f t="shared" si="192"/>
        <v>0</v>
      </c>
      <c r="DM43" s="299">
        <f t="shared" ref="DM43:DN43" si="193">+DM38+DM41</f>
        <v>0</v>
      </c>
      <c r="DN43" s="299">
        <f t="shared" si="193"/>
        <v>1</v>
      </c>
      <c r="DO43" s="360"/>
      <c r="DP43" s="360"/>
      <c r="DQ43" s="360"/>
      <c r="DR43" s="360"/>
      <c r="DS43" s="360"/>
      <c r="DT43" s="360"/>
      <c r="DU43" s="360"/>
      <c r="DV43" s="360"/>
      <c r="DW43" s="360"/>
      <c r="DX43" s="360"/>
      <c r="DY43" s="360"/>
      <c r="DZ43" s="360"/>
      <c r="EA43" s="360"/>
      <c r="EB43" s="360"/>
      <c r="EC43" s="360"/>
      <c r="ED43" s="360"/>
      <c r="EE43" s="360"/>
      <c r="EF43" s="360"/>
      <c r="EG43" s="360"/>
      <c r="EH43" s="360"/>
      <c r="EI43" s="360"/>
      <c r="EJ43" s="360"/>
      <c r="EK43" s="360"/>
      <c r="EL43" s="360"/>
      <c r="EM43" s="305">
        <f t="shared" ref="EM43" si="194">EM38+EM41</f>
        <v>0</v>
      </c>
      <c r="EN43" s="361">
        <f>EN38+EN41</f>
        <v>0</v>
      </c>
      <c r="EO43" s="362">
        <f>EO38+EO41</f>
        <v>0</v>
      </c>
      <c r="EP43" s="363">
        <f>EP38+EP41</f>
        <v>0</v>
      </c>
      <c r="EQ43" s="305">
        <f>EQ38+EQ41</f>
        <v>0</v>
      </c>
      <c r="ER43" s="307">
        <f t="shared" si="180"/>
        <v>1</v>
      </c>
      <c r="ES43" s="307">
        <f t="shared" si="16"/>
        <v>1</v>
      </c>
      <c r="ET43" s="308">
        <f t="shared" si="17"/>
        <v>1</v>
      </c>
      <c r="EU43" s="308">
        <f t="shared" si="18"/>
        <v>1</v>
      </c>
      <c r="EV43" s="308">
        <f t="shared" si="19"/>
        <v>2</v>
      </c>
      <c r="EW43" s="430"/>
      <c r="EX43" s="425"/>
      <c r="EY43" s="425"/>
      <c r="EZ43" s="426"/>
      <c r="FA43" s="432"/>
      <c r="FB43" s="429"/>
    </row>
    <row r="44" spans="1:158" s="60" customFormat="1" ht="29.25" customHeight="1" thickBot="1" x14ac:dyDescent="0.3">
      <c r="A44" s="425"/>
      <c r="B44" s="425"/>
      <c r="C44" s="425"/>
      <c r="D44" s="425"/>
      <c r="E44" s="425"/>
      <c r="F44" s="277" t="s">
        <v>45</v>
      </c>
      <c r="G44" s="309">
        <f>+G39+G42</f>
        <v>3395977144</v>
      </c>
      <c r="H44" s="310">
        <f>+H39+H42</f>
        <v>507619010</v>
      </c>
      <c r="I44" s="310"/>
      <c r="J44" s="310"/>
      <c r="K44" s="310"/>
      <c r="L44" s="310"/>
      <c r="M44" s="310"/>
      <c r="N44" s="310"/>
      <c r="O44" s="310"/>
      <c r="P44" s="310"/>
      <c r="Q44" s="310"/>
      <c r="R44" s="310"/>
      <c r="S44" s="310"/>
      <c r="T44" s="311"/>
      <c r="U44" s="310"/>
      <c r="V44" s="310"/>
      <c r="W44" s="310">
        <f t="shared" ref="W44:AB44" si="195">+W39+W42</f>
        <v>507619010</v>
      </c>
      <c r="X44" s="310">
        <f t="shared" si="195"/>
        <v>507619010</v>
      </c>
      <c r="Y44" s="310">
        <f t="shared" si="195"/>
        <v>232617000</v>
      </c>
      <c r="Z44" s="310">
        <f t="shared" si="195"/>
        <v>367619010</v>
      </c>
      <c r="AA44" s="310">
        <f t="shared" si="195"/>
        <v>232617000</v>
      </c>
      <c r="AB44" s="310">
        <f t="shared" si="195"/>
        <v>777848010</v>
      </c>
      <c r="AC44" s="310">
        <f t="shared" ref="AC44:AK44" si="196">+AC39+AC42</f>
        <v>15431000</v>
      </c>
      <c r="AD44" s="310">
        <f t="shared" si="196"/>
        <v>15431000</v>
      </c>
      <c r="AE44" s="310">
        <f t="shared" si="196"/>
        <v>60740334</v>
      </c>
      <c r="AF44" s="310">
        <f t="shared" si="196"/>
        <v>60740334</v>
      </c>
      <c r="AG44" s="310">
        <f t="shared" si="196"/>
        <v>319082833</v>
      </c>
      <c r="AH44" s="310">
        <f t="shared" si="196"/>
        <v>319082833</v>
      </c>
      <c r="AI44" s="310">
        <f t="shared" si="196"/>
        <v>17088568</v>
      </c>
      <c r="AJ44" s="310">
        <f t="shared" si="196"/>
        <v>17088568</v>
      </c>
      <c r="AK44" s="310">
        <f t="shared" si="196"/>
        <v>15722777</v>
      </c>
      <c r="AL44" s="310">
        <f t="shared" si="184"/>
        <v>10722777</v>
      </c>
      <c r="AM44" s="310">
        <f t="shared" si="184"/>
        <v>2673933</v>
      </c>
      <c r="AN44" s="310">
        <f t="shared" ref="AN44" si="197">+AN39+AN42</f>
        <v>106766359</v>
      </c>
      <c r="AO44" s="310">
        <f t="shared" si="187"/>
        <v>0</v>
      </c>
      <c r="AP44" s="310">
        <f t="shared" si="187"/>
        <v>0</v>
      </c>
      <c r="AQ44" s="310">
        <f t="shared" si="188"/>
        <v>98678807.333333299</v>
      </c>
      <c r="AR44" s="310">
        <f t="shared" si="188"/>
        <v>39414000</v>
      </c>
      <c r="AS44" s="310">
        <f t="shared" si="189"/>
        <v>124099684.3333333</v>
      </c>
      <c r="AT44" s="364">
        <f>AT39</f>
        <v>0</v>
      </c>
      <c r="AU44" s="310">
        <f t="shared" si="190"/>
        <v>87584607.333333299</v>
      </c>
      <c r="AV44" s="310"/>
      <c r="AW44" s="310">
        <f t="shared" si="191"/>
        <v>46164800</v>
      </c>
      <c r="AX44" s="310"/>
      <c r="AY44" s="310">
        <f>+AY39+AY42</f>
        <v>46164800</v>
      </c>
      <c r="AZ44" s="310"/>
      <c r="BA44" s="310">
        <f t="shared" ref="BA44:DL44" si="198">+BA39+BA42</f>
        <v>833432144</v>
      </c>
      <c r="BB44" s="310">
        <f t="shared" si="198"/>
        <v>653517936.66666663</v>
      </c>
      <c r="BC44" s="310">
        <f t="shared" si="198"/>
        <v>569245871</v>
      </c>
      <c r="BD44" s="310">
        <f t="shared" si="198"/>
        <v>833432143.99999988</v>
      </c>
      <c r="BE44" s="310">
        <f t="shared" si="198"/>
        <v>569245871</v>
      </c>
      <c r="BF44" s="310">
        <f t="shared" si="198"/>
        <v>722702000</v>
      </c>
      <c r="BG44" s="310">
        <f t="shared" si="198"/>
        <v>0</v>
      </c>
      <c r="BH44" s="310">
        <f t="shared" si="198"/>
        <v>0</v>
      </c>
      <c r="BI44" s="310">
        <f t="shared" si="198"/>
        <v>0</v>
      </c>
      <c r="BJ44" s="310">
        <f t="shared" si="198"/>
        <v>0</v>
      </c>
      <c r="BK44" s="310">
        <f t="shared" si="198"/>
        <v>0</v>
      </c>
      <c r="BL44" s="310">
        <f t="shared" si="198"/>
        <v>0</v>
      </c>
      <c r="BM44" s="310">
        <f t="shared" si="198"/>
        <v>0</v>
      </c>
      <c r="BN44" s="310">
        <f t="shared" si="198"/>
        <v>0</v>
      </c>
      <c r="BO44" s="310">
        <f t="shared" si="198"/>
        <v>0</v>
      </c>
      <c r="BP44" s="310">
        <f t="shared" si="198"/>
        <v>0</v>
      </c>
      <c r="BQ44" s="310">
        <f t="shared" si="198"/>
        <v>0</v>
      </c>
      <c r="BR44" s="310">
        <f t="shared" si="198"/>
        <v>0</v>
      </c>
      <c r="BS44" s="310">
        <f t="shared" si="198"/>
        <v>0</v>
      </c>
      <c r="BT44" s="310">
        <f t="shared" si="198"/>
        <v>0</v>
      </c>
      <c r="BU44" s="310">
        <f t="shared" si="198"/>
        <v>0</v>
      </c>
      <c r="BV44" s="310">
        <f t="shared" si="198"/>
        <v>0</v>
      </c>
      <c r="BW44" s="310">
        <f t="shared" si="198"/>
        <v>0</v>
      </c>
      <c r="BX44" s="310">
        <f t="shared" si="198"/>
        <v>0</v>
      </c>
      <c r="BY44" s="310">
        <f t="shared" si="198"/>
        <v>0</v>
      </c>
      <c r="BZ44" s="310">
        <f t="shared" si="198"/>
        <v>0</v>
      </c>
      <c r="CA44" s="310">
        <f t="shared" si="198"/>
        <v>0</v>
      </c>
      <c r="CB44" s="310">
        <f t="shared" si="198"/>
        <v>0</v>
      </c>
      <c r="CC44" s="310">
        <f t="shared" si="198"/>
        <v>0</v>
      </c>
      <c r="CD44" s="310">
        <f t="shared" si="198"/>
        <v>0</v>
      </c>
      <c r="CE44" s="310">
        <f t="shared" si="198"/>
        <v>0</v>
      </c>
      <c r="CF44" s="310">
        <f t="shared" si="198"/>
        <v>0</v>
      </c>
      <c r="CG44" s="310">
        <f t="shared" si="198"/>
        <v>0</v>
      </c>
      <c r="CH44" s="310">
        <f t="shared" si="198"/>
        <v>0</v>
      </c>
      <c r="CI44" s="310">
        <f t="shared" si="198"/>
        <v>0</v>
      </c>
      <c r="CJ44" s="310">
        <f t="shared" si="198"/>
        <v>758837000</v>
      </c>
      <c r="CK44" s="310">
        <f t="shared" si="198"/>
        <v>0</v>
      </c>
      <c r="CL44" s="310">
        <f t="shared" si="198"/>
        <v>0</v>
      </c>
      <c r="CM44" s="310">
        <f t="shared" si="198"/>
        <v>0</v>
      </c>
      <c r="CN44" s="310">
        <f t="shared" si="198"/>
        <v>0</v>
      </c>
      <c r="CO44" s="310">
        <f t="shared" si="198"/>
        <v>0</v>
      </c>
      <c r="CP44" s="310">
        <f t="shared" si="198"/>
        <v>0</v>
      </c>
      <c r="CQ44" s="310">
        <f t="shared" si="198"/>
        <v>0</v>
      </c>
      <c r="CR44" s="310">
        <f t="shared" si="198"/>
        <v>0</v>
      </c>
      <c r="CS44" s="310">
        <f t="shared" si="198"/>
        <v>0</v>
      </c>
      <c r="CT44" s="310">
        <f t="shared" si="198"/>
        <v>0</v>
      </c>
      <c r="CU44" s="310">
        <f t="shared" si="198"/>
        <v>0</v>
      </c>
      <c r="CV44" s="310">
        <f t="shared" si="198"/>
        <v>0</v>
      </c>
      <c r="CW44" s="310">
        <f t="shared" si="198"/>
        <v>0</v>
      </c>
      <c r="CX44" s="310">
        <f t="shared" si="198"/>
        <v>0</v>
      </c>
      <c r="CY44" s="310">
        <f t="shared" si="198"/>
        <v>0</v>
      </c>
      <c r="CZ44" s="310">
        <f t="shared" si="198"/>
        <v>0</v>
      </c>
      <c r="DA44" s="310">
        <f t="shared" si="198"/>
        <v>0</v>
      </c>
      <c r="DB44" s="310">
        <f t="shared" si="198"/>
        <v>0</v>
      </c>
      <c r="DC44" s="310">
        <f t="shared" si="198"/>
        <v>0</v>
      </c>
      <c r="DD44" s="310">
        <f t="shared" si="198"/>
        <v>0</v>
      </c>
      <c r="DE44" s="310">
        <f t="shared" si="198"/>
        <v>0</v>
      </c>
      <c r="DF44" s="310">
        <f t="shared" si="198"/>
        <v>0</v>
      </c>
      <c r="DG44" s="310">
        <f t="shared" si="198"/>
        <v>0</v>
      </c>
      <c r="DH44" s="310">
        <f t="shared" si="198"/>
        <v>0</v>
      </c>
      <c r="DI44" s="310">
        <f t="shared" si="198"/>
        <v>0</v>
      </c>
      <c r="DJ44" s="310">
        <f t="shared" si="198"/>
        <v>0</v>
      </c>
      <c r="DK44" s="310">
        <f t="shared" si="198"/>
        <v>0</v>
      </c>
      <c r="DL44" s="310">
        <f t="shared" si="198"/>
        <v>0</v>
      </c>
      <c r="DM44" s="310">
        <f t="shared" ref="DM44:DN44" si="199">+DM39+DM42</f>
        <v>0</v>
      </c>
      <c r="DN44" s="310">
        <f t="shared" si="199"/>
        <v>848389000</v>
      </c>
      <c r="DO44" s="344"/>
      <c r="DP44" s="344"/>
      <c r="DQ44" s="344"/>
      <c r="DR44" s="344"/>
      <c r="DS44" s="344"/>
      <c r="DT44" s="344"/>
      <c r="DU44" s="344"/>
      <c r="DV44" s="344"/>
      <c r="DW44" s="344"/>
      <c r="DX44" s="344"/>
      <c r="DY44" s="344"/>
      <c r="DZ44" s="344"/>
      <c r="EA44" s="344"/>
      <c r="EB44" s="344"/>
      <c r="EC44" s="344"/>
      <c r="ED44" s="344"/>
      <c r="EE44" s="344"/>
      <c r="EF44" s="344"/>
      <c r="EG44" s="344"/>
      <c r="EH44" s="344"/>
      <c r="EI44" s="344"/>
      <c r="EJ44" s="344"/>
      <c r="EK44" s="344"/>
      <c r="EL44" s="344"/>
      <c r="EM44" s="314">
        <f>EK44+EI44+EG44+EE44+EC44+EA44+DY44+DW44+DU44+DS44+DQ44+DO44</f>
        <v>0</v>
      </c>
      <c r="EN44" s="315">
        <f>+EN39+EN42</f>
        <v>0</v>
      </c>
      <c r="EO44" s="315">
        <f t="shared" ref="EO44:EQ44" si="200">+EO39+EO42</f>
        <v>0</v>
      </c>
      <c r="EP44" s="315">
        <f t="shared" si="200"/>
        <v>0</v>
      </c>
      <c r="EQ44" s="315">
        <f t="shared" si="200"/>
        <v>0</v>
      </c>
      <c r="ER44" s="317">
        <f t="shared" si="180"/>
        <v>0</v>
      </c>
      <c r="ES44" s="317">
        <f t="shared" si="16"/>
        <v>0.87104858040086142</v>
      </c>
      <c r="ET44" s="318">
        <f t="shared" si="17"/>
        <v>0.68301405831066686</v>
      </c>
      <c r="EU44" s="318">
        <f t="shared" si="18"/>
        <v>0.78526477140754658</v>
      </c>
      <c r="EV44" s="319">
        <f t="shared" si="19"/>
        <v>0.2361213980537909</v>
      </c>
      <c r="EW44" s="431"/>
      <c r="EX44" s="425"/>
      <c r="EY44" s="425"/>
      <c r="EZ44" s="426"/>
      <c r="FA44" s="432"/>
      <c r="FB44" s="429"/>
    </row>
    <row r="45" spans="1:158" s="4" customFormat="1" ht="29.25" customHeight="1" x14ac:dyDescent="0.25">
      <c r="A45" s="425" t="s">
        <v>315</v>
      </c>
      <c r="B45" s="425">
        <v>6</v>
      </c>
      <c r="C45" s="425" t="s">
        <v>321</v>
      </c>
      <c r="D45" s="425" t="s">
        <v>273</v>
      </c>
      <c r="E45" s="425">
        <v>268</v>
      </c>
      <c r="F45" s="128" t="s">
        <v>41</v>
      </c>
      <c r="G45" s="348">
        <f>+AA45+BD45+BF45+CJ45+DN45</f>
        <v>7948</v>
      </c>
      <c r="H45" s="327">
        <v>1292</v>
      </c>
      <c r="I45" s="327"/>
      <c r="J45" s="327"/>
      <c r="K45" s="327"/>
      <c r="L45" s="327"/>
      <c r="M45" s="327"/>
      <c r="N45" s="327"/>
      <c r="O45" s="327"/>
      <c r="P45" s="327"/>
      <c r="Q45" s="327"/>
      <c r="R45" s="327"/>
      <c r="S45" s="327"/>
      <c r="T45" s="328"/>
      <c r="U45" s="327"/>
      <c r="V45" s="327"/>
      <c r="W45" s="327">
        <v>1292</v>
      </c>
      <c r="X45" s="327">
        <v>1292</v>
      </c>
      <c r="Y45" s="327">
        <v>1292</v>
      </c>
      <c r="Z45" s="327">
        <v>1292</v>
      </c>
      <c r="AA45" s="327">
        <v>1292</v>
      </c>
      <c r="AB45" s="327">
        <v>759</v>
      </c>
      <c r="AC45" s="327">
        <v>51</v>
      </c>
      <c r="AD45" s="327">
        <v>278</v>
      </c>
      <c r="AE45" s="327">
        <v>66</v>
      </c>
      <c r="AF45" s="327">
        <v>211</v>
      </c>
      <c r="AG45" s="327">
        <v>66</v>
      </c>
      <c r="AH45" s="327">
        <v>837</v>
      </c>
      <c r="AI45" s="327">
        <v>473</v>
      </c>
      <c r="AJ45" s="327">
        <v>488</v>
      </c>
      <c r="AK45" s="327">
        <v>2050</v>
      </c>
      <c r="AL45" s="327">
        <v>892</v>
      </c>
      <c r="AM45" s="327">
        <v>295</v>
      </c>
      <c r="AN45" s="327">
        <v>798</v>
      </c>
      <c r="AO45" s="327">
        <v>295</v>
      </c>
      <c r="AP45" s="327">
        <v>265</v>
      </c>
      <c r="AQ45" s="327">
        <v>295</v>
      </c>
      <c r="AR45" s="327">
        <v>203</v>
      </c>
      <c r="AS45" s="327">
        <v>295</v>
      </c>
      <c r="AT45" s="327">
        <v>294</v>
      </c>
      <c r="AU45" s="327">
        <v>295</v>
      </c>
      <c r="AV45" s="327"/>
      <c r="AW45" s="327">
        <v>295</v>
      </c>
      <c r="AX45" s="327"/>
      <c r="AY45" s="327">
        <v>231</v>
      </c>
      <c r="AZ45" s="328"/>
      <c r="BA45" s="348">
        <f>AY45+AW45+AU45+AS45+AQ45+AO45+AM45+AK45+AI45+AG45+AE45+AC45</f>
        <v>4707</v>
      </c>
      <c r="BB45" s="321">
        <f t="shared" ref="BB45:BC49" si="201">AC45+AE45+AG45+AI45+AK45+AM45+AO45+AQ45+AS45</f>
        <v>3886</v>
      </c>
      <c r="BC45" s="321">
        <f t="shared" si="201"/>
        <v>4266</v>
      </c>
      <c r="BD45" s="349">
        <f>AE45+AG45+AI45+AK45+AM45+AO45+AQ45+AS45+AU45+AW45+AY45+AC45</f>
        <v>4707</v>
      </c>
      <c r="BE45" s="349">
        <f>AD45+AF45+AH45+AJ45+AL45+AN45+AP45+AR45+AT45+AV45+AX45+AZ45</f>
        <v>4266</v>
      </c>
      <c r="BF45" s="327">
        <v>1097</v>
      </c>
      <c r="BG45" s="327">
        <v>8</v>
      </c>
      <c r="BH45" s="327">
        <v>4</v>
      </c>
      <c r="BI45" s="327"/>
      <c r="BJ45" s="327"/>
      <c r="BK45" s="328"/>
      <c r="BL45" s="327"/>
      <c r="BM45" s="328"/>
      <c r="BN45" s="328"/>
      <c r="BO45" s="327"/>
      <c r="BP45" s="327"/>
      <c r="BQ45" s="327"/>
      <c r="BR45" s="327"/>
      <c r="BS45" s="327"/>
      <c r="BT45" s="327"/>
      <c r="BU45" s="327"/>
      <c r="BV45" s="327"/>
      <c r="BW45" s="327"/>
      <c r="BX45" s="327"/>
      <c r="BY45" s="327"/>
      <c r="BZ45" s="327"/>
      <c r="CA45" s="327"/>
      <c r="CB45" s="327"/>
      <c r="CC45" s="327"/>
      <c r="CD45" s="327"/>
      <c r="CE45" s="328">
        <v>0</v>
      </c>
      <c r="CF45" s="327">
        <v>0</v>
      </c>
      <c r="CG45" s="328">
        <v>4</v>
      </c>
      <c r="CH45" s="349">
        <v>0</v>
      </c>
      <c r="CI45" s="327">
        <v>4</v>
      </c>
      <c r="CJ45" s="327">
        <v>370</v>
      </c>
      <c r="CK45" s="327"/>
      <c r="CL45" s="327"/>
      <c r="CM45" s="327"/>
      <c r="CN45" s="327"/>
      <c r="CO45" s="327"/>
      <c r="CP45" s="327"/>
      <c r="CQ45" s="327"/>
      <c r="CR45" s="327"/>
      <c r="CS45" s="327"/>
      <c r="CT45" s="327"/>
      <c r="CU45" s="327"/>
      <c r="CV45" s="327"/>
      <c r="CW45" s="327"/>
      <c r="CX45" s="327"/>
      <c r="CY45" s="327"/>
      <c r="CZ45" s="327"/>
      <c r="DA45" s="327"/>
      <c r="DB45" s="327"/>
      <c r="DC45" s="327"/>
      <c r="DD45" s="327"/>
      <c r="DE45" s="327"/>
      <c r="DF45" s="327"/>
      <c r="DG45" s="327"/>
      <c r="DH45" s="327"/>
      <c r="DI45" s="328">
        <v>0</v>
      </c>
      <c r="DJ45" s="327">
        <v>0</v>
      </c>
      <c r="DK45" s="328">
        <v>0</v>
      </c>
      <c r="DL45" s="349">
        <v>0</v>
      </c>
      <c r="DM45" s="327">
        <v>0</v>
      </c>
      <c r="DN45" s="327">
        <v>482</v>
      </c>
      <c r="DO45" s="326"/>
      <c r="DP45" s="326"/>
      <c r="DQ45" s="326"/>
      <c r="DR45" s="326"/>
      <c r="DS45" s="326"/>
      <c r="DT45" s="326"/>
      <c r="DU45" s="326"/>
      <c r="DV45" s="326"/>
      <c r="DW45" s="326"/>
      <c r="DX45" s="326"/>
      <c r="DY45" s="326"/>
      <c r="DZ45" s="326"/>
      <c r="EA45" s="326"/>
      <c r="EB45" s="326"/>
      <c r="EC45" s="326"/>
      <c r="ED45" s="326"/>
      <c r="EE45" s="326"/>
      <c r="EF45" s="326"/>
      <c r="EG45" s="327"/>
      <c r="EH45" s="327"/>
      <c r="EI45" s="327"/>
      <c r="EJ45" s="327"/>
      <c r="EK45" s="327"/>
      <c r="EL45" s="327"/>
      <c r="EM45" s="328">
        <f>EK45+EI45+EG45+EE45+EC45+EA45+DY45+DW45+DU45+DS45+DQ45+DO45</f>
        <v>0</v>
      </c>
      <c r="EN45" s="327">
        <f t="shared" ref="EN45:EN50" si="202">DO45+DQ45+DS45+DU45</f>
        <v>0</v>
      </c>
      <c r="EO45" s="328">
        <f t="shared" ref="EO45:EO50" si="203">DP45+DR45+DT45+DV45</f>
        <v>0</v>
      </c>
      <c r="EP45" s="329">
        <f>DQ45+DS45+DU45+DW45+DY45+EA45+EC45+EE45+EG45+EI45+EK45+DO45</f>
        <v>0</v>
      </c>
      <c r="EQ45" s="327">
        <f>DP45+DR45+DT45+DV45</f>
        <v>0</v>
      </c>
      <c r="ER45" s="330">
        <f>+AT45/AS45</f>
        <v>0.99661016949152548</v>
      </c>
      <c r="ES45" s="330">
        <f>+BC45/BB45</f>
        <v>1.0977869274318064</v>
      </c>
      <c r="ET45" s="331">
        <f>BE45/BD45</f>
        <v>0.90630975143403447</v>
      </c>
      <c r="EU45" s="331">
        <f>+(AA45+BC45)/(Z45+BB45)</f>
        <v>1.0733874082657398</v>
      </c>
      <c r="EV45" s="331">
        <f>+(AA45+BC45)/G45</f>
        <v>0.69929542023150482</v>
      </c>
      <c r="EW45" s="427" t="s">
        <v>595</v>
      </c>
      <c r="EX45" s="425" t="s">
        <v>367</v>
      </c>
      <c r="EY45" s="425" t="s">
        <v>367</v>
      </c>
      <c r="EZ45" s="426" t="s">
        <v>378</v>
      </c>
      <c r="FA45" s="432" t="s">
        <v>377</v>
      </c>
      <c r="FB45" s="429"/>
    </row>
    <row r="46" spans="1:158" s="70" customFormat="1" ht="29.25" customHeight="1" x14ac:dyDescent="0.25">
      <c r="A46" s="425"/>
      <c r="B46" s="425"/>
      <c r="C46" s="425"/>
      <c r="D46" s="425"/>
      <c r="E46" s="425"/>
      <c r="F46" s="126" t="s">
        <v>3</v>
      </c>
      <c r="G46" s="290">
        <f>+AA46+BD46+BF46+CJ46+DN46</f>
        <v>6744703000</v>
      </c>
      <c r="H46" s="288">
        <v>658814131</v>
      </c>
      <c r="I46" s="290"/>
      <c r="J46" s="290"/>
      <c r="K46" s="290"/>
      <c r="L46" s="290"/>
      <c r="M46" s="290"/>
      <c r="N46" s="290"/>
      <c r="O46" s="290"/>
      <c r="P46" s="290"/>
      <c r="Q46" s="290"/>
      <c r="R46" s="290"/>
      <c r="S46" s="290"/>
      <c r="T46" s="332"/>
      <c r="U46" s="288"/>
      <c r="V46" s="288"/>
      <c r="W46" s="288">
        <v>658814131</v>
      </c>
      <c r="X46" s="288">
        <v>658814131</v>
      </c>
      <c r="Y46" s="288">
        <v>644978000</v>
      </c>
      <c r="Z46" s="288">
        <v>658814131</v>
      </c>
      <c r="AA46" s="288">
        <v>644978000</v>
      </c>
      <c r="AB46" s="288">
        <v>1294148000</v>
      </c>
      <c r="AC46" s="290">
        <v>0</v>
      </c>
      <c r="AD46" s="288">
        <v>0</v>
      </c>
      <c r="AE46" s="288">
        <v>385283000</v>
      </c>
      <c r="AF46" s="288">
        <f>385283000-AD46</f>
        <v>385283000</v>
      </c>
      <c r="AG46" s="288">
        <v>752696000</v>
      </c>
      <c r="AH46" s="288">
        <f>1137979000-AF46-AD46</f>
        <v>752696000</v>
      </c>
      <c r="AI46" s="288">
        <v>0</v>
      </c>
      <c r="AJ46" s="288">
        <f>1137979000-AH46-AF46-AD46</f>
        <v>0</v>
      </c>
      <c r="AK46" s="290">
        <v>24066000</v>
      </c>
      <c r="AL46" s="290">
        <f>1162045000-AJ46-AH46-AF46-AD46</f>
        <v>24066000</v>
      </c>
      <c r="AM46" s="290">
        <v>0</v>
      </c>
      <c r="AN46" s="290">
        <v>0</v>
      </c>
      <c r="AO46" s="290">
        <v>0</v>
      </c>
      <c r="AP46" s="290">
        <v>0</v>
      </c>
      <c r="AQ46" s="290">
        <v>44034333.333333336</v>
      </c>
      <c r="AR46" s="290">
        <v>0</v>
      </c>
      <c r="AS46" s="290">
        <v>44034333.333333336</v>
      </c>
      <c r="AT46" s="290">
        <v>24595500</v>
      </c>
      <c r="AU46" s="290">
        <v>44034333.333333336</v>
      </c>
      <c r="AV46" s="290"/>
      <c r="AW46" s="290">
        <v>0</v>
      </c>
      <c r="AX46" s="290"/>
      <c r="AY46" s="290">
        <v>0</v>
      </c>
      <c r="AZ46" s="365"/>
      <c r="BA46" s="288">
        <f>AY46+AW46+AU46+AS46+AQ46+AO46+AM46+AK46+AI46+AG46+AE46+AC46</f>
        <v>1294148000</v>
      </c>
      <c r="BB46" s="290">
        <f>AC46+AE46+AG46+AI46+AK46+AM46+AO46+AQ46+AS46</f>
        <v>1250113666.6666665</v>
      </c>
      <c r="BC46" s="290">
        <f t="shared" si="201"/>
        <v>1186640500</v>
      </c>
      <c r="BD46" s="288">
        <f t="shared" ref="BD46:BD49" si="204">AE46+AG46+AI46+AK46+AM46+AO46+AQ46+AS46+AU46+AW46+AY46+AC46</f>
        <v>1294147999.9999998</v>
      </c>
      <c r="BE46" s="288">
        <f>AD46+AF46+AH46+AJ46+AL46+AN46+AP46+AR46+AT46+AV46+AX46+AZ46</f>
        <v>1186640500</v>
      </c>
      <c r="BF46" s="290">
        <v>1847411000</v>
      </c>
      <c r="BG46" s="365"/>
      <c r="BH46" s="290"/>
      <c r="BI46" s="290"/>
      <c r="BJ46" s="290"/>
      <c r="BK46" s="290"/>
      <c r="BL46" s="290"/>
      <c r="BM46" s="290"/>
      <c r="BN46" s="290"/>
      <c r="BO46" s="290"/>
      <c r="BP46" s="290"/>
      <c r="BQ46" s="290"/>
      <c r="BR46" s="290"/>
      <c r="BS46" s="290"/>
      <c r="BT46" s="290"/>
      <c r="BU46" s="290"/>
      <c r="BV46" s="290"/>
      <c r="BW46" s="290"/>
      <c r="BX46" s="290"/>
      <c r="BY46" s="290"/>
      <c r="BZ46" s="290"/>
      <c r="CA46" s="290"/>
      <c r="CB46" s="290"/>
      <c r="CC46" s="290"/>
      <c r="CD46" s="290"/>
      <c r="CE46" s="288"/>
      <c r="CF46" s="290"/>
      <c r="CG46" s="290"/>
      <c r="CH46" s="288"/>
      <c r="CI46" s="290"/>
      <c r="CJ46" s="290">
        <v>1939781000</v>
      </c>
      <c r="CK46" s="290"/>
      <c r="CL46" s="290"/>
      <c r="CM46" s="290"/>
      <c r="CN46" s="290"/>
      <c r="CO46" s="290"/>
      <c r="CP46" s="290"/>
      <c r="CQ46" s="290"/>
      <c r="CR46" s="290"/>
      <c r="CS46" s="290"/>
      <c r="CT46" s="290"/>
      <c r="CU46" s="290"/>
      <c r="CV46" s="290"/>
      <c r="CW46" s="290"/>
      <c r="CX46" s="290"/>
      <c r="CY46" s="290"/>
      <c r="CZ46" s="290"/>
      <c r="DA46" s="290"/>
      <c r="DB46" s="290"/>
      <c r="DC46" s="290"/>
      <c r="DD46" s="290"/>
      <c r="DE46" s="290"/>
      <c r="DF46" s="290"/>
      <c r="DG46" s="290"/>
      <c r="DH46" s="290"/>
      <c r="DI46" s="288"/>
      <c r="DJ46" s="290"/>
      <c r="DK46" s="290"/>
      <c r="DL46" s="288"/>
      <c r="DM46" s="290"/>
      <c r="DN46" s="290">
        <v>1018385000</v>
      </c>
      <c r="DO46" s="291"/>
      <c r="DP46" s="291"/>
      <c r="DQ46" s="291"/>
      <c r="DR46" s="291"/>
      <c r="DS46" s="291"/>
      <c r="DT46" s="291"/>
      <c r="DU46" s="291"/>
      <c r="DV46" s="291"/>
      <c r="DW46" s="291"/>
      <c r="DX46" s="291"/>
      <c r="DY46" s="291"/>
      <c r="DZ46" s="291"/>
      <c r="EA46" s="291"/>
      <c r="EB46" s="291"/>
      <c r="EC46" s="291"/>
      <c r="ED46" s="291"/>
      <c r="EE46" s="291"/>
      <c r="EF46" s="291"/>
      <c r="EG46" s="291"/>
      <c r="EH46" s="291"/>
      <c r="EI46" s="291"/>
      <c r="EJ46" s="291"/>
      <c r="EK46" s="291"/>
      <c r="EL46" s="291"/>
      <c r="EM46" s="281">
        <f>EK46+EI46+EG46+EE46+EC46+EA46+DY46+DW46+DU46+DS46+DQ46+DO46</f>
        <v>0</v>
      </c>
      <c r="EN46" s="292">
        <f t="shared" si="202"/>
        <v>0</v>
      </c>
      <c r="EO46" s="292">
        <f t="shared" si="203"/>
        <v>0</v>
      </c>
      <c r="EP46" s="293">
        <f>DQ46+DS46+DU46+DW46+DY46+EA46+EC46+EE46+EG46+EI46+EK46+DO46</f>
        <v>0</v>
      </c>
      <c r="EQ46" s="292">
        <f>DP46+DR46+DT46+DV46</f>
        <v>0</v>
      </c>
      <c r="ER46" s="285">
        <f t="shared" ref="ER46:ER51" si="205">+AT46/AS46</f>
        <v>0.55855279592439233</v>
      </c>
      <c r="ES46" s="285">
        <f t="shared" si="16"/>
        <v>0.94922608370812156</v>
      </c>
      <c r="ET46" s="286">
        <f t="shared" si="17"/>
        <v>0.91692797114394975</v>
      </c>
      <c r="EU46" s="286">
        <f t="shared" si="18"/>
        <v>0.95950119341278195</v>
      </c>
      <c r="EV46" s="286">
        <f t="shared" si="19"/>
        <v>0.27156399622044142</v>
      </c>
      <c r="EW46" s="427"/>
      <c r="EX46" s="425"/>
      <c r="EY46" s="425"/>
      <c r="EZ46" s="426"/>
      <c r="FA46" s="432"/>
      <c r="FB46" s="429"/>
    </row>
    <row r="47" spans="1:158" s="70" customFormat="1" ht="29.25" customHeight="1" x14ac:dyDescent="0.25">
      <c r="A47" s="425"/>
      <c r="B47" s="425"/>
      <c r="C47" s="425"/>
      <c r="D47" s="425"/>
      <c r="E47" s="425"/>
      <c r="F47" s="127" t="s">
        <v>220</v>
      </c>
      <c r="G47" s="290"/>
      <c r="H47" s="288"/>
      <c r="I47" s="290"/>
      <c r="J47" s="290"/>
      <c r="K47" s="290"/>
      <c r="L47" s="290"/>
      <c r="M47" s="290"/>
      <c r="N47" s="290"/>
      <c r="O47" s="290"/>
      <c r="P47" s="290"/>
      <c r="Q47" s="290"/>
      <c r="R47" s="290"/>
      <c r="S47" s="290"/>
      <c r="T47" s="332"/>
      <c r="U47" s="288"/>
      <c r="V47" s="288"/>
      <c r="W47" s="288"/>
      <c r="X47" s="288"/>
      <c r="Y47" s="288"/>
      <c r="Z47" s="288"/>
      <c r="AA47" s="288"/>
      <c r="AB47" s="288"/>
      <c r="AC47" s="290">
        <v>0</v>
      </c>
      <c r="AD47" s="290">
        <v>0</v>
      </c>
      <c r="AE47" s="288">
        <v>0</v>
      </c>
      <c r="AF47" s="288">
        <v>0</v>
      </c>
      <c r="AG47" s="288">
        <v>2672200</v>
      </c>
      <c r="AH47" s="288">
        <v>2672200</v>
      </c>
      <c r="AI47" s="288">
        <v>50155734</v>
      </c>
      <c r="AJ47" s="288">
        <f>52827934-AH47</f>
        <v>50155734</v>
      </c>
      <c r="AK47" s="290">
        <v>112069567</v>
      </c>
      <c r="AL47" s="290">
        <f>164897501-AJ47-AH47</f>
        <v>112069567</v>
      </c>
      <c r="AM47" s="290">
        <v>153388400</v>
      </c>
      <c r="AN47" s="290">
        <v>153388400</v>
      </c>
      <c r="AO47" s="290">
        <v>0</v>
      </c>
      <c r="AP47" s="290">
        <v>133716400</v>
      </c>
      <c r="AQ47" s="290">
        <v>0</v>
      </c>
      <c r="AR47" s="290">
        <v>134296967</v>
      </c>
      <c r="AS47" s="290">
        <v>0</v>
      </c>
      <c r="AT47" s="290">
        <v>143750933</v>
      </c>
      <c r="AU47" s="290">
        <v>0</v>
      </c>
      <c r="AV47" s="290"/>
      <c r="AW47" s="290">
        <v>0</v>
      </c>
      <c r="AX47" s="290"/>
      <c r="AY47" s="290">
        <v>0</v>
      </c>
      <c r="AZ47" s="365"/>
      <c r="BA47" s="288">
        <f>AY47+AW47+AU47+AS47+AQ47+AO47+AM47+AK47+AI47+AG47+AE47+AC47</f>
        <v>318285901</v>
      </c>
      <c r="BB47" s="290">
        <f>AC47+AE47+AG47+AI47+AK47+AM47+AO47+AQ47+AS47</f>
        <v>318285901</v>
      </c>
      <c r="BC47" s="290">
        <f>AD47+AF47+AH47+AJ47+AL47+AN47+AP47+AR47+AT47</f>
        <v>730050201</v>
      </c>
      <c r="BD47" s="288">
        <f t="shared" si="204"/>
        <v>318285901</v>
      </c>
      <c r="BE47" s="288">
        <f>AD47+AF47+AH47+AJ47+AL47+AN47+AP47+AR47+AT47+AV47+AX47+AZ47</f>
        <v>730050201</v>
      </c>
      <c r="BF47" s="290">
        <v>0</v>
      </c>
      <c r="BG47" s="365"/>
      <c r="BH47" s="290"/>
      <c r="BI47" s="290"/>
      <c r="BJ47" s="290"/>
      <c r="BK47" s="290"/>
      <c r="BL47" s="290"/>
      <c r="BM47" s="290"/>
      <c r="BN47" s="290"/>
      <c r="BO47" s="290"/>
      <c r="BP47" s="290"/>
      <c r="BQ47" s="290"/>
      <c r="BR47" s="290"/>
      <c r="BS47" s="290"/>
      <c r="BT47" s="290"/>
      <c r="BU47" s="290"/>
      <c r="BV47" s="290"/>
      <c r="BW47" s="290"/>
      <c r="BX47" s="290"/>
      <c r="BY47" s="290"/>
      <c r="BZ47" s="290"/>
      <c r="CA47" s="290"/>
      <c r="CB47" s="290"/>
      <c r="CC47" s="290"/>
      <c r="CD47" s="290"/>
      <c r="CE47" s="288"/>
      <c r="CF47" s="290"/>
      <c r="CG47" s="290"/>
      <c r="CH47" s="288"/>
      <c r="CI47" s="290"/>
      <c r="CJ47" s="290">
        <v>0</v>
      </c>
      <c r="CK47" s="290"/>
      <c r="CL47" s="290"/>
      <c r="CM47" s="290"/>
      <c r="CN47" s="290"/>
      <c r="CO47" s="290"/>
      <c r="CP47" s="290"/>
      <c r="CQ47" s="290"/>
      <c r="CR47" s="290"/>
      <c r="CS47" s="290"/>
      <c r="CT47" s="290"/>
      <c r="CU47" s="290"/>
      <c r="CV47" s="290"/>
      <c r="CW47" s="290"/>
      <c r="CX47" s="290"/>
      <c r="CY47" s="290"/>
      <c r="CZ47" s="290"/>
      <c r="DA47" s="290"/>
      <c r="DB47" s="290"/>
      <c r="DC47" s="290"/>
      <c r="DD47" s="290"/>
      <c r="DE47" s="290"/>
      <c r="DF47" s="290"/>
      <c r="DG47" s="290"/>
      <c r="DH47" s="290"/>
      <c r="DI47" s="288"/>
      <c r="DJ47" s="290"/>
      <c r="DK47" s="290"/>
      <c r="DL47" s="288"/>
      <c r="DM47" s="290"/>
      <c r="DN47" s="290">
        <v>0</v>
      </c>
      <c r="DO47" s="291"/>
      <c r="DP47" s="291"/>
      <c r="DQ47" s="291"/>
      <c r="DR47" s="291"/>
      <c r="DS47" s="291"/>
      <c r="DT47" s="291"/>
      <c r="DU47" s="291"/>
      <c r="DV47" s="291"/>
      <c r="DW47" s="291"/>
      <c r="DX47" s="291"/>
      <c r="DY47" s="291"/>
      <c r="DZ47" s="291"/>
      <c r="EA47" s="291"/>
      <c r="EB47" s="291"/>
      <c r="EC47" s="291"/>
      <c r="ED47" s="291"/>
      <c r="EE47" s="291"/>
      <c r="EF47" s="291"/>
      <c r="EG47" s="291"/>
      <c r="EH47" s="291"/>
      <c r="EI47" s="291"/>
      <c r="EJ47" s="291"/>
      <c r="EK47" s="291"/>
      <c r="EL47" s="291"/>
      <c r="EM47" s="281">
        <f>EI47+EG47+EE47+EC47+EA47+DY47+DW47+DU47+DS47+DQ47+DO47+EK47</f>
        <v>0</v>
      </c>
      <c r="EN47" s="292">
        <f t="shared" si="202"/>
        <v>0</v>
      </c>
      <c r="EO47" s="292">
        <f t="shared" si="203"/>
        <v>0</v>
      </c>
      <c r="EP47" s="288">
        <f>DQ47+DS47+DU47+DW47+DY47+EA47+EC47+EE47+EG47+EI47+EK47</f>
        <v>0</v>
      </c>
      <c r="EQ47" s="292">
        <f>DP47+DR47+DT47+DV47</f>
        <v>0</v>
      </c>
      <c r="ER47" s="285" t="e">
        <f t="shared" si="205"/>
        <v>#DIV/0!</v>
      </c>
      <c r="ES47" s="285">
        <f t="shared" si="16"/>
        <v>2.2936931818415669</v>
      </c>
      <c r="ET47" s="286">
        <f t="shared" si="17"/>
        <v>2.2936931818415669</v>
      </c>
      <c r="EU47" s="286">
        <f t="shared" si="18"/>
        <v>2.2936931818415669</v>
      </c>
      <c r="EV47" s="286" t="e">
        <f t="shared" si="19"/>
        <v>#DIV/0!</v>
      </c>
      <c r="EW47" s="427"/>
      <c r="EX47" s="425"/>
      <c r="EY47" s="425"/>
      <c r="EZ47" s="426"/>
      <c r="FA47" s="432"/>
      <c r="FB47" s="429"/>
    </row>
    <row r="48" spans="1:158" s="4" customFormat="1" ht="29.25" customHeight="1" x14ac:dyDescent="0.25">
      <c r="A48" s="425"/>
      <c r="B48" s="425"/>
      <c r="C48" s="425"/>
      <c r="D48" s="425"/>
      <c r="E48" s="425"/>
      <c r="F48" s="128" t="s">
        <v>42</v>
      </c>
      <c r="G48" s="334">
        <f>+AA48+BD48+BF48+CJ48+DN48</f>
        <v>0</v>
      </c>
      <c r="H48" s="282">
        <v>0</v>
      </c>
      <c r="I48" s="282"/>
      <c r="J48" s="282"/>
      <c r="K48" s="282"/>
      <c r="L48" s="282"/>
      <c r="M48" s="282"/>
      <c r="N48" s="282"/>
      <c r="O48" s="282"/>
      <c r="P48" s="282"/>
      <c r="Q48" s="282"/>
      <c r="R48" s="282"/>
      <c r="S48" s="282"/>
      <c r="T48" s="335"/>
      <c r="U48" s="282"/>
      <c r="V48" s="282"/>
      <c r="W48" s="282">
        <v>0</v>
      </c>
      <c r="X48" s="282">
        <v>0</v>
      </c>
      <c r="Y48" s="282">
        <v>0</v>
      </c>
      <c r="Z48" s="282">
        <v>0</v>
      </c>
      <c r="AA48" s="282">
        <v>0</v>
      </c>
      <c r="AB48" s="282">
        <v>0</v>
      </c>
      <c r="AC48" s="282">
        <v>0</v>
      </c>
      <c r="AD48" s="282">
        <v>0</v>
      </c>
      <c r="AE48" s="282">
        <v>0</v>
      </c>
      <c r="AF48" s="282">
        <v>0</v>
      </c>
      <c r="AG48" s="282">
        <v>0</v>
      </c>
      <c r="AH48" s="282">
        <v>0</v>
      </c>
      <c r="AI48" s="282">
        <v>0</v>
      </c>
      <c r="AJ48" s="282">
        <v>0</v>
      </c>
      <c r="AK48" s="282">
        <v>0</v>
      </c>
      <c r="AL48" s="282">
        <v>0</v>
      </c>
      <c r="AM48" s="282">
        <v>0</v>
      </c>
      <c r="AN48" s="282">
        <v>0</v>
      </c>
      <c r="AO48" s="282">
        <v>0</v>
      </c>
      <c r="AP48" s="282">
        <v>0</v>
      </c>
      <c r="AQ48" s="282">
        <v>0</v>
      </c>
      <c r="AR48" s="282">
        <v>0</v>
      </c>
      <c r="AS48" s="282">
        <v>0</v>
      </c>
      <c r="AT48" s="282">
        <v>0</v>
      </c>
      <c r="AU48" s="282">
        <v>0</v>
      </c>
      <c r="AV48" s="282">
        <v>0</v>
      </c>
      <c r="AW48" s="282">
        <v>0</v>
      </c>
      <c r="AX48" s="282">
        <v>0</v>
      </c>
      <c r="AY48" s="282">
        <v>0</v>
      </c>
      <c r="AZ48" s="335"/>
      <c r="BA48" s="334">
        <f>AY48+AW48+AU48+AS48+AQ48+AO48+AM48+AK48+AI48+AG48+AE48+AC48</f>
        <v>0</v>
      </c>
      <c r="BB48" s="347">
        <f t="shared" si="201"/>
        <v>0</v>
      </c>
      <c r="BC48" s="347">
        <f t="shared" si="201"/>
        <v>0</v>
      </c>
      <c r="BD48" s="336">
        <f t="shared" si="204"/>
        <v>0</v>
      </c>
      <c r="BE48" s="336">
        <f>AD48+AF48+AH48+AJ48+AL48+AN48+AP48+AR48+AT48+AV48+AX48+AZ48</f>
        <v>0</v>
      </c>
      <c r="BF48" s="282">
        <v>0</v>
      </c>
      <c r="BG48" s="282">
        <v>0</v>
      </c>
      <c r="BH48" s="282">
        <v>0</v>
      </c>
      <c r="BI48" s="282"/>
      <c r="BJ48" s="282"/>
      <c r="BK48" s="335"/>
      <c r="BL48" s="282"/>
      <c r="BM48" s="335"/>
      <c r="BN48" s="335"/>
      <c r="BO48" s="282"/>
      <c r="BP48" s="282"/>
      <c r="BQ48" s="282"/>
      <c r="BR48" s="282"/>
      <c r="BS48" s="282"/>
      <c r="BT48" s="282"/>
      <c r="BU48" s="282"/>
      <c r="BV48" s="282"/>
      <c r="BW48" s="282"/>
      <c r="BX48" s="282"/>
      <c r="BY48" s="282"/>
      <c r="BZ48" s="282"/>
      <c r="CA48" s="282"/>
      <c r="CB48" s="282"/>
      <c r="CC48" s="282"/>
      <c r="CD48" s="282"/>
      <c r="CE48" s="335">
        <v>0</v>
      </c>
      <c r="CF48" s="282">
        <v>0</v>
      </c>
      <c r="CG48" s="335">
        <v>0</v>
      </c>
      <c r="CH48" s="336">
        <v>0</v>
      </c>
      <c r="CI48" s="282">
        <v>0</v>
      </c>
      <c r="CJ48" s="282">
        <v>0</v>
      </c>
      <c r="CK48" s="282"/>
      <c r="CL48" s="282"/>
      <c r="CM48" s="282"/>
      <c r="CN48" s="282"/>
      <c r="CO48" s="282"/>
      <c r="CP48" s="282"/>
      <c r="CQ48" s="282"/>
      <c r="CR48" s="282"/>
      <c r="CS48" s="282"/>
      <c r="CT48" s="282"/>
      <c r="CU48" s="282"/>
      <c r="CV48" s="282"/>
      <c r="CW48" s="282"/>
      <c r="CX48" s="282"/>
      <c r="CY48" s="282"/>
      <c r="CZ48" s="282"/>
      <c r="DA48" s="282"/>
      <c r="DB48" s="282"/>
      <c r="DC48" s="282"/>
      <c r="DD48" s="282"/>
      <c r="DE48" s="282"/>
      <c r="DF48" s="282"/>
      <c r="DG48" s="282"/>
      <c r="DH48" s="282"/>
      <c r="DI48" s="335">
        <v>0</v>
      </c>
      <c r="DJ48" s="282">
        <v>0</v>
      </c>
      <c r="DK48" s="335">
        <v>0</v>
      </c>
      <c r="DL48" s="336">
        <v>0</v>
      </c>
      <c r="DM48" s="282">
        <v>0</v>
      </c>
      <c r="DN48" s="282">
        <v>0</v>
      </c>
      <c r="DO48" s="295"/>
      <c r="DP48" s="295"/>
      <c r="DQ48" s="295"/>
      <c r="DR48" s="295"/>
      <c r="DS48" s="295"/>
      <c r="DT48" s="295"/>
      <c r="DU48" s="295"/>
      <c r="DV48" s="295"/>
      <c r="DW48" s="295"/>
      <c r="DX48" s="295"/>
      <c r="DY48" s="295"/>
      <c r="DZ48" s="295"/>
      <c r="EA48" s="295"/>
      <c r="EB48" s="295"/>
      <c r="EC48" s="295"/>
      <c r="ED48" s="295"/>
      <c r="EE48" s="295"/>
      <c r="EF48" s="295"/>
      <c r="EG48" s="295"/>
      <c r="EH48" s="295"/>
      <c r="EI48" s="295"/>
      <c r="EJ48" s="295"/>
      <c r="EK48" s="295"/>
      <c r="EL48" s="295"/>
      <c r="EM48" s="282">
        <f>EI48+EG48+EE48+EC48+EA48+DY48+DW48+DU48+DS48+DQ48+DO48+EK48</f>
        <v>0</v>
      </c>
      <c r="EN48" s="296">
        <f t="shared" si="202"/>
        <v>0</v>
      </c>
      <c r="EO48" s="297">
        <f t="shared" si="203"/>
        <v>0</v>
      </c>
      <c r="EP48" s="284">
        <f>DQ48+DS48+DU48+DW48+DY48+EA48+EC48+EE48+EG48+EI48+EK48</f>
        <v>0</v>
      </c>
      <c r="EQ48" s="282">
        <f>DP48+DR48+DT48+DV48</f>
        <v>0</v>
      </c>
      <c r="ER48" s="285" t="e">
        <f t="shared" si="205"/>
        <v>#DIV/0!</v>
      </c>
      <c r="ES48" s="285" t="e">
        <f t="shared" si="16"/>
        <v>#DIV/0!</v>
      </c>
      <c r="ET48" s="286" t="e">
        <f t="shared" si="17"/>
        <v>#DIV/0!</v>
      </c>
      <c r="EU48" s="286" t="e">
        <f t="shared" si="18"/>
        <v>#DIV/0!</v>
      </c>
      <c r="EV48" s="286" t="e">
        <f t="shared" si="19"/>
        <v>#DIV/0!</v>
      </c>
      <c r="EW48" s="427"/>
      <c r="EX48" s="425"/>
      <c r="EY48" s="425"/>
      <c r="EZ48" s="426"/>
      <c r="FA48" s="432"/>
      <c r="FB48" s="429"/>
    </row>
    <row r="49" spans="1:158" s="4" customFormat="1" ht="29.25" customHeight="1" x14ac:dyDescent="0.25">
      <c r="A49" s="425"/>
      <c r="B49" s="425"/>
      <c r="C49" s="425"/>
      <c r="D49" s="425"/>
      <c r="E49" s="425"/>
      <c r="F49" s="126" t="s">
        <v>4</v>
      </c>
      <c r="G49" s="290">
        <f>+AA49+BD49+BF49+CJ49+DN49</f>
        <v>274333630</v>
      </c>
      <c r="H49" s="288">
        <v>0</v>
      </c>
      <c r="I49" s="290"/>
      <c r="J49" s="290"/>
      <c r="K49" s="290"/>
      <c r="L49" s="290"/>
      <c r="M49" s="290"/>
      <c r="N49" s="290"/>
      <c r="O49" s="290"/>
      <c r="P49" s="290"/>
      <c r="Q49" s="290"/>
      <c r="R49" s="290"/>
      <c r="S49" s="290"/>
      <c r="T49" s="332"/>
      <c r="U49" s="288"/>
      <c r="V49" s="288"/>
      <c r="W49" s="288">
        <v>0</v>
      </c>
      <c r="X49" s="288">
        <v>0</v>
      </c>
      <c r="Y49" s="288">
        <v>0</v>
      </c>
      <c r="Z49" s="288">
        <v>0</v>
      </c>
      <c r="AA49" s="288">
        <v>0</v>
      </c>
      <c r="AB49" s="288">
        <v>282323662</v>
      </c>
      <c r="AC49" s="288">
        <v>62610500</v>
      </c>
      <c r="AD49" s="288">
        <v>62610500</v>
      </c>
      <c r="AE49" s="288">
        <v>113705833</v>
      </c>
      <c r="AF49" s="288">
        <f>176316333-AD49</f>
        <v>113705833</v>
      </c>
      <c r="AG49" s="288">
        <v>41010499</v>
      </c>
      <c r="AH49" s="288">
        <f>217326832-AF49-AD49</f>
        <v>41010499</v>
      </c>
      <c r="AI49" s="288">
        <v>24710465</v>
      </c>
      <c r="AJ49" s="288">
        <f>242037297-AH49-AF49-AD49</f>
        <v>24710465</v>
      </c>
      <c r="AK49" s="290">
        <v>3094000</v>
      </c>
      <c r="AL49" s="290">
        <f>245131297-AJ49-AH49-AF49-AD49</f>
        <v>3094000</v>
      </c>
      <c r="AM49" s="290">
        <v>14803433</v>
      </c>
      <c r="AN49" s="290">
        <v>14803433</v>
      </c>
      <c r="AO49" s="290">
        <v>0</v>
      </c>
      <c r="AP49" s="290">
        <v>0</v>
      </c>
      <c r="AQ49" s="290">
        <f>30516833-3961969-22793465</f>
        <v>3761399</v>
      </c>
      <c r="AR49" s="290">
        <v>0</v>
      </c>
      <c r="AS49" s="290">
        <f>10636900+601</f>
        <v>10637501</v>
      </c>
      <c r="AT49" s="290">
        <v>0</v>
      </c>
      <c r="AU49" s="290"/>
      <c r="AV49" s="290"/>
      <c r="AW49" s="290"/>
      <c r="AX49" s="290"/>
      <c r="AY49" s="290"/>
      <c r="AZ49" s="365"/>
      <c r="BA49" s="288">
        <f>AY49+AW49+AU49+AS49+AQ49+AO49+AM49+AK49+AI49+AG49+AE49+AC49</f>
        <v>274333630</v>
      </c>
      <c r="BB49" s="290">
        <f t="shared" si="201"/>
        <v>274333630</v>
      </c>
      <c r="BC49" s="290">
        <f t="shared" si="201"/>
        <v>259934730</v>
      </c>
      <c r="BD49" s="288">
        <f t="shared" si="204"/>
        <v>274333630</v>
      </c>
      <c r="BE49" s="288">
        <f>AD49+AF49+AH49+AJ49+AL49+AN49+AP49+AR49+AT49+AV49+AX49+AZ49</f>
        <v>259934730</v>
      </c>
      <c r="BF49" s="290">
        <v>0</v>
      </c>
      <c r="BG49" s="365">
        <v>0</v>
      </c>
      <c r="BH49" s="290">
        <v>0</v>
      </c>
      <c r="BI49" s="290"/>
      <c r="BJ49" s="290"/>
      <c r="BK49" s="290"/>
      <c r="BL49" s="290"/>
      <c r="BM49" s="290"/>
      <c r="BN49" s="290"/>
      <c r="BO49" s="290"/>
      <c r="BP49" s="290"/>
      <c r="BQ49" s="290"/>
      <c r="BR49" s="290"/>
      <c r="BS49" s="290"/>
      <c r="BT49" s="290"/>
      <c r="BU49" s="290"/>
      <c r="BV49" s="290"/>
      <c r="BW49" s="290"/>
      <c r="BX49" s="290"/>
      <c r="BY49" s="290"/>
      <c r="BZ49" s="290"/>
      <c r="CA49" s="290"/>
      <c r="CB49" s="290"/>
      <c r="CC49" s="290"/>
      <c r="CD49" s="290"/>
      <c r="CE49" s="288">
        <v>0</v>
      </c>
      <c r="CF49" s="290">
        <v>0</v>
      </c>
      <c r="CG49" s="290">
        <v>0</v>
      </c>
      <c r="CH49" s="288">
        <v>0</v>
      </c>
      <c r="CI49" s="290">
        <v>0</v>
      </c>
      <c r="CJ49" s="290">
        <v>0</v>
      </c>
      <c r="CK49" s="290"/>
      <c r="CL49" s="290"/>
      <c r="CM49" s="290"/>
      <c r="CN49" s="290"/>
      <c r="CO49" s="290"/>
      <c r="CP49" s="290"/>
      <c r="CQ49" s="290"/>
      <c r="CR49" s="290"/>
      <c r="CS49" s="290"/>
      <c r="CT49" s="290"/>
      <c r="CU49" s="290"/>
      <c r="CV49" s="290"/>
      <c r="CW49" s="290"/>
      <c r="CX49" s="290"/>
      <c r="CY49" s="290"/>
      <c r="CZ49" s="290"/>
      <c r="DA49" s="290"/>
      <c r="DB49" s="290"/>
      <c r="DC49" s="290"/>
      <c r="DD49" s="290"/>
      <c r="DE49" s="290"/>
      <c r="DF49" s="290"/>
      <c r="DG49" s="290"/>
      <c r="DH49" s="290"/>
      <c r="DI49" s="288">
        <v>0</v>
      </c>
      <c r="DJ49" s="290">
        <v>0</v>
      </c>
      <c r="DK49" s="290">
        <v>0</v>
      </c>
      <c r="DL49" s="288">
        <v>0</v>
      </c>
      <c r="DM49" s="290">
        <v>0</v>
      </c>
      <c r="DN49" s="290">
        <v>0</v>
      </c>
      <c r="DO49" s="298"/>
      <c r="DP49" s="298"/>
      <c r="DQ49" s="298"/>
      <c r="DR49" s="298"/>
      <c r="DS49" s="298"/>
      <c r="DT49" s="298"/>
      <c r="DU49" s="298"/>
      <c r="DV49" s="298"/>
      <c r="DW49" s="298"/>
      <c r="DX49" s="298"/>
      <c r="DY49" s="298"/>
      <c r="DZ49" s="298"/>
      <c r="EA49" s="298"/>
      <c r="EB49" s="298"/>
      <c r="EC49" s="298"/>
      <c r="ED49" s="298"/>
      <c r="EE49" s="298"/>
      <c r="EF49" s="298"/>
      <c r="EG49" s="298"/>
      <c r="EH49" s="298"/>
      <c r="EI49" s="298"/>
      <c r="EJ49" s="298"/>
      <c r="EK49" s="298"/>
      <c r="EL49" s="298"/>
      <c r="EM49" s="282">
        <f>EI49+EG49+EE49+EC49+EA49+DY49+DW49+DU49+DS49+DQ49+DO49+EK49</f>
        <v>0</v>
      </c>
      <c r="EN49" s="292">
        <f t="shared" si="202"/>
        <v>0</v>
      </c>
      <c r="EO49" s="292">
        <f t="shared" si="203"/>
        <v>0</v>
      </c>
      <c r="EP49" s="288">
        <f>DQ49+DS49+DU49+DW49+DY49+EA49+EC49+EE49+EG49+EI49+EK49+DO49</f>
        <v>0</v>
      </c>
      <c r="EQ49" s="292">
        <f>DP49+DR49+DT49+DV49</f>
        <v>0</v>
      </c>
      <c r="ER49" s="285">
        <f t="shared" si="205"/>
        <v>0</v>
      </c>
      <c r="ES49" s="285">
        <f t="shared" si="16"/>
        <v>0.94751317948149483</v>
      </c>
      <c r="ET49" s="286">
        <f t="shared" si="17"/>
        <v>0.94751317948149483</v>
      </c>
      <c r="EU49" s="286">
        <f t="shared" si="18"/>
        <v>0.94751317948149483</v>
      </c>
      <c r="EV49" s="286">
        <f t="shared" si="19"/>
        <v>0.94751317948149483</v>
      </c>
      <c r="EW49" s="427"/>
      <c r="EX49" s="425"/>
      <c r="EY49" s="425"/>
      <c r="EZ49" s="426"/>
      <c r="FA49" s="432"/>
      <c r="FB49" s="429"/>
    </row>
    <row r="50" spans="1:158" s="4" customFormat="1" ht="29.25" customHeight="1" thickBot="1" x14ac:dyDescent="0.3">
      <c r="A50" s="425"/>
      <c r="B50" s="425"/>
      <c r="C50" s="425"/>
      <c r="D50" s="425"/>
      <c r="E50" s="425"/>
      <c r="F50" s="128" t="s">
        <v>43</v>
      </c>
      <c r="G50" s="337">
        <f>+G45+G48</f>
        <v>7948</v>
      </c>
      <c r="H50" s="337">
        <f>+H45+H48</f>
        <v>1292</v>
      </c>
      <c r="I50" s="337">
        <f t="shared" ref="I50:AY50" si="206">+I45+I48</f>
        <v>0</v>
      </c>
      <c r="J50" s="337">
        <f t="shared" si="206"/>
        <v>0</v>
      </c>
      <c r="K50" s="337">
        <f t="shared" si="206"/>
        <v>0</v>
      </c>
      <c r="L50" s="337">
        <f t="shared" si="206"/>
        <v>0</v>
      </c>
      <c r="M50" s="337">
        <f t="shared" si="206"/>
        <v>0</v>
      </c>
      <c r="N50" s="337">
        <f t="shared" si="206"/>
        <v>0</v>
      </c>
      <c r="O50" s="337">
        <f t="shared" si="206"/>
        <v>0</v>
      </c>
      <c r="P50" s="337">
        <f t="shared" si="206"/>
        <v>0</v>
      </c>
      <c r="Q50" s="337">
        <f t="shared" si="206"/>
        <v>0</v>
      </c>
      <c r="R50" s="337">
        <f t="shared" si="206"/>
        <v>0</v>
      </c>
      <c r="S50" s="337">
        <f t="shared" si="206"/>
        <v>0</v>
      </c>
      <c r="T50" s="337">
        <f t="shared" si="206"/>
        <v>0</v>
      </c>
      <c r="U50" s="337">
        <f t="shared" si="206"/>
        <v>0</v>
      </c>
      <c r="V50" s="337">
        <f t="shared" si="206"/>
        <v>0</v>
      </c>
      <c r="W50" s="337">
        <f>+W45+W48</f>
        <v>1292</v>
      </c>
      <c r="X50" s="337">
        <f>+X45+X48</f>
        <v>1292</v>
      </c>
      <c r="Y50" s="337">
        <f t="shared" si="206"/>
        <v>1292</v>
      </c>
      <c r="Z50" s="337">
        <f>+Z45+Z48</f>
        <v>1292</v>
      </c>
      <c r="AA50" s="337">
        <f t="shared" si="206"/>
        <v>1292</v>
      </c>
      <c r="AB50" s="302">
        <f>+AB45+AB48</f>
        <v>759</v>
      </c>
      <c r="AC50" s="337">
        <f>+AC45+AC48</f>
        <v>51</v>
      </c>
      <c r="AD50" s="337">
        <f t="shared" si="206"/>
        <v>278</v>
      </c>
      <c r="AE50" s="337">
        <f t="shared" si="206"/>
        <v>66</v>
      </c>
      <c r="AF50" s="337">
        <f t="shared" si="206"/>
        <v>211</v>
      </c>
      <c r="AG50" s="337">
        <f t="shared" si="206"/>
        <v>66</v>
      </c>
      <c r="AH50" s="337">
        <f t="shared" si="206"/>
        <v>837</v>
      </c>
      <c r="AI50" s="337">
        <f t="shared" si="206"/>
        <v>473</v>
      </c>
      <c r="AJ50" s="337">
        <f t="shared" si="206"/>
        <v>488</v>
      </c>
      <c r="AK50" s="337">
        <f t="shared" si="206"/>
        <v>2050</v>
      </c>
      <c r="AL50" s="337">
        <f t="shared" si="206"/>
        <v>892</v>
      </c>
      <c r="AM50" s="337">
        <f t="shared" si="206"/>
        <v>295</v>
      </c>
      <c r="AN50" s="337">
        <f t="shared" ref="AN50" si="207">+AN45+AN48</f>
        <v>798</v>
      </c>
      <c r="AO50" s="337">
        <f t="shared" si="206"/>
        <v>295</v>
      </c>
      <c r="AP50" s="337">
        <f t="shared" si="206"/>
        <v>265</v>
      </c>
      <c r="AQ50" s="337">
        <f t="shared" si="206"/>
        <v>295</v>
      </c>
      <c r="AR50" s="337">
        <f t="shared" si="206"/>
        <v>203</v>
      </c>
      <c r="AS50" s="337">
        <f t="shared" si="206"/>
        <v>295</v>
      </c>
      <c r="AT50" s="337">
        <f t="shared" si="206"/>
        <v>294</v>
      </c>
      <c r="AU50" s="337">
        <f t="shared" si="206"/>
        <v>295</v>
      </c>
      <c r="AV50" s="337">
        <f t="shared" si="206"/>
        <v>0</v>
      </c>
      <c r="AW50" s="337">
        <f t="shared" si="206"/>
        <v>295</v>
      </c>
      <c r="AX50" s="337">
        <f t="shared" si="206"/>
        <v>0</v>
      </c>
      <c r="AY50" s="337">
        <f t="shared" si="206"/>
        <v>231</v>
      </c>
      <c r="AZ50" s="338"/>
      <c r="BA50" s="337">
        <f t="shared" ref="BA50:BF51" si="208">+BA45+BA48</f>
        <v>4707</v>
      </c>
      <c r="BB50" s="302">
        <f t="shared" si="208"/>
        <v>3886</v>
      </c>
      <c r="BC50" s="302">
        <f t="shared" si="208"/>
        <v>4266</v>
      </c>
      <c r="BD50" s="339">
        <f t="shared" si="208"/>
        <v>4707</v>
      </c>
      <c r="BE50" s="302">
        <f t="shared" si="208"/>
        <v>4266</v>
      </c>
      <c r="BF50" s="302">
        <f t="shared" si="208"/>
        <v>1097</v>
      </c>
      <c r="BG50" s="302">
        <v>8</v>
      </c>
      <c r="BH50" s="302">
        <v>4</v>
      </c>
      <c r="BI50" s="302"/>
      <c r="BJ50" s="302"/>
      <c r="BK50" s="338"/>
      <c r="BL50" s="302"/>
      <c r="BM50" s="338"/>
      <c r="BN50" s="338"/>
      <c r="BO50" s="302"/>
      <c r="BP50" s="302"/>
      <c r="BQ50" s="302"/>
      <c r="BR50" s="302"/>
      <c r="BS50" s="302"/>
      <c r="BT50" s="302"/>
      <c r="BU50" s="302"/>
      <c r="BV50" s="302"/>
      <c r="BW50" s="302"/>
      <c r="BX50" s="302"/>
      <c r="BY50" s="302"/>
      <c r="BZ50" s="302"/>
      <c r="CA50" s="302"/>
      <c r="CB50" s="302"/>
      <c r="CC50" s="302"/>
      <c r="CD50" s="302"/>
      <c r="CE50" s="338">
        <v>0</v>
      </c>
      <c r="CF50" s="302">
        <v>0</v>
      </c>
      <c r="CG50" s="338">
        <v>4</v>
      </c>
      <c r="CH50" s="339">
        <v>0</v>
      </c>
      <c r="CI50" s="302">
        <v>4</v>
      </c>
      <c r="CJ50" s="302">
        <f t="shared" ref="CJ50:CJ51" si="209">+CJ45+CJ48</f>
        <v>370</v>
      </c>
      <c r="CK50" s="302"/>
      <c r="CL50" s="302"/>
      <c r="CM50" s="302"/>
      <c r="CN50" s="302"/>
      <c r="CO50" s="302"/>
      <c r="CP50" s="302"/>
      <c r="CQ50" s="302"/>
      <c r="CR50" s="302"/>
      <c r="CS50" s="302"/>
      <c r="CT50" s="302"/>
      <c r="CU50" s="302"/>
      <c r="CV50" s="302"/>
      <c r="CW50" s="302"/>
      <c r="CX50" s="302"/>
      <c r="CY50" s="302"/>
      <c r="CZ50" s="302"/>
      <c r="DA50" s="302"/>
      <c r="DB50" s="302"/>
      <c r="DC50" s="302"/>
      <c r="DD50" s="302"/>
      <c r="DE50" s="302"/>
      <c r="DF50" s="302"/>
      <c r="DG50" s="302"/>
      <c r="DH50" s="302"/>
      <c r="DI50" s="338">
        <v>0</v>
      </c>
      <c r="DJ50" s="302">
        <v>0</v>
      </c>
      <c r="DK50" s="338">
        <v>0</v>
      </c>
      <c r="DL50" s="339">
        <v>0</v>
      </c>
      <c r="DM50" s="302">
        <v>0</v>
      </c>
      <c r="DN50" s="302">
        <f t="shared" ref="DN50:DN51" si="210">+DN45+DN48</f>
        <v>482</v>
      </c>
      <c r="DO50" s="340"/>
      <c r="DP50" s="340"/>
      <c r="DQ50" s="340"/>
      <c r="DR50" s="340"/>
      <c r="DS50" s="340"/>
      <c r="DT50" s="340"/>
      <c r="DU50" s="340"/>
      <c r="DV50" s="340"/>
      <c r="DW50" s="340"/>
      <c r="DX50" s="340"/>
      <c r="DY50" s="340"/>
      <c r="DZ50" s="340"/>
      <c r="EA50" s="340"/>
      <c r="EB50" s="340"/>
      <c r="EC50" s="340"/>
      <c r="ED50" s="340"/>
      <c r="EE50" s="340"/>
      <c r="EF50" s="340"/>
      <c r="EG50" s="340"/>
      <c r="EH50" s="340"/>
      <c r="EI50" s="340"/>
      <c r="EJ50" s="340"/>
      <c r="EK50" s="340"/>
      <c r="EL50" s="340"/>
      <c r="EM50" s="302">
        <f>EI50+EG50+EE50+EC50+EA50+DY50+DW50+DU50+DS50+DQ50+DO50+EK50</f>
        <v>0</v>
      </c>
      <c r="EN50" s="306">
        <f t="shared" si="202"/>
        <v>0</v>
      </c>
      <c r="EO50" s="306">
        <f t="shared" si="203"/>
        <v>0</v>
      </c>
      <c r="EP50" s="304">
        <f>DQ50+DS50+DU50+DW50+DY50+EA50+EC50+EE50+EG50+EI50+EK50+DO50</f>
        <v>0</v>
      </c>
      <c r="EQ50" s="306">
        <f>DR50+DT50+DV50+DP50</f>
        <v>0</v>
      </c>
      <c r="ER50" s="307">
        <f t="shared" si="205"/>
        <v>0.99661016949152548</v>
      </c>
      <c r="ES50" s="307">
        <f t="shared" si="16"/>
        <v>1.0977869274318064</v>
      </c>
      <c r="ET50" s="308">
        <f t="shared" si="17"/>
        <v>0.90630975143403447</v>
      </c>
      <c r="EU50" s="308">
        <f t="shared" si="18"/>
        <v>1.0733874082657398</v>
      </c>
      <c r="EV50" s="308">
        <f t="shared" si="19"/>
        <v>0.69929542023150482</v>
      </c>
      <c r="EW50" s="427"/>
      <c r="EX50" s="425"/>
      <c r="EY50" s="425"/>
      <c r="EZ50" s="426"/>
      <c r="FA50" s="432"/>
      <c r="FB50" s="429"/>
    </row>
    <row r="51" spans="1:158" s="34" customFormat="1" ht="29.25" customHeight="1" thickBot="1" x14ac:dyDescent="0.3">
      <c r="A51" s="425"/>
      <c r="B51" s="425"/>
      <c r="C51" s="425"/>
      <c r="D51" s="425"/>
      <c r="E51" s="425"/>
      <c r="F51" s="277" t="s">
        <v>45</v>
      </c>
      <c r="G51" s="309">
        <f>+G46+G49</f>
        <v>7019036630</v>
      </c>
      <c r="H51" s="310">
        <f>+H46+H49</f>
        <v>658814131</v>
      </c>
      <c r="I51" s="310">
        <f t="shared" ref="I51:AY51" si="211">+I46+I49</f>
        <v>0</v>
      </c>
      <c r="J51" s="310">
        <f t="shared" si="211"/>
        <v>0</v>
      </c>
      <c r="K51" s="310">
        <f t="shared" si="211"/>
        <v>0</v>
      </c>
      <c r="L51" s="310">
        <f t="shared" si="211"/>
        <v>0</v>
      </c>
      <c r="M51" s="310">
        <f t="shared" si="211"/>
        <v>0</v>
      </c>
      <c r="N51" s="310">
        <f t="shared" si="211"/>
        <v>0</v>
      </c>
      <c r="O51" s="310">
        <f t="shared" si="211"/>
        <v>0</v>
      </c>
      <c r="P51" s="310">
        <f t="shared" si="211"/>
        <v>0</v>
      </c>
      <c r="Q51" s="310">
        <f t="shared" si="211"/>
        <v>0</v>
      </c>
      <c r="R51" s="310">
        <f t="shared" si="211"/>
        <v>0</v>
      </c>
      <c r="S51" s="310">
        <f t="shared" si="211"/>
        <v>0</v>
      </c>
      <c r="T51" s="310">
        <f t="shared" si="211"/>
        <v>0</v>
      </c>
      <c r="U51" s="310">
        <f t="shared" si="211"/>
        <v>0</v>
      </c>
      <c r="V51" s="310">
        <f t="shared" si="211"/>
        <v>0</v>
      </c>
      <c r="W51" s="310">
        <f>+W46+W49</f>
        <v>658814131</v>
      </c>
      <c r="X51" s="310">
        <f>+X46+X49</f>
        <v>658814131</v>
      </c>
      <c r="Y51" s="310">
        <f t="shared" si="211"/>
        <v>644978000</v>
      </c>
      <c r="Z51" s="310">
        <f>+Z46+Z49</f>
        <v>658814131</v>
      </c>
      <c r="AA51" s="310">
        <f t="shared" si="211"/>
        <v>644978000</v>
      </c>
      <c r="AB51" s="342">
        <f>+AB46+AB49</f>
        <v>1576471662</v>
      </c>
      <c r="AC51" s="310">
        <f t="shared" si="211"/>
        <v>62610500</v>
      </c>
      <c r="AD51" s="310">
        <f t="shared" si="211"/>
        <v>62610500</v>
      </c>
      <c r="AE51" s="310">
        <f t="shared" si="211"/>
        <v>498988833</v>
      </c>
      <c r="AF51" s="310">
        <f t="shared" si="211"/>
        <v>498988833</v>
      </c>
      <c r="AG51" s="310">
        <f t="shared" si="211"/>
        <v>793706499</v>
      </c>
      <c r="AH51" s="310">
        <f t="shared" si="211"/>
        <v>793706499</v>
      </c>
      <c r="AI51" s="310">
        <f t="shared" si="211"/>
        <v>24710465</v>
      </c>
      <c r="AJ51" s="310">
        <f t="shared" si="211"/>
        <v>24710465</v>
      </c>
      <c r="AK51" s="310">
        <f t="shared" si="211"/>
        <v>27160000</v>
      </c>
      <c r="AL51" s="310">
        <f>+AL46+AL49</f>
        <v>27160000</v>
      </c>
      <c r="AM51" s="310">
        <f t="shared" si="211"/>
        <v>14803433</v>
      </c>
      <c r="AN51" s="310">
        <f t="shared" ref="AN51" si="212">+AN46+AN49</f>
        <v>14803433</v>
      </c>
      <c r="AO51" s="310">
        <f t="shared" si="211"/>
        <v>0</v>
      </c>
      <c r="AP51" s="310">
        <f t="shared" si="211"/>
        <v>0</v>
      </c>
      <c r="AQ51" s="310">
        <f t="shared" si="211"/>
        <v>47795732.333333336</v>
      </c>
      <c r="AR51" s="310">
        <f t="shared" si="211"/>
        <v>0</v>
      </c>
      <c r="AS51" s="310">
        <f t="shared" si="211"/>
        <v>54671834.333333336</v>
      </c>
      <c r="AT51" s="310">
        <f t="shared" si="211"/>
        <v>24595500</v>
      </c>
      <c r="AU51" s="310">
        <f t="shared" si="211"/>
        <v>44034333.333333336</v>
      </c>
      <c r="AV51" s="310">
        <f t="shared" si="211"/>
        <v>0</v>
      </c>
      <c r="AW51" s="310">
        <f t="shared" si="211"/>
        <v>0</v>
      </c>
      <c r="AX51" s="310">
        <f t="shared" si="211"/>
        <v>0</v>
      </c>
      <c r="AY51" s="310">
        <f t="shared" si="211"/>
        <v>0</v>
      </c>
      <c r="AZ51" s="343"/>
      <c r="BA51" s="311">
        <f t="shared" ref="BA51:BE51" si="213">+BA46+BA49</f>
        <v>1568481630</v>
      </c>
      <c r="BB51" s="312">
        <f t="shared" si="213"/>
        <v>1524447296.6666665</v>
      </c>
      <c r="BC51" s="312">
        <f t="shared" si="213"/>
        <v>1446575230</v>
      </c>
      <c r="BD51" s="311">
        <f t="shared" si="213"/>
        <v>1568481629.9999998</v>
      </c>
      <c r="BE51" s="312">
        <f t="shared" si="213"/>
        <v>1446575230</v>
      </c>
      <c r="BF51" s="312">
        <f t="shared" si="208"/>
        <v>1847411000</v>
      </c>
      <c r="BG51" s="343">
        <v>1515392000</v>
      </c>
      <c r="BH51" s="310">
        <v>791006000</v>
      </c>
      <c r="BI51" s="310"/>
      <c r="BJ51" s="310"/>
      <c r="BK51" s="310"/>
      <c r="BL51" s="310"/>
      <c r="BM51" s="310"/>
      <c r="BN51" s="310"/>
      <c r="BO51" s="310"/>
      <c r="BP51" s="310"/>
      <c r="BQ51" s="310"/>
      <c r="BR51" s="310"/>
      <c r="BS51" s="310"/>
      <c r="BT51" s="310"/>
      <c r="BU51" s="310"/>
      <c r="BV51" s="310"/>
      <c r="BW51" s="310"/>
      <c r="BX51" s="310"/>
      <c r="BY51" s="310"/>
      <c r="BZ51" s="310"/>
      <c r="CA51" s="310"/>
      <c r="CB51" s="310"/>
      <c r="CC51" s="310"/>
      <c r="CD51" s="310"/>
      <c r="CE51" s="311">
        <v>0</v>
      </c>
      <c r="CF51" s="312">
        <v>0</v>
      </c>
      <c r="CG51" s="312">
        <v>791006000</v>
      </c>
      <c r="CH51" s="311">
        <v>0</v>
      </c>
      <c r="CI51" s="312">
        <v>791006000</v>
      </c>
      <c r="CJ51" s="312">
        <f t="shared" si="209"/>
        <v>1939781000</v>
      </c>
      <c r="CK51" s="310"/>
      <c r="CL51" s="310"/>
      <c r="CM51" s="310"/>
      <c r="CN51" s="310"/>
      <c r="CO51" s="310"/>
      <c r="CP51" s="310"/>
      <c r="CQ51" s="310"/>
      <c r="CR51" s="310"/>
      <c r="CS51" s="310"/>
      <c r="CT51" s="310"/>
      <c r="CU51" s="310"/>
      <c r="CV51" s="310"/>
      <c r="CW51" s="310"/>
      <c r="CX51" s="310"/>
      <c r="CY51" s="310"/>
      <c r="CZ51" s="310"/>
      <c r="DA51" s="310"/>
      <c r="DB51" s="310"/>
      <c r="DC51" s="310"/>
      <c r="DD51" s="310"/>
      <c r="DE51" s="310"/>
      <c r="DF51" s="310"/>
      <c r="DG51" s="310"/>
      <c r="DH51" s="310"/>
      <c r="DI51" s="311">
        <v>0</v>
      </c>
      <c r="DJ51" s="312">
        <v>0</v>
      </c>
      <c r="DK51" s="312">
        <v>0</v>
      </c>
      <c r="DL51" s="311">
        <v>0</v>
      </c>
      <c r="DM51" s="312">
        <v>0</v>
      </c>
      <c r="DN51" s="312">
        <f t="shared" si="210"/>
        <v>1018385000</v>
      </c>
      <c r="DO51" s="344"/>
      <c r="DP51" s="344"/>
      <c r="DQ51" s="344"/>
      <c r="DR51" s="344"/>
      <c r="DS51" s="344"/>
      <c r="DT51" s="344"/>
      <c r="DU51" s="344"/>
      <c r="DV51" s="344"/>
      <c r="DW51" s="344"/>
      <c r="DX51" s="344"/>
      <c r="DY51" s="344"/>
      <c r="DZ51" s="344"/>
      <c r="EA51" s="344"/>
      <c r="EB51" s="344"/>
      <c r="EC51" s="344"/>
      <c r="ED51" s="344"/>
      <c r="EE51" s="344"/>
      <c r="EF51" s="344"/>
      <c r="EG51" s="344"/>
      <c r="EH51" s="344"/>
      <c r="EI51" s="344"/>
      <c r="EJ51" s="344"/>
      <c r="EK51" s="344"/>
      <c r="EL51" s="344"/>
      <c r="EM51" s="314">
        <f>EK51+EI51+EG51+EE51+EC51+EA51+DY51+DW51+DU51+DS51+DQ51+DO51</f>
        <v>0</v>
      </c>
      <c r="EN51" s="315">
        <f t="shared" ref="EN51" si="214">+EN46+EN49</f>
        <v>0</v>
      </c>
      <c r="EO51" s="316">
        <f t="shared" ref="EO51" si="215">EO46+EO49</f>
        <v>0</v>
      </c>
      <c r="EP51" s="315">
        <f t="shared" ref="EP51:EQ51" si="216">+EP46+EP49</f>
        <v>0</v>
      </c>
      <c r="EQ51" s="315">
        <f t="shared" si="216"/>
        <v>0</v>
      </c>
      <c r="ER51" s="317">
        <f t="shared" si="205"/>
        <v>0.44987515600888045</v>
      </c>
      <c r="ES51" s="317">
        <f t="shared" si="16"/>
        <v>0.94891783609906333</v>
      </c>
      <c r="ET51" s="318">
        <f t="shared" si="17"/>
        <v>0.92227744484326557</v>
      </c>
      <c r="EU51" s="318">
        <f t="shared" si="18"/>
        <v>0.95799486195078409</v>
      </c>
      <c r="EV51" s="319">
        <f t="shared" si="19"/>
        <v>0.29798294840926054</v>
      </c>
      <c r="EW51" s="428"/>
      <c r="EX51" s="425"/>
      <c r="EY51" s="425"/>
      <c r="EZ51" s="426"/>
      <c r="FA51" s="432"/>
      <c r="FB51" s="429"/>
    </row>
    <row r="52" spans="1:158" s="4" customFormat="1" ht="29.25" customHeight="1" x14ac:dyDescent="0.25">
      <c r="A52" s="425" t="s">
        <v>315</v>
      </c>
      <c r="B52" s="425">
        <v>7</v>
      </c>
      <c r="C52" s="425" t="s">
        <v>322</v>
      </c>
      <c r="D52" s="425" t="s">
        <v>278</v>
      </c>
      <c r="E52" s="425">
        <v>268</v>
      </c>
      <c r="F52" s="128" t="s">
        <v>41</v>
      </c>
      <c r="G52" s="351">
        <v>1</v>
      </c>
      <c r="H52" s="351">
        <v>1</v>
      </c>
      <c r="I52" s="351">
        <v>1</v>
      </c>
      <c r="J52" s="351">
        <v>1</v>
      </c>
      <c r="K52" s="351">
        <v>1</v>
      </c>
      <c r="L52" s="351">
        <v>1</v>
      </c>
      <c r="M52" s="351">
        <v>1</v>
      </c>
      <c r="N52" s="351">
        <v>1</v>
      </c>
      <c r="O52" s="351">
        <v>1</v>
      </c>
      <c r="P52" s="351">
        <v>1</v>
      </c>
      <c r="Q52" s="351">
        <v>1</v>
      </c>
      <c r="R52" s="351">
        <v>1</v>
      </c>
      <c r="S52" s="351">
        <v>1</v>
      </c>
      <c r="T52" s="351">
        <v>1</v>
      </c>
      <c r="U52" s="351">
        <v>1</v>
      </c>
      <c r="V52" s="351">
        <v>1</v>
      </c>
      <c r="W52" s="351">
        <v>1</v>
      </c>
      <c r="X52" s="351">
        <v>1</v>
      </c>
      <c r="Y52" s="351">
        <v>1</v>
      </c>
      <c r="Z52" s="351">
        <v>1</v>
      </c>
      <c r="AA52" s="351">
        <v>1</v>
      </c>
      <c r="AB52" s="351">
        <v>1</v>
      </c>
      <c r="AC52" s="351">
        <v>1</v>
      </c>
      <c r="AD52" s="351">
        <v>1</v>
      </c>
      <c r="AE52" s="351">
        <v>1</v>
      </c>
      <c r="AF52" s="351">
        <v>1</v>
      </c>
      <c r="AG52" s="351">
        <v>1</v>
      </c>
      <c r="AH52" s="351">
        <v>1</v>
      </c>
      <c r="AI52" s="351">
        <v>1</v>
      </c>
      <c r="AJ52" s="351">
        <v>0.64</v>
      </c>
      <c r="AK52" s="351">
        <v>1</v>
      </c>
      <c r="AL52" s="351">
        <v>0.877</v>
      </c>
      <c r="AM52" s="351">
        <v>1</v>
      </c>
      <c r="AN52" s="366">
        <v>0.91600000000000004</v>
      </c>
      <c r="AO52" s="351">
        <v>1</v>
      </c>
      <c r="AP52" s="351">
        <v>1</v>
      </c>
      <c r="AQ52" s="351">
        <v>1</v>
      </c>
      <c r="AR52" s="366">
        <v>0.91300000000000003</v>
      </c>
      <c r="AS52" s="351">
        <v>1</v>
      </c>
      <c r="AT52" s="366">
        <v>1</v>
      </c>
      <c r="AU52" s="351">
        <v>1</v>
      </c>
      <c r="AV52" s="351"/>
      <c r="AW52" s="351">
        <v>1</v>
      </c>
      <c r="AX52" s="351"/>
      <c r="AY52" s="351">
        <v>1</v>
      </c>
      <c r="AZ52" s="351"/>
      <c r="BA52" s="351">
        <f>+AB52</f>
        <v>1</v>
      </c>
      <c r="BB52" s="351">
        <f>+AS52</f>
        <v>1</v>
      </c>
      <c r="BC52" s="351">
        <f>+AT52</f>
        <v>1</v>
      </c>
      <c r="BD52" s="351">
        <f>+G52</f>
        <v>1</v>
      </c>
      <c r="BE52" s="351">
        <f>+AT52</f>
        <v>1</v>
      </c>
      <c r="BF52" s="351">
        <v>1</v>
      </c>
      <c r="BG52" s="351"/>
      <c r="BH52" s="351"/>
      <c r="BI52" s="351"/>
      <c r="BJ52" s="351"/>
      <c r="BK52" s="351"/>
      <c r="BL52" s="351"/>
      <c r="BM52" s="351"/>
      <c r="BN52" s="351"/>
      <c r="BO52" s="351"/>
      <c r="BP52" s="351"/>
      <c r="BQ52" s="351"/>
      <c r="BR52" s="351"/>
      <c r="BS52" s="351"/>
      <c r="BT52" s="351"/>
      <c r="BU52" s="351"/>
      <c r="BV52" s="351"/>
      <c r="BW52" s="351"/>
      <c r="BX52" s="351"/>
      <c r="BY52" s="351"/>
      <c r="BZ52" s="351"/>
      <c r="CA52" s="351"/>
      <c r="CB52" s="351"/>
      <c r="CC52" s="351"/>
      <c r="CD52" s="351"/>
      <c r="CE52" s="351">
        <f t="shared" ref="CE52" si="217">CC52+CA52+BY52+BW52+BU52+BS52+BQ52+BO52+BM52+BK52+BI52+AZ52</f>
        <v>0</v>
      </c>
      <c r="CF52" s="351">
        <f t="shared" ref="CF52" si="218">AZ52+BI52+BK52+BM52</f>
        <v>0</v>
      </c>
      <c r="CG52" s="351">
        <f t="shared" ref="CG52" si="219">BH52+BJ52+BL52+BN52</f>
        <v>0</v>
      </c>
      <c r="CH52" s="351">
        <f t="shared" ref="CH52" si="220">BI52+BK52+BM52+BO52+BQ52+BS52+BU52+BW52+BY52+CA52+CC52+AZ52</f>
        <v>0</v>
      </c>
      <c r="CI52" s="351">
        <f t="shared" ref="CI52" si="221">BH52+BJ52+BL52+BN52</f>
        <v>0</v>
      </c>
      <c r="CJ52" s="351">
        <v>1</v>
      </c>
      <c r="CK52" s="351"/>
      <c r="CL52" s="351"/>
      <c r="CM52" s="351"/>
      <c r="CN52" s="351"/>
      <c r="CO52" s="351"/>
      <c r="CP52" s="351"/>
      <c r="CQ52" s="351"/>
      <c r="CR52" s="351"/>
      <c r="CS52" s="351"/>
      <c r="CT52" s="351"/>
      <c r="CU52" s="351"/>
      <c r="CV52" s="351"/>
      <c r="CW52" s="351"/>
      <c r="CX52" s="351"/>
      <c r="CY52" s="351"/>
      <c r="CZ52" s="351"/>
      <c r="DA52" s="351"/>
      <c r="DB52" s="351"/>
      <c r="DC52" s="351"/>
      <c r="DD52" s="351"/>
      <c r="DE52" s="351"/>
      <c r="DF52" s="351"/>
      <c r="DG52" s="351"/>
      <c r="DH52" s="351"/>
      <c r="DI52" s="351">
        <f t="shared" ref="DI52" si="222">DG52+DE52+DC52+DA52+CY52+CW52+CU52+CS52+CQ52+CO52+CM52+CK52</f>
        <v>0</v>
      </c>
      <c r="DJ52" s="351">
        <f t="shared" ref="DJ52" si="223">CK52+CM52+CO52+CQ52</f>
        <v>0</v>
      </c>
      <c r="DK52" s="351">
        <f t="shared" ref="DK52" si="224">CL52+CN52+CP52+CR52</f>
        <v>0</v>
      </c>
      <c r="DL52" s="351">
        <f t="shared" ref="DL52" si="225">CM52+CO52+CQ52+CS52+CU52+CW52+CY52+DA52+DC52+DE52+DG52+CK52</f>
        <v>0</v>
      </c>
      <c r="DM52" s="351">
        <f t="shared" ref="DM52" si="226">CL52+CN52+CP52+CR52</f>
        <v>0</v>
      </c>
      <c r="DN52" s="351">
        <v>1</v>
      </c>
      <c r="DO52" s="367"/>
      <c r="DP52" s="367"/>
      <c r="DQ52" s="367"/>
      <c r="DR52" s="367"/>
      <c r="DS52" s="367"/>
      <c r="DT52" s="367"/>
      <c r="DU52" s="367"/>
      <c r="DV52" s="367"/>
      <c r="DW52" s="367"/>
      <c r="DX52" s="367"/>
      <c r="DY52" s="367"/>
      <c r="DZ52" s="367"/>
      <c r="EA52" s="367"/>
      <c r="EB52" s="367"/>
      <c r="EC52" s="367"/>
      <c r="ED52" s="367"/>
      <c r="EE52" s="367"/>
      <c r="EF52" s="367"/>
      <c r="EG52" s="368"/>
      <c r="EH52" s="368"/>
      <c r="EI52" s="368"/>
      <c r="EJ52" s="368"/>
      <c r="EK52" s="368"/>
      <c r="EL52" s="368"/>
      <c r="EM52" s="353">
        <f>EK52+EI52+EG52+EE52+EC52+EA52+DY52+DW52+DU52+DS52+DQ52+DO52</f>
        <v>0</v>
      </c>
      <c r="EN52" s="351">
        <f t="shared" ref="EN52:EN56" si="227">DO52+DQ52+DS52+DU52</f>
        <v>0</v>
      </c>
      <c r="EO52" s="353">
        <f t="shared" ref="EO52:EO57" si="228">DP52+DR52+DT52+DV52</f>
        <v>0</v>
      </c>
      <c r="EP52" s="353">
        <f>DQ52+DS52+DU52+DW52+DY52+EA52+EC52+EE52+EG52+EI52+EK52+DO52</f>
        <v>0</v>
      </c>
      <c r="EQ52" s="351">
        <f>DP52+DR52+DT52+DV52</f>
        <v>0</v>
      </c>
      <c r="ER52" s="330">
        <f>+AT52/AS52</f>
        <v>1</v>
      </c>
      <c r="ES52" s="330">
        <f>+BC52/BB52</f>
        <v>1</v>
      </c>
      <c r="ET52" s="331">
        <f>BE52/BD52</f>
        <v>1</v>
      </c>
      <c r="EU52" s="331">
        <f>+(AA52+BC52)/(Z52+BB52)</f>
        <v>1</v>
      </c>
      <c r="EV52" s="331">
        <f>+(AA52+BC52)/G52</f>
        <v>2</v>
      </c>
      <c r="EW52" s="433" t="s">
        <v>591</v>
      </c>
      <c r="EX52" s="425" t="s">
        <v>367</v>
      </c>
      <c r="EY52" s="425" t="s">
        <v>367</v>
      </c>
      <c r="EZ52" s="425" t="s">
        <v>395</v>
      </c>
      <c r="FA52" s="425" t="s">
        <v>396</v>
      </c>
      <c r="FB52" s="429"/>
    </row>
    <row r="53" spans="1:158" s="62" customFormat="1" ht="29.25" customHeight="1" x14ac:dyDescent="0.25">
      <c r="A53" s="425"/>
      <c r="B53" s="425"/>
      <c r="C53" s="425"/>
      <c r="D53" s="425"/>
      <c r="E53" s="425"/>
      <c r="F53" s="126" t="s">
        <v>3</v>
      </c>
      <c r="G53" s="287">
        <f>+AA53+BD53+BF53+CJ53+DN53</f>
        <v>3255458070</v>
      </c>
      <c r="H53" s="288">
        <v>450000000</v>
      </c>
      <c r="I53" s="287"/>
      <c r="J53" s="287"/>
      <c r="K53" s="287"/>
      <c r="L53" s="287"/>
      <c r="M53" s="287"/>
      <c r="N53" s="287"/>
      <c r="O53" s="287"/>
      <c r="P53" s="287"/>
      <c r="Q53" s="287"/>
      <c r="R53" s="287"/>
      <c r="S53" s="287"/>
      <c r="T53" s="288"/>
      <c r="U53" s="289"/>
      <c r="V53" s="289"/>
      <c r="W53" s="288">
        <v>450000000</v>
      </c>
      <c r="X53" s="288">
        <v>450000000</v>
      </c>
      <c r="Y53" s="288">
        <v>447516000</v>
      </c>
      <c r="Z53" s="288">
        <v>450000000</v>
      </c>
      <c r="AA53" s="288">
        <v>447516000</v>
      </c>
      <c r="AB53" s="288">
        <v>691670000</v>
      </c>
      <c r="AC53" s="287">
        <v>0</v>
      </c>
      <c r="AD53" s="287">
        <v>0</v>
      </c>
      <c r="AE53" s="287">
        <v>326043000</v>
      </c>
      <c r="AF53" s="287">
        <f>326043000-AD53</f>
        <v>326043000</v>
      </c>
      <c r="AG53" s="287">
        <v>89595000</v>
      </c>
      <c r="AH53" s="287">
        <f>415638000-AF53-AD53</f>
        <v>89595000</v>
      </c>
      <c r="AI53" s="287">
        <v>100480000</v>
      </c>
      <c r="AJ53" s="287">
        <f>516118000-AH53-AF53-AD53</f>
        <v>100480000</v>
      </c>
      <c r="AK53" s="287">
        <v>0</v>
      </c>
      <c r="AL53" s="287">
        <f>516118000-AJ53-AH53-AF53-AD53</f>
        <v>0</v>
      </c>
      <c r="AM53" s="287">
        <v>0</v>
      </c>
      <c r="AN53" s="287">
        <v>0</v>
      </c>
      <c r="AO53" s="287">
        <v>0</v>
      </c>
      <c r="AP53" s="287">
        <v>0</v>
      </c>
      <c r="AQ53" s="287">
        <f>4186666.66666667+32598400</f>
        <v>36785066.666666672</v>
      </c>
      <c r="AR53" s="287">
        <v>0</v>
      </c>
      <c r="AS53" s="287">
        <f>4186666.66666667+32598400-133727930</f>
        <v>-96942863.333333328</v>
      </c>
      <c r="AT53" s="287">
        <v>0</v>
      </c>
      <c r="AU53" s="287">
        <f>4186666.66666667+32598400</f>
        <v>36785066.666666672</v>
      </c>
      <c r="AV53" s="287"/>
      <c r="AW53" s="287">
        <v>32598400</v>
      </c>
      <c r="AX53" s="287"/>
      <c r="AY53" s="287">
        <v>32598400</v>
      </c>
      <c r="AZ53" s="287"/>
      <c r="BA53" s="287">
        <f>AY53+AW53+AU53+AS53+AQ53+AO53+AM53+AK53+AI53+AG53+AE53+AC53</f>
        <v>557942070</v>
      </c>
      <c r="BB53" s="290">
        <f>AC53+AE53+AG53+AI53+AK53+AM53+AO53+AQ53+AS53</f>
        <v>455960203.33333331</v>
      </c>
      <c r="BC53" s="287">
        <f>AD53+AF53+AH53+AJ53+AL53+AN53+AP53+AR53+AT53</f>
        <v>516118000</v>
      </c>
      <c r="BD53" s="288">
        <f>AE53+AG53+AI53+AK53+AM53+AO53+AQ53+AS53+AU53+AW53+AY53+AC53</f>
        <v>557942070</v>
      </c>
      <c r="BE53" s="290">
        <f>AD53+AF53+AH53+AJ53+AL53+AN53+AP53+AR53+AT53+AV53+AX53+AZ53</f>
        <v>516118000</v>
      </c>
      <c r="BF53" s="287">
        <v>900000000</v>
      </c>
      <c r="BG53" s="287"/>
      <c r="BH53" s="287"/>
      <c r="BI53" s="287"/>
      <c r="BJ53" s="287"/>
      <c r="BK53" s="287"/>
      <c r="BL53" s="287"/>
      <c r="BM53" s="287"/>
      <c r="BN53" s="287"/>
      <c r="BO53" s="287"/>
      <c r="BP53" s="287"/>
      <c r="BQ53" s="287"/>
      <c r="BR53" s="287"/>
      <c r="BS53" s="287"/>
      <c r="BT53" s="287"/>
      <c r="BU53" s="287"/>
      <c r="BV53" s="287"/>
      <c r="BW53" s="287"/>
      <c r="BX53" s="287"/>
      <c r="BY53" s="287"/>
      <c r="BZ53" s="287"/>
      <c r="CA53" s="287"/>
      <c r="CB53" s="287"/>
      <c r="CC53" s="287"/>
      <c r="CD53" s="287"/>
      <c r="CE53" s="288"/>
      <c r="CF53" s="290"/>
      <c r="CG53" s="290"/>
      <c r="CH53" s="288"/>
      <c r="CI53" s="290"/>
      <c r="CJ53" s="287">
        <v>900000000</v>
      </c>
      <c r="CK53" s="287"/>
      <c r="CL53" s="287"/>
      <c r="CM53" s="287"/>
      <c r="CN53" s="287"/>
      <c r="CO53" s="287"/>
      <c r="CP53" s="287"/>
      <c r="CQ53" s="287"/>
      <c r="CR53" s="287"/>
      <c r="CS53" s="287"/>
      <c r="CT53" s="287"/>
      <c r="CU53" s="287"/>
      <c r="CV53" s="287"/>
      <c r="CW53" s="287"/>
      <c r="CX53" s="287"/>
      <c r="CY53" s="287"/>
      <c r="CZ53" s="287"/>
      <c r="DA53" s="287"/>
      <c r="DB53" s="287"/>
      <c r="DC53" s="287"/>
      <c r="DD53" s="287"/>
      <c r="DE53" s="287"/>
      <c r="DF53" s="287"/>
      <c r="DG53" s="287"/>
      <c r="DH53" s="287"/>
      <c r="DI53" s="288"/>
      <c r="DJ53" s="290"/>
      <c r="DK53" s="290"/>
      <c r="DL53" s="288"/>
      <c r="DM53" s="290"/>
      <c r="DN53" s="287">
        <v>450000000</v>
      </c>
      <c r="DO53" s="298"/>
      <c r="DP53" s="298"/>
      <c r="DQ53" s="298"/>
      <c r="DR53" s="298"/>
      <c r="DS53" s="298"/>
      <c r="DT53" s="298"/>
      <c r="DU53" s="298"/>
      <c r="DV53" s="298"/>
      <c r="DW53" s="298"/>
      <c r="DX53" s="298"/>
      <c r="DY53" s="298"/>
      <c r="DZ53" s="298"/>
      <c r="EA53" s="298"/>
      <c r="EB53" s="298"/>
      <c r="EC53" s="298"/>
      <c r="ED53" s="298"/>
      <c r="EE53" s="298"/>
      <c r="EF53" s="298"/>
      <c r="EG53" s="298"/>
      <c r="EH53" s="298"/>
      <c r="EI53" s="298"/>
      <c r="EJ53" s="298"/>
      <c r="EK53" s="298"/>
      <c r="EL53" s="298"/>
      <c r="EM53" s="281">
        <f>EK53+EI53+EG53+EE53+EC53+EA53+DY53+DW53+DU53+DS53+DQ53+DO53</f>
        <v>0</v>
      </c>
      <c r="EN53" s="292">
        <f t="shared" si="227"/>
        <v>0</v>
      </c>
      <c r="EO53" s="292">
        <f t="shared" si="228"/>
        <v>0</v>
      </c>
      <c r="EP53" s="293">
        <f>DQ53+DS53+DU53+DW53+DY53+EA53+EC53+EE53+EG53+EI53+EK53+DO53</f>
        <v>0</v>
      </c>
      <c r="EQ53" s="292">
        <f>DP53+DR53+DT53+DV53</f>
        <v>0</v>
      </c>
      <c r="ER53" s="285">
        <f t="shared" ref="ER53:ER58" si="229">+AT53/AS53</f>
        <v>0</v>
      </c>
      <c r="ES53" s="285">
        <f t="shared" si="16"/>
        <v>1.131936507236549</v>
      </c>
      <c r="ET53" s="286">
        <f t="shared" si="17"/>
        <v>0.92503868726013083</v>
      </c>
      <c r="EU53" s="286">
        <f t="shared" si="18"/>
        <v>1.0636604085416395</v>
      </c>
      <c r="EV53" s="286">
        <f t="shared" si="19"/>
        <v>0.29600565551133023</v>
      </c>
      <c r="EW53" s="433"/>
      <c r="EX53" s="425"/>
      <c r="EY53" s="425"/>
      <c r="EZ53" s="425"/>
      <c r="FA53" s="425"/>
      <c r="FB53" s="429"/>
    </row>
    <row r="54" spans="1:158" s="62" customFormat="1" ht="29.25" customHeight="1" x14ac:dyDescent="0.25">
      <c r="A54" s="425"/>
      <c r="B54" s="425"/>
      <c r="C54" s="425"/>
      <c r="D54" s="425"/>
      <c r="E54" s="425"/>
      <c r="F54" s="127" t="s">
        <v>220</v>
      </c>
      <c r="G54" s="287"/>
      <c r="H54" s="288"/>
      <c r="I54" s="287"/>
      <c r="J54" s="287"/>
      <c r="K54" s="287"/>
      <c r="L54" s="287"/>
      <c r="M54" s="287"/>
      <c r="N54" s="287"/>
      <c r="O54" s="287"/>
      <c r="P54" s="287"/>
      <c r="Q54" s="287"/>
      <c r="R54" s="287"/>
      <c r="S54" s="287"/>
      <c r="T54" s="288"/>
      <c r="U54" s="289"/>
      <c r="V54" s="289"/>
      <c r="W54" s="288"/>
      <c r="X54" s="288"/>
      <c r="Y54" s="288"/>
      <c r="Z54" s="288"/>
      <c r="AA54" s="287"/>
      <c r="AB54" s="288"/>
      <c r="AC54" s="287">
        <v>0</v>
      </c>
      <c r="AD54" s="333">
        <v>0</v>
      </c>
      <c r="AE54" s="287">
        <v>0</v>
      </c>
      <c r="AF54" s="287">
        <v>0</v>
      </c>
      <c r="AG54" s="287">
        <v>13025300</v>
      </c>
      <c r="AH54" s="287">
        <v>13025300</v>
      </c>
      <c r="AI54" s="287">
        <v>41275300</v>
      </c>
      <c r="AJ54" s="287">
        <f>54300600-AH54</f>
        <v>41275300</v>
      </c>
      <c r="AK54" s="287">
        <v>49826100</v>
      </c>
      <c r="AL54" s="287">
        <f>104126700-AJ54-AH54</f>
        <v>49826100</v>
      </c>
      <c r="AM54" s="287">
        <v>59253467</v>
      </c>
      <c r="AN54" s="287">
        <v>59253467</v>
      </c>
      <c r="AO54" s="287">
        <v>0</v>
      </c>
      <c r="AP54" s="287">
        <v>58742000</v>
      </c>
      <c r="AQ54" s="287">
        <v>0</v>
      </c>
      <c r="AR54" s="287">
        <v>58742000</v>
      </c>
      <c r="AS54" s="287">
        <v>0</v>
      </c>
      <c r="AT54" s="287">
        <v>58742000</v>
      </c>
      <c r="AU54" s="287">
        <v>0</v>
      </c>
      <c r="AV54" s="287"/>
      <c r="AW54" s="287">
        <v>0</v>
      </c>
      <c r="AX54" s="287"/>
      <c r="AY54" s="287">
        <v>0</v>
      </c>
      <c r="AZ54" s="287"/>
      <c r="BA54" s="287">
        <f>AY54+AW54+AU54+AS54+AQ54+AO54+AM54+AK54+AI54+AG54+AE54+AC54</f>
        <v>163380167</v>
      </c>
      <c r="BB54" s="290">
        <f>AC54+AE54+AG54+AI54+AK54+AM54+AO54+AQ54+AS54</f>
        <v>163380167</v>
      </c>
      <c r="BC54" s="287">
        <f>AD54+AF54+AH54+AJ54+AL54+AN54+AP54+AR54+AT54</f>
        <v>339606167</v>
      </c>
      <c r="BD54" s="288">
        <f>AE54+AG54+AI54+AK54+AM54+AO54+AQ54+AS54+AU54+AW54+AY54+AC54</f>
        <v>163380167</v>
      </c>
      <c r="BE54" s="290">
        <f>AD54+AF54+AH54+AJ54+AL54+AN54+AP54+AR54+AT54+AV54+AX54+AZ54</f>
        <v>339606167</v>
      </c>
      <c r="BF54" s="287">
        <v>0</v>
      </c>
      <c r="BG54" s="287"/>
      <c r="BH54" s="287"/>
      <c r="BI54" s="287"/>
      <c r="BJ54" s="287"/>
      <c r="BK54" s="287"/>
      <c r="BL54" s="287"/>
      <c r="BM54" s="287"/>
      <c r="BN54" s="287"/>
      <c r="BO54" s="287"/>
      <c r="BP54" s="287"/>
      <c r="BQ54" s="287"/>
      <c r="BR54" s="287"/>
      <c r="BS54" s="287"/>
      <c r="BT54" s="287"/>
      <c r="BU54" s="287"/>
      <c r="BV54" s="287"/>
      <c r="BW54" s="287"/>
      <c r="BX54" s="287"/>
      <c r="BY54" s="287"/>
      <c r="BZ54" s="287"/>
      <c r="CA54" s="287"/>
      <c r="CB54" s="287"/>
      <c r="CC54" s="287"/>
      <c r="CD54" s="287"/>
      <c r="CE54" s="288"/>
      <c r="CF54" s="290"/>
      <c r="CG54" s="290"/>
      <c r="CH54" s="288"/>
      <c r="CI54" s="290"/>
      <c r="CJ54" s="287">
        <v>0</v>
      </c>
      <c r="CK54" s="287"/>
      <c r="CL54" s="287"/>
      <c r="CM54" s="287"/>
      <c r="CN54" s="287"/>
      <c r="CO54" s="287"/>
      <c r="CP54" s="287"/>
      <c r="CQ54" s="287"/>
      <c r="CR54" s="287"/>
      <c r="CS54" s="287"/>
      <c r="CT54" s="287"/>
      <c r="CU54" s="287"/>
      <c r="CV54" s="287"/>
      <c r="CW54" s="287"/>
      <c r="CX54" s="287"/>
      <c r="CY54" s="287"/>
      <c r="CZ54" s="287"/>
      <c r="DA54" s="287"/>
      <c r="DB54" s="287"/>
      <c r="DC54" s="287"/>
      <c r="DD54" s="287"/>
      <c r="DE54" s="287"/>
      <c r="DF54" s="287"/>
      <c r="DG54" s="287"/>
      <c r="DH54" s="287"/>
      <c r="DI54" s="288"/>
      <c r="DJ54" s="290"/>
      <c r="DK54" s="290"/>
      <c r="DL54" s="288"/>
      <c r="DM54" s="290"/>
      <c r="DN54" s="287">
        <v>0</v>
      </c>
      <c r="DO54" s="298"/>
      <c r="DP54" s="298"/>
      <c r="DQ54" s="298"/>
      <c r="DR54" s="298"/>
      <c r="DS54" s="298"/>
      <c r="DT54" s="298"/>
      <c r="DU54" s="298"/>
      <c r="DV54" s="298"/>
      <c r="DW54" s="298"/>
      <c r="DX54" s="298"/>
      <c r="DY54" s="298"/>
      <c r="DZ54" s="298"/>
      <c r="EA54" s="298"/>
      <c r="EB54" s="298"/>
      <c r="EC54" s="298"/>
      <c r="ED54" s="298"/>
      <c r="EE54" s="298"/>
      <c r="EF54" s="298"/>
      <c r="EG54" s="298"/>
      <c r="EH54" s="298"/>
      <c r="EI54" s="298"/>
      <c r="EJ54" s="298"/>
      <c r="EK54" s="298"/>
      <c r="EL54" s="298"/>
      <c r="EM54" s="281">
        <f>EI54+EG54+EE54+EC54+EA54+DY54+DW54+DU54+DS54+DQ54+DO54+EK54</f>
        <v>0</v>
      </c>
      <c r="EN54" s="292">
        <f t="shared" si="227"/>
        <v>0</v>
      </c>
      <c r="EO54" s="292">
        <f t="shared" si="228"/>
        <v>0</v>
      </c>
      <c r="EP54" s="288">
        <f>DQ54+DS54+DU54+DW54+DY54+EA54+EC54+EE54+EG54+EI54+EK54</f>
        <v>0</v>
      </c>
      <c r="EQ54" s="292">
        <f>DP54+DR54+DT54+DV54</f>
        <v>0</v>
      </c>
      <c r="ER54" s="285" t="e">
        <f t="shared" si="229"/>
        <v>#DIV/0!</v>
      </c>
      <c r="ES54" s="285">
        <f t="shared" si="16"/>
        <v>2.0786254123488561</v>
      </c>
      <c r="ET54" s="286">
        <f t="shared" si="17"/>
        <v>2.0786254123488561</v>
      </c>
      <c r="EU54" s="286">
        <f t="shared" si="18"/>
        <v>2.0786254123488561</v>
      </c>
      <c r="EV54" s="286" t="e">
        <f t="shared" si="19"/>
        <v>#DIV/0!</v>
      </c>
      <c r="EW54" s="433"/>
      <c r="EX54" s="425"/>
      <c r="EY54" s="425"/>
      <c r="EZ54" s="425"/>
      <c r="FA54" s="425"/>
      <c r="FB54" s="429"/>
    </row>
    <row r="55" spans="1:158" s="4" customFormat="1" ht="29.25" customHeight="1" x14ac:dyDescent="0.25">
      <c r="A55" s="425"/>
      <c r="B55" s="425"/>
      <c r="C55" s="425"/>
      <c r="D55" s="425"/>
      <c r="E55" s="425"/>
      <c r="F55" s="128" t="s">
        <v>42</v>
      </c>
      <c r="G55" s="279">
        <v>0</v>
      </c>
      <c r="H55" s="280">
        <v>0</v>
      </c>
      <c r="I55" s="281">
        <v>0</v>
      </c>
      <c r="J55" s="281">
        <v>0</v>
      </c>
      <c r="K55" s="281">
        <v>0</v>
      </c>
      <c r="L55" s="281">
        <v>0</v>
      </c>
      <c r="M55" s="281">
        <v>0</v>
      </c>
      <c r="N55" s="282">
        <v>0</v>
      </c>
      <c r="O55" s="281">
        <v>0</v>
      </c>
      <c r="P55" s="282">
        <v>0</v>
      </c>
      <c r="Q55" s="281">
        <v>0</v>
      </c>
      <c r="R55" s="283">
        <v>0</v>
      </c>
      <c r="S55" s="281">
        <v>0</v>
      </c>
      <c r="T55" s="282">
        <v>0</v>
      </c>
      <c r="U55" s="281">
        <v>0</v>
      </c>
      <c r="V55" s="281">
        <v>0</v>
      </c>
      <c r="W55" s="279">
        <v>0</v>
      </c>
      <c r="X55" s="279">
        <v>0</v>
      </c>
      <c r="Y55" s="279">
        <v>0</v>
      </c>
      <c r="Z55" s="279">
        <v>0</v>
      </c>
      <c r="AA55" s="279">
        <v>0</v>
      </c>
      <c r="AB55" s="279">
        <v>0</v>
      </c>
      <c r="AC55" s="279">
        <v>0</v>
      </c>
      <c r="AD55" s="279">
        <v>0</v>
      </c>
      <c r="AE55" s="279">
        <v>0</v>
      </c>
      <c r="AF55" s="279">
        <v>0</v>
      </c>
      <c r="AG55" s="279">
        <v>0</v>
      </c>
      <c r="AH55" s="279">
        <v>0</v>
      </c>
      <c r="AI55" s="279">
        <v>0</v>
      </c>
      <c r="AJ55" s="279">
        <v>0</v>
      </c>
      <c r="AK55" s="279">
        <v>0</v>
      </c>
      <c r="AL55" s="279">
        <v>0</v>
      </c>
      <c r="AM55" s="279">
        <v>0</v>
      </c>
      <c r="AN55" s="279">
        <v>0</v>
      </c>
      <c r="AO55" s="279">
        <v>0</v>
      </c>
      <c r="AP55" s="279">
        <v>0</v>
      </c>
      <c r="AQ55" s="279">
        <v>0</v>
      </c>
      <c r="AR55" s="279">
        <v>0</v>
      </c>
      <c r="AS55" s="279">
        <v>0</v>
      </c>
      <c r="AT55" s="279">
        <v>0</v>
      </c>
      <c r="AU55" s="279">
        <v>0</v>
      </c>
      <c r="AV55" s="279"/>
      <c r="AW55" s="279">
        <v>0</v>
      </c>
      <c r="AX55" s="279"/>
      <c r="AY55" s="279">
        <v>0</v>
      </c>
      <c r="AZ55" s="279"/>
      <c r="BA55" s="279">
        <f>+AB55</f>
        <v>0</v>
      </c>
      <c r="BB55" s="279">
        <f>+AS55</f>
        <v>0</v>
      </c>
      <c r="BC55" s="279">
        <f>+AT55</f>
        <v>0</v>
      </c>
      <c r="BD55" s="279">
        <f>+G55</f>
        <v>0</v>
      </c>
      <c r="BE55" s="279">
        <f>+AT55</f>
        <v>0</v>
      </c>
      <c r="BF55" s="294">
        <v>0</v>
      </c>
      <c r="BG55" s="279"/>
      <c r="BH55" s="279"/>
      <c r="BI55" s="279"/>
      <c r="BJ55" s="279"/>
      <c r="BK55" s="279"/>
      <c r="BL55" s="279"/>
      <c r="BM55" s="279"/>
      <c r="BN55" s="279"/>
      <c r="BO55" s="279"/>
      <c r="BP55" s="279"/>
      <c r="BQ55" s="279"/>
      <c r="BR55" s="279"/>
      <c r="BS55" s="279"/>
      <c r="BT55" s="279"/>
      <c r="BU55" s="279"/>
      <c r="BV55" s="279"/>
      <c r="BW55" s="279"/>
      <c r="BX55" s="279"/>
      <c r="BY55" s="279"/>
      <c r="BZ55" s="279"/>
      <c r="CA55" s="279"/>
      <c r="CB55" s="279"/>
      <c r="CC55" s="279"/>
      <c r="CD55" s="279"/>
      <c r="CE55" s="279">
        <f t="shared" ref="CE55:CE56" si="230">CA55+BY55+BW55+BU55+BS55+BQ55+BO55+BM55+BK55+BI55+AZ55+CC55</f>
        <v>0</v>
      </c>
      <c r="CF55" s="279">
        <f t="shared" ref="CF55:CF56" si="231">AZ55+BI55+BK55+BM55</f>
        <v>0</v>
      </c>
      <c r="CG55" s="279">
        <f t="shared" ref="CG55:CG56" si="232">BH55+BJ55+BL55+BN55</f>
        <v>0</v>
      </c>
      <c r="CH55" s="279">
        <f t="shared" ref="CH55" si="233">AZ55+BI55+BK55+BM55+BO55+BQ55+BS55+BU55+BW55+BY55+CA55+CC55</f>
        <v>0</v>
      </c>
      <c r="CI55" s="279">
        <f t="shared" ref="CI55:CI56" si="234">BH55+BJ55+BL55+BN55</f>
        <v>0</v>
      </c>
      <c r="CJ55" s="279">
        <v>0</v>
      </c>
      <c r="CK55" s="279">
        <v>0</v>
      </c>
      <c r="CL55" s="279">
        <v>0</v>
      </c>
      <c r="CM55" s="279">
        <v>0</v>
      </c>
      <c r="CN55" s="279">
        <v>0</v>
      </c>
      <c r="CO55" s="279">
        <v>0</v>
      </c>
      <c r="CP55" s="279">
        <v>0</v>
      </c>
      <c r="CQ55" s="279">
        <v>0</v>
      </c>
      <c r="CR55" s="279">
        <v>0</v>
      </c>
      <c r="CS55" s="279">
        <v>0</v>
      </c>
      <c r="CT55" s="279">
        <v>0</v>
      </c>
      <c r="CU55" s="279">
        <v>0</v>
      </c>
      <c r="CV55" s="279">
        <v>0</v>
      </c>
      <c r="CW55" s="279">
        <v>0</v>
      </c>
      <c r="CX55" s="279">
        <v>0</v>
      </c>
      <c r="CY55" s="279">
        <v>0</v>
      </c>
      <c r="CZ55" s="279">
        <v>0</v>
      </c>
      <c r="DA55" s="279">
        <v>0</v>
      </c>
      <c r="DB55" s="279">
        <v>0</v>
      </c>
      <c r="DC55" s="279">
        <v>0</v>
      </c>
      <c r="DD55" s="279">
        <v>0</v>
      </c>
      <c r="DE55" s="279">
        <v>0</v>
      </c>
      <c r="DF55" s="279">
        <v>0</v>
      </c>
      <c r="DG55" s="279">
        <v>0</v>
      </c>
      <c r="DH55" s="279">
        <v>0</v>
      </c>
      <c r="DI55" s="279">
        <v>0</v>
      </c>
      <c r="DJ55" s="279">
        <v>0</v>
      </c>
      <c r="DK55" s="279">
        <v>0</v>
      </c>
      <c r="DL55" s="279">
        <v>0</v>
      </c>
      <c r="DM55" s="279">
        <v>0</v>
      </c>
      <c r="DN55" s="279">
        <v>0</v>
      </c>
      <c r="DO55" s="369"/>
      <c r="DP55" s="369"/>
      <c r="DQ55" s="369"/>
      <c r="DR55" s="369"/>
      <c r="DS55" s="369"/>
      <c r="DT55" s="369"/>
      <c r="DU55" s="369"/>
      <c r="DV55" s="369"/>
      <c r="DW55" s="369"/>
      <c r="DX55" s="369"/>
      <c r="DY55" s="369"/>
      <c r="DZ55" s="369"/>
      <c r="EA55" s="369"/>
      <c r="EB55" s="369"/>
      <c r="EC55" s="369"/>
      <c r="ED55" s="369"/>
      <c r="EE55" s="369"/>
      <c r="EF55" s="369"/>
      <c r="EG55" s="369"/>
      <c r="EH55" s="369"/>
      <c r="EI55" s="369"/>
      <c r="EJ55" s="369"/>
      <c r="EK55" s="369"/>
      <c r="EL55" s="369"/>
      <c r="EM55" s="279">
        <f>EI55+EG55+EE55+EC55+EA55+DY55+DW55+DU55+DS55+DQ55+DO55+EK55</f>
        <v>0</v>
      </c>
      <c r="EN55" s="370">
        <f t="shared" si="227"/>
        <v>0</v>
      </c>
      <c r="EO55" s="370">
        <f t="shared" si="228"/>
        <v>0</v>
      </c>
      <c r="EP55" s="279">
        <f>DQ55+DS55+DU55+DW55+DY55+EA55+EC55+EE55+EG55+EI55+EK55</f>
        <v>0</v>
      </c>
      <c r="EQ55" s="370">
        <v>0</v>
      </c>
      <c r="ER55" s="285" t="e">
        <f t="shared" si="229"/>
        <v>#DIV/0!</v>
      </c>
      <c r="ES55" s="285" t="e">
        <f t="shared" si="16"/>
        <v>#DIV/0!</v>
      </c>
      <c r="ET55" s="286" t="e">
        <f t="shared" si="17"/>
        <v>#DIV/0!</v>
      </c>
      <c r="EU55" s="286" t="e">
        <f t="shared" si="18"/>
        <v>#DIV/0!</v>
      </c>
      <c r="EV55" s="286" t="e">
        <f t="shared" si="19"/>
        <v>#DIV/0!</v>
      </c>
      <c r="EW55" s="433"/>
      <c r="EX55" s="425"/>
      <c r="EY55" s="425"/>
      <c r="EZ55" s="425"/>
      <c r="FA55" s="425"/>
      <c r="FB55" s="429"/>
    </row>
    <row r="56" spans="1:158" s="60" customFormat="1" ht="29.25" customHeight="1" x14ac:dyDescent="0.25">
      <c r="A56" s="425"/>
      <c r="B56" s="425"/>
      <c r="C56" s="425"/>
      <c r="D56" s="425"/>
      <c r="E56" s="425"/>
      <c r="F56" s="126" t="s">
        <v>4</v>
      </c>
      <c r="G56" s="287">
        <f>+AA56+BD56+BF56+CJ56+DN56</f>
        <v>131174135</v>
      </c>
      <c r="H56" s="288">
        <v>187668702</v>
      </c>
      <c r="I56" s="287">
        <v>0</v>
      </c>
      <c r="J56" s="287">
        <v>0</v>
      </c>
      <c r="K56" s="287">
        <v>0</v>
      </c>
      <c r="L56" s="287">
        <v>0</v>
      </c>
      <c r="M56" s="287">
        <v>0</v>
      </c>
      <c r="N56" s="287">
        <v>0</v>
      </c>
      <c r="O56" s="287">
        <v>0</v>
      </c>
      <c r="P56" s="287">
        <v>0</v>
      </c>
      <c r="Q56" s="287">
        <v>0</v>
      </c>
      <c r="R56" s="287">
        <v>0</v>
      </c>
      <c r="S56" s="287">
        <v>0</v>
      </c>
      <c r="T56" s="288">
        <v>0</v>
      </c>
      <c r="U56" s="289">
        <v>0</v>
      </c>
      <c r="V56" s="289">
        <v>0</v>
      </c>
      <c r="W56" s="288">
        <v>187668702</v>
      </c>
      <c r="X56" s="288">
        <v>187668702</v>
      </c>
      <c r="Y56" s="288">
        <v>0</v>
      </c>
      <c r="Z56" s="288">
        <v>187668702</v>
      </c>
      <c r="AA56" s="287">
        <v>0</v>
      </c>
      <c r="AB56" s="288">
        <v>131174135</v>
      </c>
      <c r="AC56" s="287">
        <v>56494567</v>
      </c>
      <c r="AD56" s="287">
        <v>56494567</v>
      </c>
      <c r="AE56" s="287">
        <v>56557034</v>
      </c>
      <c r="AF56" s="287">
        <f>113051601-AD56</f>
        <v>56557034</v>
      </c>
      <c r="AG56" s="287">
        <v>7384000</v>
      </c>
      <c r="AH56" s="287">
        <f>120435601-AF56-AD56</f>
        <v>7384000</v>
      </c>
      <c r="AI56" s="287">
        <v>3121667</v>
      </c>
      <c r="AJ56" s="287">
        <f>123557268-AH56-AF56-AD56</f>
        <v>3121667</v>
      </c>
      <c r="AK56" s="287">
        <v>3746000</v>
      </c>
      <c r="AL56" s="287">
        <f>127303268-AJ56-AH56-AF56-AD56</f>
        <v>3746000</v>
      </c>
      <c r="AM56" s="287">
        <v>3870867</v>
      </c>
      <c r="AN56" s="287">
        <v>3870867</v>
      </c>
      <c r="AO56" s="287">
        <v>0</v>
      </c>
      <c r="AP56" s="287">
        <v>0</v>
      </c>
      <c r="AQ56" s="287">
        <v>0</v>
      </c>
      <c r="AR56" s="287">
        <v>0</v>
      </c>
      <c r="AS56" s="287">
        <v>0</v>
      </c>
      <c r="AT56" s="287">
        <v>0</v>
      </c>
      <c r="AU56" s="287">
        <v>0</v>
      </c>
      <c r="AV56" s="287"/>
      <c r="AW56" s="287">
        <v>0</v>
      </c>
      <c r="AX56" s="287"/>
      <c r="AY56" s="287">
        <v>0</v>
      </c>
      <c r="AZ56" s="287"/>
      <c r="BA56" s="287">
        <f>AY56+AW56+AU56+AS56+AQ56+AO56+AM56+AK56+AI56+AG56+AE56+AC56</f>
        <v>131174135</v>
      </c>
      <c r="BB56" s="290">
        <f>AC56+AE56+AG56+AI56+AK56+AM56+AO56+AQ56+AS56</f>
        <v>131174135</v>
      </c>
      <c r="BC56" s="287">
        <f>AD56+AF56+AH56+AJ56+AL56+AN56+AP56+AR56+AT56</f>
        <v>131174135</v>
      </c>
      <c r="BD56" s="288">
        <f>AE56+AG56+AI56+AK56+AM56+AO56+AQ56+AS56+AU56+AW56+AY56+AC56</f>
        <v>131174135</v>
      </c>
      <c r="BE56" s="290">
        <f>AD56+AF56+AH56+AJ56+AL56+AN56+AP56+AR56+AT56+AV56+AX56+AZ56</f>
        <v>131174135</v>
      </c>
      <c r="BF56" s="287">
        <v>0</v>
      </c>
      <c r="BG56" s="287"/>
      <c r="BH56" s="287"/>
      <c r="BI56" s="287"/>
      <c r="BJ56" s="287"/>
      <c r="BK56" s="287"/>
      <c r="BL56" s="287"/>
      <c r="BM56" s="287"/>
      <c r="BN56" s="287"/>
      <c r="BO56" s="287"/>
      <c r="BP56" s="287"/>
      <c r="BQ56" s="287"/>
      <c r="BR56" s="287"/>
      <c r="BS56" s="287"/>
      <c r="BT56" s="287"/>
      <c r="BU56" s="287"/>
      <c r="BV56" s="287"/>
      <c r="BW56" s="287"/>
      <c r="BX56" s="287"/>
      <c r="BY56" s="287"/>
      <c r="BZ56" s="287"/>
      <c r="CA56" s="287"/>
      <c r="CB56" s="287"/>
      <c r="CC56" s="287"/>
      <c r="CD56" s="287"/>
      <c r="CE56" s="288">
        <f t="shared" si="230"/>
        <v>0</v>
      </c>
      <c r="CF56" s="290">
        <f t="shared" si="231"/>
        <v>0</v>
      </c>
      <c r="CG56" s="290">
        <f t="shared" si="232"/>
        <v>0</v>
      </c>
      <c r="CH56" s="288">
        <f t="shared" ref="CH56" si="235">BI56+BK56+BM56+BO56+BQ56+BS56+BU56+BW56+BY56+CA56+CC56+AZ56</f>
        <v>0</v>
      </c>
      <c r="CI56" s="290">
        <f t="shared" si="234"/>
        <v>0</v>
      </c>
      <c r="CJ56" s="287">
        <v>0</v>
      </c>
      <c r="CK56" s="287">
        <v>0</v>
      </c>
      <c r="CL56" s="287">
        <v>0</v>
      </c>
      <c r="CM56" s="287">
        <v>0</v>
      </c>
      <c r="CN56" s="287">
        <v>0</v>
      </c>
      <c r="CO56" s="287">
        <v>0</v>
      </c>
      <c r="CP56" s="287">
        <v>0</v>
      </c>
      <c r="CQ56" s="287">
        <v>0</v>
      </c>
      <c r="CR56" s="287">
        <v>0</v>
      </c>
      <c r="CS56" s="287">
        <v>0</v>
      </c>
      <c r="CT56" s="287">
        <v>0</v>
      </c>
      <c r="CU56" s="287">
        <v>0</v>
      </c>
      <c r="CV56" s="287">
        <v>0</v>
      </c>
      <c r="CW56" s="287">
        <v>0</v>
      </c>
      <c r="CX56" s="287">
        <v>0</v>
      </c>
      <c r="CY56" s="287">
        <v>0</v>
      </c>
      <c r="CZ56" s="287">
        <v>0</v>
      </c>
      <c r="DA56" s="287">
        <v>0</v>
      </c>
      <c r="DB56" s="287">
        <v>0</v>
      </c>
      <c r="DC56" s="287">
        <v>0</v>
      </c>
      <c r="DD56" s="287">
        <v>0</v>
      </c>
      <c r="DE56" s="287">
        <v>0</v>
      </c>
      <c r="DF56" s="287">
        <v>0</v>
      </c>
      <c r="DG56" s="287">
        <v>0</v>
      </c>
      <c r="DH56" s="287">
        <v>0</v>
      </c>
      <c r="DI56" s="288">
        <v>0</v>
      </c>
      <c r="DJ56" s="290">
        <v>0</v>
      </c>
      <c r="DK56" s="290">
        <v>0</v>
      </c>
      <c r="DL56" s="288">
        <v>0</v>
      </c>
      <c r="DM56" s="290">
        <v>0</v>
      </c>
      <c r="DN56" s="287">
        <v>0</v>
      </c>
      <c r="DO56" s="298"/>
      <c r="DP56" s="298"/>
      <c r="DQ56" s="298"/>
      <c r="DR56" s="298"/>
      <c r="DS56" s="298"/>
      <c r="DT56" s="298"/>
      <c r="DU56" s="298"/>
      <c r="DV56" s="298"/>
      <c r="DW56" s="298"/>
      <c r="DX56" s="298"/>
      <c r="DY56" s="298"/>
      <c r="DZ56" s="298"/>
      <c r="EA56" s="298"/>
      <c r="EB56" s="298"/>
      <c r="EC56" s="298"/>
      <c r="ED56" s="298"/>
      <c r="EE56" s="298"/>
      <c r="EF56" s="298"/>
      <c r="EG56" s="298"/>
      <c r="EH56" s="298"/>
      <c r="EI56" s="298"/>
      <c r="EJ56" s="298"/>
      <c r="EK56" s="298"/>
      <c r="EL56" s="298"/>
      <c r="EM56" s="282">
        <f>EI56+EG56+EE56+EC56+EA56+DY56+DW56+DU56+DS56+DQ56+DO56+EK56</f>
        <v>0</v>
      </c>
      <c r="EN56" s="292">
        <f t="shared" si="227"/>
        <v>0</v>
      </c>
      <c r="EO56" s="292">
        <f t="shared" si="228"/>
        <v>0</v>
      </c>
      <c r="EP56" s="288">
        <f>DQ56+DS56+DU56+DW56+DY56+EA56+EC56+EE56+EG56+EI56+EK56+DO56</f>
        <v>0</v>
      </c>
      <c r="EQ56" s="292">
        <f>DP56+DR56+DT56+DV56</f>
        <v>0</v>
      </c>
      <c r="ER56" s="285" t="e">
        <f t="shared" si="229"/>
        <v>#DIV/0!</v>
      </c>
      <c r="ES56" s="285">
        <f t="shared" si="16"/>
        <v>1</v>
      </c>
      <c r="ET56" s="286">
        <f t="shared" si="17"/>
        <v>1</v>
      </c>
      <c r="EU56" s="286">
        <f t="shared" si="18"/>
        <v>0.41140687441568585</v>
      </c>
      <c r="EV56" s="286">
        <f t="shared" si="19"/>
        <v>1</v>
      </c>
      <c r="EW56" s="433"/>
      <c r="EX56" s="425"/>
      <c r="EY56" s="425"/>
      <c r="EZ56" s="425"/>
      <c r="FA56" s="425"/>
      <c r="FB56" s="429"/>
    </row>
    <row r="57" spans="1:158" s="4" customFormat="1" ht="29.25" customHeight="1" thickBot="1" x14ac:dyDescent="0.3">
      <c r="A57" s="425"/>
      <c r="B57" s="425"/>
      <c r="C57" s="425"/>
      <c r="D57" s="425"/>
      <c r="E57" s="425"/>
      <c r="F57" s="128" t="s">
        <v>43</v>
      </c>
      <c r="G57" s="299">
        <f>+G52+G55</f>
        <v>1</v>
      </c>
      <c r="H57" s="299">
        <f>+H52+H55</f>
        <v>1</v>
      </c>
      <c r="I57" s="299"/>
      <c r="J57" s="299"/>
      <c r="K57" s="299"/>
      <c r="L57" s="299"/>
      <c r="M57" s="299"/>
      <c r="N57" s="299"/>
      <c r="O57" s="299"/>
      <c r="P57" s="299"/>
      <c r="Q57" s="299"/>
      <c r="R57" s="299"/>
      <c r="S57" s="299"/>
      <c r="T57" s="299"/>
      <c r="U57" s="299"/>
      <c r="V57" s="299"/>
      <c r="W57" s="299">
        <f t="shared" ref="W57:AM57" si="236">+W52+W55</f>
        <v>1</v>
      </c>
      <c r="X57" s="299">
        <f t="shared" si="236"/>
        <v>1</v>
      </c>
      <c r="Y57" s="299">
        <f t="shared" si="236"/>
        <v>1</v>
      </c>
      <c r="Z57" s="299">
        <f t="shared" si="236"/>
        <v>1</v>
      </c>
      <c r="AA57" s="299">
        <f t="shared" si="236"/>
        <v>1</v>
      </c>
      <c r="AB57" s="299">
        <f>+AB52+AB55</f>
        <v>1</v>
      </c>
      <c r="AC57" s="299">
        <f t="shared" si="236"/>
        <v>1</v>
      </c>
      <c r="AD57" s="299">
        <f t="shared" si="236"/>
        <v>1</v>
      </c>
      <c r="AE57" s="299">
        <f t="shared" si="236"/>
        <v>1</v>
      </c>
      <c r="AF57" s="299">
        <f t="shared" si="236"/>
        <v>1</v>
      </c>
      <c r="AG57" s="299">
        <f t="shared" si="236"/>
        <v>1</v>
      </c>
      <c r="AH57" s="299">
        <f t="shared" si="236"/>
        <v>1</v>
      </c>
      <c r="AI57" s="299">
        <f t="shared" si="236"/>
        <v>1</v>
      </c>
      <c r="AJ57" s="299">
        <f t="shared" si="236"/>
        <v>0.64</v>
      </c>
      <c r="AK57" s="299">
        <f t="shared" si="236"/>
        <v>1</v>
      </c>
      <c r="AL57" s="299">
        <f t="shared" si="236"/>
        <v>0.877</v>
      </c>
      <c r="AM57" s="299">
        <f t="shared" si="236"/>
        <v>1</v>
      </c>
      <c r="AN57" s="299">
        <f t="shared" ref="AN57" si="237">+AN52+AN55</f>
        <v>0.91600000000000004</v>
      </c>
      <c r="AO57" s="299">
        <f t="shared" ref="AO57:AP58" si="238">+AO52+AO55</f>
        <v>1</v>
      </c>
      <c r="AP57" s="299">
        <f t="shared" si="238"/>
        <v>1</v>
      </c>
      <c r="AQ57" s="299">
        <f t="shared" ref="AQ57:AR58" si="239">+AQ52+AQ55</f>
        <v>1</v>
      </c>
      <c r="AR57" s="299">
        <f t="shared" si="239"/>
        <v>0.91300000000000003</v>
      </c>
      <c r="AS57" s="299">
        <f t="shared" ref="AS57:AT58" si="240">+AS52+AS55</f>
        <v>1</v>
      </c>
      <c r="AT57" s="299">
        <f t="shared" si="240"/>
        <v>1</v>
      </c>
      <c r="AU57" s="299">
        <f t="shared" ref="AU57:AU58" si="241">+AU52+AU55</f>
        <v>1</v>
      </c>
      <c r="AV57" s="299"/>
      <c r="AW57" s="299">
        <f t="shared" ref="AW57:AW58" si="242">+AW52+AW55</f>
        <v>1</v>
      </c>
      <c r="AX57" s="299"/>
      <c r="AY57" s="299">
        <f>+AY52+AY55</f>
        <v>1</v>
      </c>
      <c r="AZ57" s="299"/>
      <c r="BA57" s="299">
        <f t="shared" ref="BA57:DL57" si="243">+BA52+BA55</f>
        <v>1</v>
      </c>
      <c r="BB57" s="299">
        <f t="shared" si="243"/>
        <v>1</v>
      </c>
      <c r="BC57" s="299">
        <f t="shared" si="243"/>
        <v>1</v>
      </c>
      <c r="BD57" s="299">
        <f t="shared" si="243"/>
        <v>1</v>
      </c>
      <c r="BE57" s="299">
        <f t="shared" si="243"/>
        <v>1</v>
      </c>
      <c r="BF57" s="299">
        <f t="shared" si="243"/>
        <v>1</v>
      </c>
      <c r="BG57" s="299">
        <f t="shared" si="243"/>
        <v>0</v>
      </c>
      <c r="BH57" s="299">
        <f t="shared" si="243"/>
        <v>0</v>
      </c>
      <c r="BI57" s="299">
        <f t="shared" si="243"/>
        <v>0</v>
      </c>
      <c r="BJ57" s="299">
        <f t="shared" si="243"/>
        <v>0</v>
      </c>
      <c r="BK57" s="299">
        <f t="shared" si="243"/>
        <v>0</v>
      </c>
      <c r="BL57" s="299">
        <f t="shared" si="243"/>
        <v>0</v>
      </c>
      <c r="BM57" s="299">
        <f t="shared" si="243"/>
        <v>0</v>
      </c>
      <c r="BN57" s="299">
        <f t="shared" si="243"/>
        <v>0</v>
      </c>
      <c r="BO57" s="299">
        <f t="shared" si="243"/>
        <v>0</v>
      </c>
      <c r="BP57" s="299">
        <f t="shared" si="243"/>
        <v>0</v>
      </c>
      <c r="BQ57" s="299">
        <f t="shared" si="243"/>
        <v>0</v>
      </c>
      <c r="BR57" s="299">
        <f t="shared" si="243"/>
        <v>0</v>
      </c>
      <c r="BS57" s="299">
        <f t="shared" si="243"/>
        <v>0</v>
      </c>
      <c r="BT57" s="299">
        <f t="shared" si="243"/>
        <v>0</v>
      </c>
      <c r="BU57" s="299">
        <f t="shared" si="243"/>
        <v>0</v>
      </c>
      <c r="BV57" s="299">
        <f t="shared" si="243"/>
        <v>0</v>
      </c>
      <c r="BW57" s="299">
        <f t="shared" si="243"/>
        <v>0</v>
      </c>
      <c r="BX57" s="299">
        <f t="shared" si="243"/>
        <v>0</v>
      </c>
      <c r="BY57" s="299">
        <f t="shared" si="243"/>
        <v>0</v>
      </c>
      <c r="BZ57" s="299">
        <f t="shared" si="243"/>
        <v>0</v>
      </c>
      <c r="CA57" s="299">
        <f t="shared" si="243"/>
        <v>0</v>
      </c>
      <c r="CB57" s="299">
        <f t="shared" si="243"/>
        <v>0</v>
      </c>
      <c r="CC57" s="299">
        <f t="shared" si="243"/>
        <v>0</v>
      </c>
      <c r="CD57" s="299">
        <f t="shared" si="243"/>
        <v>0</v>
      </c>
      <c r="CE57" s="299">
        <f t="shared" si="243"/>
        <v>0</v>
      </c>
      <c r="CF57" s="299">
        <f t="shared" si="243"/>
        <v>0</v>
      </c>
      <c r="CG57" s="299">
        <f t="shared" si="243"/>
        <v>0</v>
      </c>
      <c r="CH57" s="299">
        <f t="shared" si="243"/>
        <v>0</v>
      </c>
      <c r="CI57" s="299">
        <f t="shared" si="243"/>
        <v>0</v>
      </c>
      <c r="CJ57" s="299">
        <f t="shared" si="243"/>
        <v>1</v>
      </c>
      <c r="CK57" s="299">
        <f t="shared" si="243"/>
        <v>0</v>
      </c>
      <c r="CL57" s="299">
        <f t="shared" si="243"/>
        <v>0</v>
      </c>
      <c r="CM57" s="299">
        <f t="shared" si="243"/>
        <v>0</v>
      </c>
      <c r="CN57" s="299">
        <f t="shared" si="243"/>
        <v>0</v>
      </c>
      <c r="CO57" s="299">
        <f t="shared" si="243"/>
        <v>0</v>
      </c>
      <c r="CP57" s="299">
        <f t="shared" si="243"/>
        <v>0</v>
      </c>
      <c r="CQ57" s="299">
        <f t="shared" si="243"/>
        <v>0</v>
      </c>
      <c r="CR57" s="299">
        <f t="shared" si="243"/>
        <v>0</v>
      </c>
      <c r="CS57" s="299">
        <f t="shared" si="243"/>
        <v>0</v>
      </c>
      <c r="CT57" s="299">
        <f t="shared" si="243"/>
        <v>0</v>
      </c>
      <c r="CU57" s="299">
        <f t="shared" si="243"/>
        <v>0</v>
      </c>
      <c r="CV57" s="299">
        <f t="shared" si="243"/>
        <v>0</v>
      </c>
      <c r="CW57" s="299">
        <f t="shared" si="243"/>
        <v>0</v>
      </c>
      <c r="CX57" s="299">
        <f t="shared" si="243"/>
        <v>0</v>
      </c>
      <c r="CY57" s="299">
        <f t="shared" si="243"/>
        <v>0</v>
      </c>
      <c r="CZ57" s="299">
        <f t="shared" si="243"/>
        <v>0</v>
      </c>
      <c r="DA57" s="299">
        <f t="shared" si="243"/>
        <v>0</v>
      </c>
      <c r="DB57" s="299">
        <f t="shared" si="243"/>
        <v>0</v>
      </c>
      <c r="DC57" s="299">
        <f t="shared" si="243"/>
        <v>0</v>
      </c>
      <c r="DD57" s="299">
        <f t="shared" si="243"/>
        <v>0</v>
      </c>
      <c r="DE57" s="299">
        <f t="shared" si="243"/>
        <v>0</v>
      </c>
      <c r="DF57" s="299">
        <f t="shared" si="243"/>
        <v>0</v>
      </c>
      <c r="DG57" s="299">
        <f t="shared" si="243"/>
        <v>0</v>
      </c>
      <c r="DH57" s="299">
        <f t="shared" si="243"/>
        <v>0</v>
      </c>
      <c r="DI57" s="299">
        <f t="shared" si="243"/>
        <v>0</v>
      </c>
      <c r="DJ57" s="299">
        <f t="shared" si="243"/>
        <v>0</v>
      </c>
      <c r="DK57" s="299">
        <f t="shared" si="243"/>
        <v>0</v>
      </c>
      <c r="DL57" s="299">
        <f t="shared" si="243"/>
        <v>0</v>
      </c>
      <c r="DM57" s="299">
        <f t="shared" ref="DM57:DN57" si="244">+DM52+DM55</f>
        <v>0</v>
      </c>
      <c r="DN57" s="299">
        <f t="shared" si="244"/>
        <v>1</v>
      </c>
      <c r="DO57" s="371"/>
      <c r="DP57" s="371"/>
      <c r="DQ57" s="371"/>
      <c r="DR57" s="371"/>
      <c r="DS57" s="371"/>
      <c r="DT57" s="371"/>
      <c r="DU57" s="371"/>
      <c r="DV57" s="371"/>
      <c r="DW57" s="371"/>
      <c r="DX57" s="371"/>
      <c r="DY57" s="371"/>
      <c r="DZ57" s="371"/>
      <c r="EA57" s="371"/>
      <c r="EB57" s="371"/>
      <c r="EC57" s="371"/>
      <c r="ED57" s="371"/>
      <c r="EE57" s="371"/>
      <c r="EF57" s="371"/>
      <c r="EG57" s="371"/>
      <c r="EH57" s="371"/>
      <c r="EI57" s="371"/>
      <c r="EJ57" s="371"/>
      <c r="EK57" s="371"/>
      <c r="EL57" s="371"/>
      <c r="EM57" s="299">
        <f>EI57+EG57+EE57+EC57+EA57+DY57+DW57+DU57+DS57+DQ57+DO57+EK57</f>
        <v>0</v>
      </c>
      <c r="EN57" s="372"/>
      <c r="EO57" s="372">
        <f t="shared" si="228"/>
        <v>0</v>
      </c>
      <c r="EP57" s="299">
        <f>DQ57+DS57+DU57+DW57+DY57+EA57+EC57+EE57+EG57+EI57+EK57+DO57</f>
        <v>0</v>
      </c>
      <c r="EQ57" s="372">
        <f>DR57+DT57+DV57+DP57</f>
        <v>0</v>
      </c>
      <c r="ER57" s="307">
        <f t="shared" si="229"/>
        <v>1</v>
      </c>
      <c r="ES57" s="307">
        <f t="shared" si="16"/>
        <v>1</v>
      </c>
      <c r="ET57" s="308">
        <f t="shared" si="17"/>
        <v>1</v>
      </c>
      <c r="EU57" s="308">
        <f t="shared" si="18"/>
        <v>1</v>
      </c>
      <c r="EV57" s="308">
        <f t="shared" si="19"/>
        <v>2</v>
      </c>
      <c r="EW57" s="433"/>
      <c r="EX57" s="425"/>
      <c r="EY57" s="425"/>
      <c r="EZ57" s="425"/>
      <c r="FA57" s="425"/>
      <c r="FB57" s="429"/>
    </row>
    <row r="58" spans="1:158" s="61" customFormat="1" ht="29.25" customHeight="1" thickBot="1" x14ac:dyDescent="0.3">
      <c r="A58" s="425"/>
      <c r="B58" s="425"/>
      <c r="C58" s="425"/>
      <c r="D58" s="425"/>
      <c r="E58" s="425"/>
      <c r="F58" s="277" t="s">
        <v>45</v>
      </c>
      <c r="G58" s="309">
        <f>+G53+G56</f>
        <v>3386632205</v>
      </c>
      <c r="H58" s="310">
        <f>+H53+H56</f>
        <v>637668702</v>
      </c>
      <c r="I58" s="310"/>
      <c r="J58" s="310"/>
      <c r="K58" s="310"/>
      <c r="L58" s="310"/>
      <c r="M58" s="310"/>
      <c r="N58" s="310"/>
      <c r="O58" s="310"/>
      <c r="P58" s="310"/>
      <c r="Q58" s="310"/>
      <c r="R58" s="310"/>
      <c r="S58" s="310"/>
      <c r="T58" s="311"/>
      <c r="U58" s="310"/>
      <c r="V58" s="310"/>
      <c r="W58" s="310">
        <f t="shared" ref="W58:AM58" si="245">+W53+W56</f>
        <v>637668702</v>
      </c>
      <c r="X58" s="310">
        <f t="shared" si="245"/>
        <v>637668702</v>
      </c>
      <c r="Y58" s="310">
        <f t="shared" si="245"/>
        <v>447516000</v>
      </c>
      <c r="Z58" s="310">
        <f t="shared" si="245"/>
        <v>637668702</v>
      </c>
      <c r="AA58" s="310">
        <f t="shared" si="245"/>
        <v>447516000</v>
      </c>
      <c r="AB58" s="310">
        <f>+AB53+AB56</f>
        <v>822844135</v>
      </c>
      <c r="AC58" s="310">
        <f t="shared" si="245"/>
        <v>56494567</v>
      </c>
      <c r="AD58" s="310">
        <f t="shared" si="245"/>
        <v>56494567</v>
      </c>
      <c r="AE58" s="310">
        <f t="shared" si="245"/>
        <v>382600034</v>
      </c>
      <c r="AF58" s="310">
        <f t="shared" si="245"/>
        <v>382600034</v>
      </c>
      <c r="AG58" s="310">
        <f t="shared" si="245"/>
        <v>96979000</v>
      </c>
      <c r="AH58" s="310">
        <f t="shared" si="245"/>
        <v>96979000</v>
      </c>
      <c r="AI58" s="310">
        <f t="shared" si="245"/>
        <v>103601667</v>
      </c>
      <c r="AJ58" s="310">
        <f t="shared" si="245"/>
        <v>103601667</v>
      </c>
      <c r="AK58" s="310">
        <f t="shared" si="245"/>
        <v>3746000</v>
      </c>
      <c r="AL58" s="310">
        <f t="shared" si="245"/>
        <v>3746000</v>
      </c>
      <c r="AM58" s="310">
        <f t="shared" si="245"/>
        <v>3870867</v>
      </c>
      <c r="AN58" s="310">
        <f t="shared" ref="AN58" si="246">+AN53+AN56</f>
        <v>3870867</v>
      </c>
      <c r="AO58" s="310">
        <f t="shared" si="238"/>
        <v>0</v>
      </c>
      <c r="AP58" s="310">
        <f t="shared" si="238"/>
        <v>0</v>
      </c>
      <c r="AQ58" s="310">
        <f t="shared" si="239"/>
        <v>36785066.666666672</v>
      </c>
      <c r="AR58" s="310">
        <f t="shared" si="239"/>
        <v>0</v>
      </c>
      <c r="AS58" s="310">
        <f t="shared" si="240"/>
        <v>-96942863.333333328</v>
      </c>
      <c r="AT58" s="310">
        <f t="shared" si="240"/>
        <v>0</v>
      </c>
      <c r="AU58" s="310">
        <f t="shared" si="241"/>
        <v>36785066.666666672</v>
      </c>
      <c r="AV58" s="310"/>
      <c r="AW58" s="310">
        <f t="shared" si="242"/>
        <v>32598400</v>
      </c>
      <c r="AX58" s="310"/>
      <c r="AY58" s="310">
        <f>+AY53+AY56</f>
        <v>32598400</v>
      </c>
      <c r="AZ58" s="310"/>
      <c r="BA58" s="310">
        <f t="shared" ref="BA58:DL58" si="247">+BA53+BA56</f>
        <v>689116205</v>
      </c>
      <c r="BB58" s="310">
        <f>+BB53+BB56</f>
        <v>587134338.33333325</v>
      </c>
      <c r="BC58" s="310">
        <f t="shared" si="247"/>
        <v>647292135</v>
      </c>
      <c r="BD58" s="310">
        <f t="shared" si="247"/>
        <v>689116205</v>
      </c>
      <c r="BE58" s="310">
        <f t="shared" si="247"/>
        <v>647292135</v>
      </c>
      <c r="BF58" s="310">
        <f t="shared" si="247"/>
        <v>900000000</v>
      </c>
      <c r="BG58" s="310">
        <f t="shared" si="247"/>
        <v>0</v>
      </c>
      <c r="BH58" s="310">
        <f t="shared" si="247"/>
        <v>0</v>
      </c>
      <c r="BI58" s="310">
        <f t="shared" si="247"/>
        <v>0</v>
      </c>
      <c r="BJ58" s="310">
        <f t="shared" si="247"/>
        <v>0</v>
      </c>
      <c r="BK58" s="310">
        <f t="shared" si="247"/>
        <v>0</v>
      </c>
      <c r="BL58" s="310">
        <f t="shared" si="247"/>
        <v>0</v>
      </c>
      <c r="BM58" s="310">
        <f t="shared" si="247"/>
        <v>0</v>
      </c>
      <c r="BN58" s="310">
        <f t="shared" si="247"/>
        <v>0</v>
      </c>
      <c r="BO58" s="310">
        <f t="shared" si="247"/>
        <v>0</v>
      </c>
      <c r="BP58" s="310">
        <f t="shared" si="247"/>
        <v>0</v>
      </c>
      <c r="BQ58" s="310">
        <f t="shared" si="247"/>
        <v>0</v>
      </c>
      <c r="BR58" s="310">
        <f t="shared" si="247"/>
        <v>0</v>
      </c>
      <c r="BS58" s="310">
        <f t="shared" si="247"/>
        <v>0</v>
      </c>
      <c r="BT58" s="310">
        <f t="shared" si="247"/>
        <v>0</v>
      </c>
      <c r="BU58" s="310">
        <f t="shared" si="247"/>
        <v>0</v>
      </c>
      <c r="BV58" s="310">
        <f t="shared" si="247"/>
        <v>0</v>
      </c>
      <c r="BW58" s="310">
        <f t="shared" si="247"/>
        <v>0</v>
      </c>
      <c r="BX58" s="310">
        <f t="shared" si="247"/>
        <v>0</v>
      </c>
      <c r="BY58" s="310">
        <f t="shared" si="247"/>
        <v>0</v>
      </c>
      <c r="BZ58" s="310">
        <f t="shared" si="247"/>
        <v>0</v>
      </c>
      <c r="CA58" s="310">
        <f t="shared" si="247"/>
        <v>0</v>
      </c>
      <c r="CB58" s="310">
        <f t="shared" si="247"/>
        <v>0</v>
      </c>
      <c r="CC58" s="310">
        <f t="shared" si="247"/>
        <v>0</v>
      </c>
      <c r="CD58" s="310">
        <f t="shared" si="247"/>
        <v>0</v>
      </c>
      <c r="CE58" s="310">
        <f t="shared" si="247"/>
        <v>0</v>
      </c>
      <c r="CF58" s="310">
        <f t="shared" si="247"/>
        <v>0</v>
      </c>
      <c r="CG58" s="310">
        <f t="shared" si="247"/>
        <v>0</v>
      </c>
      <c r="CH58" s="310">
        <f t="shared" si="247"/>
        <v>0</v>
      </c>
      <c r="CI58" s="310">
        <f t="shared" si="247"/>
        <v>0</v>
      </c>
      <c r="CJ58" s="310">
        <f t="shared" si="247"/>
        <v>900000000</v>
      </c>
      <c r="CK58" s="310">
        <f t="shared" si="247"/>
        <v>0</v>
      </c>
      <c r="CL58" s="310">
        <f t="shared" si="247"/>
        <v>0</v>
      </c>
      <c r="CM58" s="310">
        <f t="shared" si="247"/>
        <v>0</v>
      </c>
      <c r="CN58" s="310">
        <f t="shared" si="247"/>
        <v>0</v>
      </c>
      <c r="CO58" s="310">
        <f t="shared" si="247"/>
        <v>0</v>
      </c>
      <c r="CP58" s="310">
        <f t="shared" si="247"/>
        <v>0</v>
      </c>
      <c r="CQ58" s="310">
        <f t="shared" si="247"/>
        <v>0</v>
      </c>
      <c r="CR58" s="310">
        <f t="shared" si="247"/>
        <v>0</v>
      </c>
      <c r="CS58" s="310">
        <f t="shared" si="247"/>
        <v>0</v>
      </c>
      <c r="CT58" s="310">
        <f t="shared" si="247"/>
        <v>0</v>
      </c>
      <c r="CU58" s="310">
        <f t="shared" si="247"/>
        <v>0</v>
      </c>
      <c r="CV58" s="310">
        <f t="shared" si="247"/>
        <v>0</v>
      </c>
      <c r="CW58" s="310">
        <f t="shared" si="247"/>
        <v>0</v>
      </c>
      <c r="CX58" s="310">
        <f t="shared" si="247"/>
        <v>0</v>
      </c>
      <c r="CY58" s="310">
        <f t="shared" si="247"/>
        <v>0</v>
      </c>
      <c r="CZ58" s="310">
        <f t="shared" si="247"/>
        <v>0</v>
      </c>
      <c r="DA58" s="310">
        <f t="shared" si="247"/>
        <v>0</v>
      </c>
      <c r="DB58" s="310">
        <f t="shared" si="247"/>
        <v>0</v>
      </c>
      <c r="DC58" s="310">
        <f t="shared" si="247"/>
        <v>0</v>
      </c>
      <c r="DD58" s="310">
        <f t="shared" si="247"/>
        <v>0</v>
      </c>
      <c r="DE58" s="310">
        <f t="shared" si="247"/>
        <v>0</v>
      </c>
      <c r="DF58" s="310">
        <f t="shared" si="247"/>
        <v>0</v>
      </c>
      <c r="DG58" s="310">
        <f t="shared" si="247"/>
        <v>0</v>
      </c>
      <c r="DH58" s="310">
        <f t="shared" si="247"/>
        <v>0</v>
      </c>
      <c r="DI58" s="310">
        <f t="shared" si="247"/>
        <v>0</v>
      </c>
      <c r="DJ58" s="310">
        <f t="shared" si="247"/>
        <v>0</v>
      </c>
      <c r="DK58" s="310">
        <f t="shared" si="247"/>
        <v>0</v>
      </c>
      <c r="DL58" s="310">
        <f t="shared" si="247"/>
        <v>0</v>
      </c>
      <c r="DM58" s="310">
        <f t="shared" ref="DM58:DN58" si="248">+DM53+DM56</f>
        <v>0</v>
      </c>
      <c r="DN58" s="310">
        <f t="shared" si="248"/>
        <v>450000000</v>
      </c>
      <c r="DO58" s="344"/>
      <c r="DP58" s="344"/>
      <c r="DQ58" s="344"/>
      <c r="DR58" s="344"/>
      <c r="DS58" s="344"/>
      <c r="DT58" s="344"/>
      <c r="DU58" s="344"/>
      <c r="DV58" s="344"/>
      <c r="DW58" s="344"/>
      <c r="DX58" s="344"/>
      <c r="DY58" s="344"/>
      <c r="DZ58" s="344"/>
      <c r="EA58" s="344"/>
      <c r="EB58" s="344"/>
      <c r="EC58" s="344"/>
      <c r="ED58" s="344"/>
      <c r="EE58" s="344"/>
      <c r="EF58" s="344"/>
      <c r="EG58" s="344"/>
      <c r="EH58" s="344"/>
      <c r="EI58" s="344"/>
      <c r="EJ58" s="344"/>
      <c r="EK58" s="344"/>
      <c r="EL58" s="344"/>
      <c r="EM58" s="314">
        <f>EK58+EI58+EG58+EE58+EC58+EA58+DY58+DW58+DU58+DS58+DQ58+DO58</f>
        <v>0</v>
      </c>
      <c r="EN58" s="315">
        <f t="shared" ref="EN58" si="249">+EN53+EN56</f>
        <v>0</v>
      </c>
      <c r="EO58" s="316">
        <f t="shared" ref="EO58" si="250">EO53+EO56</f>
        <v>0</v>
      </c>
      <c r="EP58" s="315">
        <f t="shared" ref="EP58:EQ58" si="251">+EP53+EP56</f>
        <v>0</v>
      </c>
      <c r="EQ58" s="315">
        <f t="shared" si="251"/>
        <v>0</v>
      </c>
      <c r="ER58" s="317">
        <f t="shared" si="229"/>
        <v>0</v>
      </c>
      <c r="ES58" s="317">
        <f t="shared" si="16"/>
        <v>1.1024600210531605</v>
      </c>
      <c r="ET58" s="318">
        <f t="shared" si="17"/>
        <v>0.93930766727507153</v>
      </c>
      <c r="EU58" s="318">
        <f t="shared" si="18"/>
        <v>0.89386464512861197</v>
      </c>
      <c r="EV58" s="319">
        <f t="shared" si="19"/>
        <v>0.32327340813201771</v>
      </c>
      <c r="EW58" s="434"/>
      <c r="EX58" s="425"/>
      <c r="EY58" s="425"/>
      <c r="EZ58" s="425"/>
      <c r="FA58" s="425"/>
      <c r="FB58" s="429"/>
    </row>
    <row r="59" spans="1:158" s="181" customFormat="1" ht="29.25" customHeight="1" x14ac:dyDescent="0.25">
      <c r="A59" s="461" t="s">
        <v>5</v>
      </c>
      <c r="B59" s="461"/>
      <c r="C59" s="461"/>
      <c r="D59" s="461"/>
      <c r="E59" s="461"/>
      <c r="F59" s="275" t="s">
        <v>44</v>
      </c>
      <c r="G59" s="373">
        <f>+G11+G18+G25+G32+G39+G46+G53</f>
        <v>47334306316</v>
      </c>
      <c r="H59" s="374">
        <f t="shared" ref="H59:BS59" si="252">+H11+H18+H25+H32+H39+H46+H53</f>
        <v>4935454528</v>
      </c>
      <c r="I59" s="374">
        <f t="shared" si="252"/>
        <v>0</v>
      </c>
      <c r="J59" s="374">
        <f t="shared" si="252"/>
        <v>0</v>
      </c>
      <c r="K59" s="374">
        <f t="shared" si="252"/>
        <v>0</v>
      </c>
      <c r="L59" s="374">
        <f t="shared" si="252"/>
        <v>0</v>
      </c>
      <c r="M59" s="374">
        <f t="shared" si="252"/>
        <v>0</v>
      </c>
      <c r="N59" s="374">
        <f t="shared" si="252"/>
        <v>0</v>
      </c>
      <c r="O59" s="374">
        <f t="shared" si="252"/>
        <v>0</v>
      </c>
      <c r="P59" s="374">
        <f t="shared" si="252"/>
        <v>0</v>
      </c>
      <c r="Q59" s="374">
        <f t="shared" si="252"/>
        <v>0</v>
      </c>
      <c r="R59" s="374">
        <f t="shared" si="252"/>
        <v>0</v>
      </c>
      <c r="S59" s="374">
        <f t="shared" si="252"/>
        <v>0</v>
      </c>
      <c r="T59" s="374">
        <f t="shared" si="252"/>
        <v>0</v>
      </c>
      <c r="U59" s="374">
        <f t="shared" si="252"/>
        <v>0</v>
      </c>
      <c r="V59" s="374">
        <f t="shared" si="252"/>
        <v>0</v>
      </c>
      <c r="W59" s="374">
        <f t="shared" si="252"/>
        <v>4935454528</v>
      </c>
      <c r="X59" s="374">
        <f t="shared" si="252"/>
        <v>4935454528</v>
      </c>
      <c r="Y59" s="374">
        <f t="shared" si="252"/>
        <v>4588924316</v>
      </c>
      <c r="Z59" s="374">
        <f t="shared" si="252"/>
        <v>4935454528</v>
      </c>
      <c r="AA59" s="374">
        <f t="shared" si="252"/>
        <v>4588924316</v>
      </c>
      <c r="AB59" s="374">
        <f>+AB11+AB18+AB25+AB32+AB39+AB46+AB53</f>
        <v>10067880000</v>
      </c>
      <c r="AC59" s="374">
        <f t="shared" si="252"/>
        <v>0</v>
      </c>
      <c r="AD59" s="374">
        <f t="shared" si="252"/>
        <v>0</v>
      </c>
      <c r="AE59" s="374">
        <f t="shared" si="252"/>
        <v>2665269000</v>
      </c>
      <c r="AF59" s="374">
        <f t="shared" si="252"/>
        <v>2665269000</v>
      </c>
      <c r="AG59" s="374">
        <f t="shared" si="252"/>
        <v>3685714150</v>
      </c>
      <c r="AH59" s="374">
        <f t="shared" si="252"/>
        <v>3685714150</v>
      </c>
      <c r="AI59" s="374">
        <f t="shared" si="252"/>
        <v>881440491</v>
      </c>
      <c r="AJ59" s="374">
        <f t="shared" si="252"/>
        <v>472650491</v>
      </c>
      <c r="AK59" s="374">
        <f t="shared" si="252"/>
        <v>38307944</v>
      </c>
      <c r="AL59" s="374">
        <f t="shared" si="252"/>
        <v>38307944</v>
      </c>
      <c r="AM59" s="374">
        <f t="shared" ref="AM59:AN59" si="253">+AM11+AM18+AM25+AM32+AM39+AM46+AM53</f>
        <v>602029987.66666663</v>
      </c>
      <c r="AN59" s="374">
        <f t="shared" si="253"/>
        <v>702989174</v>
      </c>
      <c r="AO59" s="374">
        <f t="shared" si="252"/>
        <v>0</v>
      </c>
      <c r="AP59" s="374">
        <f t="shared" si="252"/>
        <v>24890000</v>
      </c>
      <c r="AQ59" s="374">
        <f t="shared" si="252"/>
        <v>570434551.00000024</v>
      </c>
      <c r="AR59" s="374">
        <f t="shared" si="252"/>
        <v>36764000</v>
      </c>
      <c r="AS59" s="374">
        <f t="shared" si="252"/>
        <v>546934551.00000024</v>
      </c>
      <c r="AT59" s="374">
        <f t="shared" si="252"/>
        <v>81226335</v>
      </c>
      <c r="AU59" s="374">
        <f t="shared" si="252"/>
        <v>425505170.33333331</v>
      </c>
      <c r="AV59" s="374">
        <f t="shared" si="252"/>
        <v>0</v>
      </c>
      <c r="AW59" s="374">
        <f t="shared" si="252"/>
        <v>314372077</v>
      </c>
      <c r="AX59" s="374">
        <f t="shared" si="252"/>
        <v>0</v>
      </c>
      <c r="AY59" s="374">
        <f t="shared" si="252"/>
        <v>314372078</v>
      </c>
      <c r="AZ59" s="374">
        <f t="shared" si="252"/>
        <v>0</v>
      </c>
      <c r="BA59" s="374">
        <f>+BA11+BA18+BA25+BA32+BA39+BA46+BA53</f>
        <v>10044380000</v>
      </c>
      <c r="BB59" s="374">
        <f>+BB11+BB18+BB25+BB32+BB39+BB46+BB53</f>
        <v>8990130674.6666679</v>
      </c>
      <c r="BC59" s="374">
        <f>+BC11+BC18+BC25+BC32+BC39+BC46+BC53</f>
        <v>7707811094</v>
      </c>
      <c r="BD59" s="374">
        <f t="shared" si="252"/>
        <v>10044380000</v>
      </c>
      <c r="BE59" s="374">
        <f t="shared" si="252"/>
        <v>7707811094</v>
      </c>
      <c r="BF59" s="374">
        <f t="shared" si="252"/>
        <v>12676670000</v>
      </c>
      <c r="BG59" s="374">
        <f t="shared" si="252"/>
        <v>4546176000</v>
      </c>
      <c r="BH59" s="374">
        <f t="shared" si="252"/>
        <v>2373018000</v>
      </c>
      <c r="BI59" s="374">
        <f t="shared" si="252"/>
        <v>0</v>
      </c>
      <c r="BJ59" s="374">
        <f t="shared" si="252"/>
        <v>0</v>
      </c>
      <c r="BK59" s="374">
        <f t="shared" si="252"/>
        <v>0</v>
      </c>
      <c r="BL59" s="374">
        <f t="shared" si="252"/>
        <v>0</v>
      </c>
      <c r="BM59" s="374">
        <f t="shared" si="252"/>
        <v>0</v>
      </c>
      <c r="BN59" s="374">
        <f t="shared" si="252"/>
        <v>0</v>
      </c>
      <c r="BO59" s="374">
        <f t="shared" si="252"/>
        <v>0</v>
      </c>
      <c r="BP59" s="374">
        <f t="shared" si="252"/>
        <v>0</v>
      </c>
      <c r="BQ59" s="374">
        <f t="shared" si="252"/>
        <v>0</v>
      </c>
      <c r="BR59" s="374">
        <f t="shared" si="252"/>
        <v>0</v>
      </c>
      <c r="BS59" s="374">
        <f t="shared" si="252"/>
        <v>0</v>
      </c>
      <c r="BT59" s="374">
        <f t="shared" ref="BT59:DN59" si="254">+BT11+BT18+BT25+BT32+BT39+BT46+BT53</f>
        <v>0</v>
      </c>
      <c r="BU59" s="374">
        <f t="shared" si="254"/>
        <v>0</v>
      </c>
      <c r="BV59" s="374">
        <f t="shared" si="254"/>
        <v>0</v>
      </c>
      <c r="BW59" s="374">
        <f t="shared" si="254"/>
        <v>0</v>
      </c>
      <c r="BX59" s="374">
        <f t="shared" si="254"/>
        <v>0</v>
      </c>
      <c r="BY59" s="374">
        <f t="shared" si="254"/>
        <v>0</v>
      </c>
      <c r="BZ59" s="374">
        <f t="shared" si="254"/>
        <v>0</v>
      </c>
      <c r="CA59" s="374">
        <f t="shared" si="254"/>
        <v>0</v>
      </c>
      <c r="CB59" s="374">
        <f t="shared" si="254"/>
        <v>0</v>
      </c>
      <c r="CC59" s="374">
        <f t="shared" si="254"/>
        <v>0</v>
      </c>
      <c r="CD59" s="374">
        <f t="shared" si="254"/>
        <v>0</v>
      </c>
      <c r="CE59" s="374">
        <f t="shared" si="254"/>
        <v>0</v>
      </c>
      <c r="CF59" s="374">
        <f t="shared" si="254"/>
        <v>0</v>
      </c>
      <c r="CG59" s="374">
        <f t="shared" si="254"/>
        <v>2373018000</v>
      </c>
      <c r="CH59" s="374">
        <f t="shared" si="254"/>
        <v>0</v>
      </c>
      <c r="CI59" s="374">
        <f t="shared" si="254"/>
        <v>2373018000</v>
      </c>
      <c r="CJ59" s="374">
        <f t="shared" si="254"/>
        <v>12995889000</v>
      </c>
      <c r="CK59" s="374">
        <f t="shared" si="254"/>
        <v>0</v>
      </c>
      <c r="CL59" s="374">
        <f t="shared" si="254"/>
        <v>0</v>
      </c>
      <c r="CM59" s="374">
        <f t="shared" si="254"/>
        <v>0</v>
      </c>
      <c r="CN59" s="374">
        <f t="shared" si="254"/>
        <v>0</v>
      </c>
      <c r="CO59" s="374">
        <f t="shared" si="254"/>
        <v>0</v>
      </c>
      <c r="CP59" s="374">
        <f t="shared" si="254"/>
        <v>0</v>
      </c>
      <c r="CQ59" s="374">
        <f t="shared" si="254"/>
        <v>0</v>
      </c>
      <c r="CR59" s="374">
        <f t="shared" si="254"/>
        <v>0</v>
      </c>
      <c r="CS59" s="374">
        <f t="shared" si="254"/>
        <v>0</v>
      </c>
      <c r="CT59" s="374">
        <f t="shared" si="254"/>
        <v>0</v>
      </c>
      <c r="CU59" s="374">
        <f t="shared" si="254"/>
        <v>0</v>
      </c>
      <c r="CV59" s="374">
        <f t="shared" si="254"/>
        <v>0</v>
      </c>
      <c r="CW59" s="374">
        <f t="shared" si="254"/>
        <v>0</v>
      </c>
      <c r="CX59" s="374">
        <f t="shared" si="254"/>
        <v>0</v>
      </c>
      <c r="CY59" s="374">
        <f t="shared" si="254"/>
        <v>0</v>
      </c>
      <c r="CZ59" s="374">
        <f t="shared" si="254"/>
        <v>0</v>
      </c>
      <c r="DA59" s="374">
        <f t="shared" si="254"/>
        <v>0</v>
      </c>
      <c r="DB59" s="374">
        <f t="shared" si="254"/>
        <v>0</v>
      </c>
      <c r="DC59" s="374">
        <f t="shared" si="254"/>
        <v>0</v>
      </c>
      <c r="DD59" s="374">
        <f t="shared" si="254"/>
        <v>0</v>
      </c>
      <c r="DE59" s="374">
        <f t="shared" si="254"/>
        <v>0</v>
      </c>
      <c r="DF59" s="374">
        <f t="shared" si="254"/>
        <v>0</v>
      </c>
      <c r="DG59" s="374">
        <f t="shared" si="254"/>
        <v>0</v>
      </c>
      <c r="DH59" s="374">
        <f t="shared" si="254"/>
        <v>0</v>
      </c>
      <c r="DI59" s="374">
        <f t="shared" si="254"/>
        <v>0</v>
      </c>
      <c r="DJ59" s="374">
        <f t="shared" si="254"/>
        <v>0</v>
      </c>
      <c r="DK59" s="374">
        <f t="shared" si="254"/>
        <v>0</v>
      </c>
      <c r="DL59" s="374">
        <f t="shared" si="254"/>
        <v>0</v>
      </c>
      <c r="DM59" s="374">
        <f t="shared" si="254"/>
        <v>0</v>
      </c>
      <c r="DN59" s="375">
        <f t="shared" si="254"/>
        <v>7028443000</v>
      </c>
      <c r="DO59" s="376"/>
      <c r="DP59" s="374"/>
      <c r="DQ59" s="374"/>
      <c r="DR59" s="374"/>
      <c r="DS59" s="374"/>
      <c r="DT59" s="374"/>
      <c r="DU59" s="374"/>
      <c r="DV59" s="374"/>
      <c r="DW59" s="374"/>
      <c r="DX59" s="374"/>
      <c r="DY59" s="374"/>
      <c r="DZ59" s="374"/>
      <c r="EA59" s="374"/>
      <c r="EB59" s="374"/>
      <c r="EC59" s="374"/>
      <c r="ED59" s="374"/>
      <c r="EE59" s="374"/>
      <c r="EF59" s="374"/>
      <c r="EG59" s="374"/>
      <c r="EH59" s="374"/>
      <c r="EI59" s="374"/>
      <c r="EJ59" s="374"/>
      <c r="EK59" s="374"/>
      <c r="EL59" s="374"/>
      <c r="EM59" s="374"/>
      <c r="EN59" s="374"/>
      <c r="EO59" s="374"/>
      <c r="EP59" s="374"/>
      <c r="EQ59" s="374"/>
      <c r="ER59" s="422"/>
      <c r="ES59" s="422"/>
      <c r="ET59" s="422"/>
      <c r="EU59" s="422"/>
      <c r="EV59" s="422"/>
      <c r="EW59" s="423"/>
      <c r="EX59" s="423"/>
      <c r="EY59" s="423"/>
      <c r="EZ59" s="423"/>
      <c r="FA59" s="423"/>
    </row>
    <row r="60" spans="1:158" s="181" customFormat="1" ht="29.25" customHeight="1" x14ac:dyDescent="0.25">
      <c r="A60" s="461"/>
      <c r="B60" s="461"/>
      <c r="C60" s="461"/>
      <c r="D60" s="461"/>
      <c r="E60" s="461"/>
      <c r="F60" s="276" t="s">
        <v>46</v>
      </c>
      <c r="G60" s="377">
        <f>+G14+G21+G28+G35+G42+G49+G56</f>
        <v>1772101199</v>
      </c>
      <c r="H60" s="378">
        <f t="shared" ref="H60:BS60" si="255">+H14+H21+H28+H35+H42+H49+H56</f>
        <v>492875980</v>
      </c>
      <c r="I60" s="378">
        <f t="shared" si="255"/>
        <v>0</v>
      </c>
      <c r="J60" s="378">
        <f t="shared" si="255"/>
        <v>0</v>
      </c>
      <c r="K60" s="378">
        <f t="shared" si="255"/>
        <v>0</v>
      </c>
      <c r="L60" s="378">
        <f t="shared" si="255"/>
        <v>0</v>
      </c>
      <c r="M60" s="378">
        <f t="shared" si="255"/>
        <v>0</v>
      </c>
      <c r="N60" s="378">
        <f t="shared" si="255"/>
        <v>0</v>
      </c>
      <c r="O60" s="378">
        <f t="shared" si="255"/>
        <v>0</v>
      </c>
      <c r="P60" s="378">
        <f t="shared" si="255"/>
        <v>0</v>
      </c>
      <c r="Q60" s="378">
        <f t="shared" si="255"/>
        <v>0</v>
      </c>
      <c r="R60" s="378">
        <f t="shared" si="255"/>
        <v>0</v>
      </c>
      <c r="S60" s="378">
        <f t="shared" si="255"/>
        <v>0</v>
      </c>
      <c r="T60" s="378">
        <f t="shared" si="255"/>
        <v>0</v>
      </c>
      <c r="U60" s="378">
        <f t="shared" si="255"/>
        <v>0</v>
      </c>
      <c r="V60" s="378">
        <f t="shared" si="255"/>
        <v>0</v>
      </c>
      <c r="W60" s="378">
        <f t="shared" si="255"/>
        <v>492875980</v>
      </c>
      <c r="X60" s="378">
        <f t="shared" si="255"/>
        <v>492875980</v>
      </c>
      <c r="Y60" s="378">
        <f t="shared" si="255"/>
        <v>0</v>
      </c>
      <c r="Z60" s="378">
        <f t="shared" si="255"/>
        <v>492875980</v>
      </c>
      <c r="AA60" s="378">
        <f t="shared" si="255"/>
        <v>0</v>
      </c>
      <c r="AB60" s="378">
        <f>+AB14+AB21+AB28+AB35+AB42+AB49+AB56</f>
        <v>1796461446</v>
      </c>
      <c r="AC60" s="378">
        <f t="shared" si="255"/>
        <v>420302557</v>
      </c>
      <c r="AD60" s="378">
        <f t="shared" si="255"/>
        <v>420302557</v>
      </c>
      <c r="AE60" s="378">
        <f t="shared" si="255"/>
        <v>475612458</v>
      </c>
      <c r="AF60" s="378">
        <f t="shared" si="255"/>
        <v>475612458</v>
      </c>
      <c r="AG60" s="378">
        <f t="shared" si="255"/>
        <v>237108188</v>
      </c>
      <c r="AH60" s="378">
        <f t="shared" si="255"/>
        <v>237108188</v>
      </c>
      <c r="AI60" s="378">
        <f t="shared" si="255"/>
        <v>109178008</v>
      </c>
      <c r="AJ60" s="378">
        <f t="shared" si="255"/>
        <v>109178008</v>
      </c>
      <c r="AK60" s="378">
        <f t="shared" si="255"/>
        <v>142791967</v>
      </c>
      <c r="AL60" s="378">
        <f t="shared" si="255"/>
        <v>142791967</v>
      </c>
      <c r="AM60" s="378">
        <f t="shared" si="255"/>
        <v>135933686</v>
      </c>
      <c r="AN60" s="378">
        <f t="shared" ref="AN60" si="256">+AN14+AN21+AN28+AN35+AN42+AN49+AN56</f>
        <v>140092408</v>
      </c>
      <c r="AO60" s="378">
        <f t="shared" si="255"/>
        <v>63971107</v>
      </c>
      <c r="AP60" s="378">
        <f t="shared" si="255"/>
        <v>0</v>
      </c>
      <c r="AQ60" s="378">
        <f>+AQ14+AQ21+AQ28+AQ35+AQ42+AQ49+AQ56</f>
        <v>81086539</v>
      </c>
      <c r="AR60" s="378">
        <f t="shared" si="255"/>
        <v>112211559</v>
      </c>
      <c r="AS60" s="378">
        <f t="shared" si="255"/>
        <v>105781038</v>
      </c>
      <c r="AT60" s="378">
        <f t="shared" si="255"/>
        <v>1564253</v>
      </c>
      <c r="AU60" s="378">
        <f t="shared" si="255"/>
        <v>0</v>
      </c>
      <c r="AV60" s="378">
        <f t="shared" si="255"/>
        <v>0</v>
      </c>
      <c r="AW60" s="378">
        <f t="shared" si="255"/>
        <v>0</v>
      </c>
      <c r="AX60" s="378">
        <f t="shared" si="255"/>
        <v>0</v>
      </c>
      <c r="AY60" s="378">
        <f t="shared" si="255"/>
        <v>0</v>
      </c>
      <c r="AZ60" s="378">
        <f t="shared" si="255"/>
        <v>0</v>
      </c>
      <c r="BA60" s="378">
        <f t="shared" si="255"/>
        <v>1771765548</v>
      </c>
      <c r="BB60" s="378">
        <f t="shared" si="255"/>
        <v>1771765548</v>
      </c>
      <c r="BC60" s="378">
        <f>+BC14+BC21+BC28+BC35+BC42+BC49+BC56</f>
        <v>1638861398</v>
      </c>
      <c r="BD60" s="378">
        <f t="shared" si="255"/>
        <v>1771765548</v>
      </c>
      <c r="BE60" s="378">
        <f>+BE14+BE21+BE28+BE35+BE42+BE49+BE56</f>
        <v>1638861398</v>
      </c>
      <c r="BF60" s="378">
        <f t="shared" si="255"/>
        <v>335651</v>
      </c>
      <c r="BG60" s="378">
        <f t="shared" si="255"/>
        <v>0</v>
      </c>
      <c r="BH60" s="378">
        <f t="shared" si="255"/>
        <v>0</v>
      </c>
      <c r="BI60" s="378">
        <f t="shared" si="255"/>
        <v>0</v>
      </c>
      <c r="BJ60" s="378">
        <f t="shared" si="255"/>
        <v>0</v>
      </c>
      <c r="BK60" s="378">
        <f t="shared" si="255"/>
        <v>0</v>
      </c>
      <c r="BL60" s="378">
        <f t="shared" si="255"/>
        <v>0</v>
      </c>
      <c r="BM60" s="378">
        <f t="shared" si="255"/>
        <v>0</v>
      </c>
      <c r="BN60" s="378">
        <f t="shared" si="255"/>
        <v>0</v>
      </c>
      <c r="BO60" s="378">
        <f t="shared" si="255"/>
        <v>0</v>
      </c>
      <c r="BP60" s="378">
        <f t="shared" si="255"/>
        <v>0</v>
      </c>
      <c r="BQ60" s="378">
        <f t="shared" si="255"/>
        <v>0</v>
      </c>
      <c r="BR60" s="378">
        <f t="shared" si="255"/>
        <v>0</v>
      </c>
      <c r="BS60" s="378">
        <f t="shared" si="255"/>
        <v>0</v>
      </c>
      <c r="BT60" s="378">
        <f t="shared" ref="BT60:DN60" si="257">+BT14+BT21+BT28+BT35+BT42+BT49+BT56</f>
        <v>0</v>
      </c>
      <c r="BU60" s="378">
        <f t="shared" si="257"/>
        <v>0</v>
      </c>
      <c r="BV60" s="378">
        <f t="shared" si="257"/>
        <v>0</v>
      </c>
      <c r="BW60" s="378">
        <f t="shared" si="257"/>
        <v>0</v>
      </c>
      <c r="BX60" s="378">
        <f t="shared" si="257"/>
        <v>0</v>
      </c>
      <c r="BY60" s="378">
        <f t="shared" si="257"/>
        <v>0</v>
      </c>
      <c r="BZ60" s="378">
        <f t="shared" si="257"/>
        <v>0</v>
      </c>
      <c r="CA60" s="378">
        <f t="shared" si="257"/>
        <v>0</v>
      </c>
      <c r="CB60" s="378">
        <f t="shared" si="257"/>
        <v>0</v>
      </c>
      <c r="CC60" s="378">
        <f t="shared" si="257"/>
        <v>0</v>
      </c>
      <c r="CD60" s="378">
        <f t="shared" si="257"/>
        <v>0</v>
      </c>
      <c r="CE60" s="378">
        <f t="shared" si="257"/>
        <v>0</v>
      </c>
      <c r="CF60" s="378">
        <f t="shared" si="257"/>
        <v>0</v>
      </c>
      <c r="CG60" s="378">
        <f t="shared" si="257"/>
        <v>0</v>
      </c>
      <c r="CH60" s="378">
        <f t="shared" si="257"/>
        <v>0</v>
      </c>
      <c r="CI60" s="378">
        <f t="shared" si="257"/>
        <v>0</v>
      </c>
      <c r="CJ60" s="378">
        <f t="shared" si="257"/>
        <v>0</v>
      </c>
      <c r="CK60" s="378">
        <f t="shared" si="257"/>
        <v>0</v>
      </c>
      <c r="CL60" s="378">
        <f t="shared" si="257"/>
        <v>0</v>
      </c>
      <c r="CM60" s="378">
        <f t="shared" si="257"/>
        <v>0</v>
      </c>
      <c r="CN60" s="378">
        <f t="shared" si="257"/>
        <v>0</v>
      </c>
      <c r="CO60" s="378">
        <f t="shared" si="257"/>
        <v>0</v>
      </c>
      <c r="CP60" s="378">
        <f t="shared" si="257"/>
        <v>0</v>
      </c>
      <c r="CQ60" s="378">
        <f t="shared" si="257"/>
        <v>0</v>
      </c>
      <c r="CR60" s="378">
        <f t="shared" si="257"/>
        <v>0</v>
      </c>
      <c r="CS60" s="378">
        <f t="shared" si="257"/>
        <v>0</v>
      </c>
      <c r="CT60" s="378">
        <f t="shared" si="257"/>
        <v>0</v>
      </c>
      <c r="CU60" s="378">
        <f t="shared" si="257"/>
        <v>0</v>
      </c>
      <c r="CV60" s="378">
        <f t="shared" si="257"/>
        <v>0</v>
      </c>
      <c r="CW60" s="378">
        <f t="shared" si="257"/>
        <v>0</v>
      </c>
      <c r="CX60" s="378">
        <f t="shared" si="257"/>
        <v>0</v>
      </c>
      <c r="CY60" s="378">
        <f t="shared" si="257"/>
        <v>0</v>
      </c>
      <c r="CZ60" s="378">
        <f t="shared" si="257"/>
        <v>0</v>
      </c>
      <c r="DA60" s="378">
        <f t="shared" si="257"/>
        <v>0</v>
      </c>
      <c r="DB60" s="378">
        <f t="shared" si="257"/>
        <v>0</v>
      </c>
      <c r="DC60" s="378">
        <f t="shared" si="257"/>
        <v>0</v>
      </c>
      <c r="DD60" s="378">
        <f t="shared" si="257"/>
        <v>0</v>
      </c>
      <c r="DE60" s="378">
        <f t="shared" si="257"/>
        <v>0</v>
      </c>
      <c r="DF60" s="378">
        <f t="shared" si="257"/>
        <v>0</v>
      </c>
      <c r="DG60" s="378">
        <f t="shared" si="257"/>
        <v>0</v>
      </c>
      <c r="DH60" s="378">
        <f t="shared" si="257"/>
        <v>0</v>
      </c>
      <c r="DI60" s="378">
        <f t="shared" si="257"/>
        <v>0</v>
      </c>
      <c r="DJ60" s="378">
        <f t="shared" si="257"/>
        <v>0</v>
      </c>
      <c r="DK60" s="378">
        <f t="shared" si="257"/>
        <v>0</v>
      </c>
      <c r="DL60" s="378">
        <f t="shared" si="257"/>
        <v>0</v>
      </c>
      <c r="DM60" s="378">
        <f t="shared" si="257"/>
        <v>0</v>
      </c>
      <c r="DN60" s="379">
        <f t="shared" si="257"/>
        <v>0</v>
      </c>
      <c r="DO60" s="380"/>
      <c r="DP60" s="378"/>
      <c r="DQ60" s="378"/>
      <c r="DR60" s="378"/>
      <c r="DS60" s="378"/>
      <c r="DT60" s="378"/>
      <c r="DU60" s="378"/>
      <c r="DV60" s="378"/>
      <c r="DW60" s="378"/>
      <c r="DX60" s="378"/>
      <c r="DY60" s="378"/>
      <c r="DZ60" s="378"/>
      <c r="EA60" s="378"/>
      <c r="EB60" s="378"/>
      <c r="EC60" s="378"/>
      <c r="ED60" s="378"/>
      <c r="EE60" s="378"/>
      <c r="EF60" s="378"/>
      <c r="EG60" s="381"/>
      <c r="EH60" s="381"/>
      <c r="EI60" s="381"/>
      <c r="EJ60" s="381"/>
      <c r="EK60" s="381"/>
      <c r="EL60" s="381"/>
      <c r="EM60" s="378"/>
      <c r="EN60" s="382"/>
      <c r="EO60" s="382"/>
      <c r="EP60" s="382"/>
      <c r="EQ60" s="382"/>
      <c r="ER60" s="423"/>
      <c r="ES60" s="423"/>
      <c r="ET60" s="423"/>
      <c r="EU60" s="423"/>
      <c r="EV60" s="423"/>
      <c r="EW60" s="423"/>
      <c r="EX60" s="423"/>
      <c r="EY60" s="423"/>
      <c r="EZ60" s="423"/>
      <c r="FA60" s="423"/>
    </row>
    <row r="61" spans="1:158" s="181" customFormat="1" ht="29.25" customHeight="1" thickBot="1" x14ac:dyDescent="0.3">
      <c r="A61" s="461"/>
      <c r="B61" s="461"/>
      <c r="C61" s="461"/>
      <c r="D61" s="461"/>
      <c r="E61" s="461"/>
      <c r="F61" s="275" t="s">
        <v>47</v>
      </c>
      <c r="G61" s="383">
        <f>SUM(G59:G60)</f>
        <v>49106407515</v>
      </c>
      <c r="H61" s="384">
        <f t="shared" ref="H61:BS61" si="258">SUM(H59:H60)</f>
        <v>5428330508</v>
      </c>
      <c r="I61" s="384">
        <f t="shared" si="258"/>
        <v>0</v>
      </c>
      <c r="J61" s="384">
        <f t="shared" si="258"/>
        <v>0</v>
      </c>
      <c r="K61" s="384">
        <f t="shared" si="258"/>
        <v>0</v>
      </c>
      <c r="L61" s="384">
        <f t="shared" si="258"/>
        <v>0</v>
      </c>
      <c r="M61" s="384">
        <f t="shared" si="258"/>
        <v>0</v>
      </c>
      <c r="N61" s="384">
        <f t="shared" si="258"/>
        <v>0</v>
      </c>
      <c r="O61" s="384">
        <f t="shared" si="258"/>
        <v>0</v>
      </c>
      <c r="P61" s="384">
        <f t="shared" si="258"/>
        <v>0</v>
      </c>
      <c r="Q61" s="384">
        <f t="shared" si="258"/>
        <v>0</v>
      </c>
      <c r="R61" s="384">
        <f t="shared" si="258"/>
        <v>0</v>
      </c>
      <c r="S61" s="384">
        <f t="shared" si="258"/>
        <v>0</v>
      </c>
      <c r="T61" s="384">
        <f t="shared" si="258"/>
        <v>0</v>
      </c>
      <c r="U61" s="384">
        <f t="shared" si="258"/>
        <v>0</v>
      </c>
      <c r="V61" s="384">
        <f t="shared" si="258"/>
        <v>0</v>
      </c>
      <c r="W61" s="384">
        <f t="shared" si="258"/>
        <v>5428330508</v>
      </c>
      <c r="X61" s="384">
        <f t="shared" si="258"/>
        <v>5428330508</v>
      </c>
      <c r="Y61" s="384">
        <f t="shared" si="258"/>
        <v>4588924316</v>
      </c>
      <c r="Z61" s="384">
        <f t="shared" si="258"/>
        <v>5428330508</v>
      </c>
      <c r="AA61" s="384">
        <f t="shared" si="258"/>
        <v>4588924316</v>
      </c>
      <c r="AB61" s="384">
        <f t="shared" si="258"/>
        <v>11864341446</v>
      </c>
      <c r="AC61" s="384">
        <f t="shared" si="258"/>
        <v>420302557</v>
      </c>
      <c r="AD61" s="384">
        <f t="shared" si="258"/>
        <v>420302557</v>
      </c>
      <c r="AE61" s="384">
        <f t="shared" si="258"/>
        <v>3140881458</v>
      </c>
      <c r="AF61" s="384">
        <f t="shared" si="258"/>
        <v>3140881458</v>
      </c>
      <c r="AG61" s="384">
        <f t="shared" si="258"/>
        <v>3922822338</v>
      </c>
      <c r="AH61" s="384">
        <f t="shared" si="258"/>
        <v>3922822338</v>
      </c>
      <c r="AI61" s="384">
        <f t="shared" si="258"/>
        <v>990618499</v>
      </c>
      <c r="AJ61" s="384">
        <f t="shared" si="258"/>
        <v>581828499</v>
      </c>
      <c r="AK61" s="384">
        <f t="shared" si="258"/>
        <v>181099911</v>
      </c>
      <c r="AL61" s="384">
        <f t="shared" si="258"/>
        <v>181099911</v>
      </c>
      <c r="AM61" s="384">
        <f t="shared" si="258"/>
        <v>737963673.66666663</v>
      </c>
      <c r="AN61" s="384">
        <f t="shared" ref="AN61" si="259">SUM(AN59:AN60)</f>
        <v>843081582</v>
      </c>
      <c r="AO61" s="384">
        <f t="shared" si="258"/>
        <v>63971107</v>
      </c>
      <c r="AP61" s="384">
        <f t="shared" si="258"/>
        <v>24890000</v>
      </c>
      <c r="AQ61" s="384">
        <f t="shared" si="258"/>
        <v>651521090.00000024</v>
      </c>
      <c r="AR61" s="384">
        <f t="shared" si="258"/>
        <v>148975559</v>
      </c>
      <c r="AS61" s="384">
        <f t="shared" si="258"/>
        <v>652715589.00000024</v>
      </c>
      <c r="AT61" s="384">
        <f t="shared" si="258"/>
        <v>82790588</v>
      </c>
      <c r="AU61" s="384">
        <f t="shared" si="258"/>
        <v>425505170.33333331</v>
      </c>
      <c r="AV61" s="384">
        <f t="shared" si="258"/>
        <v>0</v>
      </c>
      <c r="AW61" s="384">
        <f t="shared" si="258"/>
        <v>314372077</v>
      </c>
      <c r="AX61" s="384">
        <f t="shared" si="258"/>
        <v>0</v>
      </c>
      <c r="AY61" s="384">
        <f t="shared" si="258"/>
        <v>314372078</v>
      </c>
      <c r="AZ61" s="384">
        <f t="shared" si="258"/>
        <v>0</v>
      </c>
      <c r="BA61" s="384">
        <f t="shared" si="258"/>
        <v>11816145548</v>
      </c>
      <c r="BB61" s="384">
        <f t="shared" si="258"/>
        <v>10761896222.666668</v>
      </c>
      <c r="BC61" s="384">
        <f t="shared" si="258"/>
        <v>9346672492</v>
      </c>
      <c r="BD61" s="384">
        <f t="shared" si="258"/>
        <v>11816145548</v>
      </c>
      <c r="BE61" s="384">
        <f t="shared" si="258"/>
        <v>9346672492</v>
      </c>
      <c r="BF61" s="384">
        <f t="shared" si="258"/>
        <v>12677005651</v>
      </c>
      <c r="BG61" s="384">
        <f t="shared" si="258"/>
        <v>4546176000</v>
      </c>
      <c r="BH61" s="384">
        <f t="shared" si="258"/>
        <v>2373018000</v>
      </c>
      <c r="BI61" s="384">
        <f t="shared" si="258"/>
        <v>0</v>
      </c>
      <c r="BJ61" s="384">
        <f t="shared" si="258"/>
        <v>0</v>
      </c>
      <c r="BK61" s="384">
        <f t="shared" si="258"/>
        <v>0</v>
      </c>
      <c r="BL61" s="384">
        <f t="shared" si="258"/>
        <v>0</v>
      </c>
      <c r="BM61" s="384">
        <f t="shared" si="258"/>
        <v>0</v>
      </c>
      <c r="BN61" s="384">
        <f t="shared" si="258"/>
        <v>0</v>
      </c>
      <c r="BO61" s="384">
        <f t="shared" si="258"/>
        <v>0</v>
      </c>
      <c r="BP61" s="384">
        <f t="shared" si="258"/>
        <v>0</v>
      </c>
      <c r="BQ61" s="384">
        <f t="shared" si="258"/>
        <v>0</v>
      </c>
      <c r="BR61" s="384">
        <f t="shared" si="258"/>
        <v>0</v>
      </c>
      <c r="BS61" s="384">
        <f t="shared" si="258"/>
        <v>0</v>
      </c>
      <c r="BT61" s="384">
        <f t="shared" ref="BT61:DN61" si="260">SUM(BT59:BT60)</f>
        <v>0</v>
      </c>
      <c r="BU61" s="384">
        <f t="shared" si="260"/>
        <v>0</v>
      </c>
      <c r="BV61" s="384">
        <f t="shared" si="260"/>
        <v>0</v>
      </c>
      <c r="BW61" s="384">
        <f t="shared" si="260"/>
        <v>0</v>
      </c>
      <c r="BX61" s="384">
        <f t="shared" si="260"/>
        <v>0</v>
      </c>
      <c r="BY61" s="384">
        <f t="shared" si="260"/>
        <v>0</v>
      </c>
      <c r="BZ61" s="384">
        <f t="shared" si="260"/>
        <v>0</v>
      </c>
      <c r="CA61" s="384">
        <f t="shared" si="260"/>
        <v>0</v>
      </c>
      <c r="CB61" s="384">
        <f t="shared" si="260"/>
        <v>0</v>
      </c>
      <c r="CC61" s="384">
        <f t="shared" si="260"/>
        <v>0</v>
      </c>
      <c r="CD61" s="384">
        <f t="shared" si="260"/>
        <v>0</v>
      </c>
      <c r="CE61" s="384">
        <f t="shared" si="260"/>
        <v>0</v>
      </c>
      <c r="CF61" s="384">
        <f t="shared" si="260"/>
        <v>0</v>
      </c>
      <c r="CG61" s="384">
        <f t="shared" si="260"/>
        <v>2373018000</v>
      </c>
      <c r="CH61" s="384">
        <f t="shared" si="260"/>
        <v>0</v>
      </c>
      <c r="CI61" s="384">
        <f t="shared" si="260"/>
        <v>2373018000</v>
      </c>
      <c r="CJ61" s="384">
        <f t="shared" si="260"/>
        <v>12995889000</v>
      </c>
      <c r="CK61" s="384">
        <f t="shared" si="260"/>
        <v>0</v>
      </c>
      <c r="CL61" s="384">
        <f t="shared" si="260"/>
        <v>0</v>
      </c>
      <c r="CM61" s="384">
        <f t="shared" si="260"/>
        <v>0</v>
      </c>
      <c r="CN61" s="384">
        <f t="shared" si="260"/>
        <v>0</v>
      </c>
      <c r="CO61" s="384">
        <f t="shared" si="260"/>
        <v>0</v>
      </c>
      <c r="CP61" s="384">
        <f t="shared" si="260"/>
        <v>0</v>
      </c>
      <c r="CQ61" s="384">
        <f t="shared" si="260"/>
        <v>0</v>
      </c>
      <c r="CR61" s="384">
        <f t="shared" si="260"/>
        <v>0</v>
      </c>
      <c r="CS61" s="384">
        <f t="shared" si="260"/>
        <v>0</v>
      </c>
      <c r="CT61" s="384">
        <f t="shared" si="260"/>
        <v>0</v>
      </c>
      <c r="CU61" s="384">
        <f t="shared" si="260"/>
        <v>0</v>
      </c>
      <c r="CV61" s="384">
        <f t="shared" si="260"/>
        <v>0</v>
      </c>
      <c r="CW61" s="384">
        <f t="shared" si="260"/>
        <v>0</v>
      </c>
      <c r="CX61" s="384">
        <f t="shared" si="260"/>
        <v>0</v>
      </c>
      <c r="CY61" s="384">
        <f t="shared" si="260"/>
        <v>0</v>
      </c>
      <c r="CZ61" s="384">
        <f t="shared" si="260"/>
        <v>0</v>
      </c>
      <c r="DA61" s="384">
        <f t="shared" si="260"/>
        <v>0</v>
      </c>
      <c r="DB61" s="384">
        <f t="shared" si="260"/>
        <v>0</v>
      </c>
      <c r="DC61" s="384">
        <f t="shared" si="260"/>
        <v>0</v>
      </c>
      <c r="DD61" s="384">
        <f t="shared" si="260"/>
        <v>0</v>
      </c>
      <c r="DE61" s="384">
        <f t="shared" si="260"/>
        <v>0</v>
      </c>
      <c r="DF61" s="384">
        <f t="shared" si="260"/>
        <v>0</v>
      </c>
      <c r="DG61" s="384">
        <f t="shared" si="260"/>
        <v>0</v>
      </c>
      <c r="DH61" s="384">
        <f t="shared" si="260"/>
        <v>0</v>
      </c>
      <c r="DI61" s="384">
        <f t="shared" si="260"/>
        <v>0</v>
      </c>
      <c r="DJ61" s="384">
        <f t="shared" si="260"/>
        <v>0</v>
      </c>
      <c r="DK61" s="384">
        <f t="shared" si="260"/>
        <v>0</v>
      </c>
      <c r="DL61" s="384">
        <f t="shared" si="260"/>
        <v>0</v>
      </c>
      <c r="DM61" s="384">
        <f t="shared" si="260"/>
        <v>0</v>
      </c>
      <c r="DN61" s="385">
        <f t="shared" si="260"/>
        <v>7028443000</v>
      </c>
      <c r="DO61" s="386"/>
      <c r="DP61" s="387"/>
      <c r="DQ61" s="387"/>
      <c r="DR61" s="387"/>
      <c r="DS61" s="387"/>
      <c r="DT61" s="387"/>
      <c r="DU61" s="387"/>
      <c r="DV61" s="387"/>
      <c r="DW61" s="387"/>
      <c r="DX61" s="387"/>
      <c r="DY61" s="387"/>
      <c r="DZ61" s="387"/>
      <c r="EA61" s="387"/>
      <c r="EB61" s="387"/>
      <c r="EC61" s="387"/>
      <c r="ED61" s="387"/>
      <c r="EE61" s="387"/>
      <c r="EF61" s="387"/>
      <c r="EG61" s="387"/>
      <c r="EH61" s="387"/>
      <c r="EI61" s="387"/>
      <c r="EJ61" s="387"/>
      <c r="EK61" s="387"/>
      <c r="EL61" s="387"/>
      <c r="EM61" s="388"/>
      <c r="EN61" s="388"/>
      <c r="EO61" s="388"/>
      <c r="EP61" s="388"/>
      <c r="EQ61" s="388"/>
      <c r="ER61" s="423"/>
      <c r="ES61" s="423"/>
      <c r="ET61" s="423"/>
      <c r="EU61" s="423"/>
      <c r="EV61" s="423"/>
      <c r="EW61" s="423"/>
      <c r="EX61" s="423"/>
      <c r="EY61" s="423"/>
      <c r="EZ61" s="423"/>
      <c r="FA61" s="423"/>
    </row>
    <row r="62" spans="1:158" ht="29.25" customHeight="1" x14ac:dyDescent="0.25">
      <c r="H62" s="51"/>
      <c r="I62" s="51"/>
      <c r="J62" s="51"/>
      <c r="K62" s="51"/>
      <c r="L62" s="51"/>
      <c r="M62" s="51"/>
      <c r="N62" s="51"/>
      <c r="O62" s="51"/>
      <c r="P62" s="51"/>
      <c r="Q62" s="51"/>
      <c r="R62" s="51"/>
      <c r="S62" s="51"/>
      <c r="T62" s="51"/>
      <c r="U62" s="51"/>
      <c r="V62" s="51"/>
      <c r="W62" s="51"/>
      <c r="X62" s="51"/>
      <c r="Y62" s="51"/>
      <c r="Z62" s="51"/>
      <c r="AA62" s="51"/>
      <c r="AB62" s="51"/>
      <c r="AC62" s="51"/>
      <c r="AD62" s="51"/>
      <c r="AE62" s="51"/>
      <c r="AF62" s="51"/>
      <c r="AG62" s="51"/>
      <c r="AH62" s="51"/>
      <c r="AI62" s="51"/>
      <c r="AJ62" s="51"/>
      <c r="AK62" s="51"/>
      <c r="AL62" s="51"/>
      <c r="AM62" s="51"/>
      <c r="AN62" s="51"/>
      <c r="AO62" s="51"/>
      <c r="AP62" s="51"/>
      <c r="AQ62" s="51"/>
      <c r="AR62" s="51"/>
      <c r="AS62" s="51"/>
      <c r="AT62" s="51"/>
      <c r="AU62" s="51"/>
      <c r="AV62" s="51"/>
      <c r="AW62" s="51"/>
      <c r="AX62" s="51"/>
      <c r="AY62" s="51"/>
      <c r="AZ62" s="51"/>
      <c r="BA62" s="51"/>
      <c r="BB62" s="51"/>
      <c r="BC62" s="51"/>
      <c r="BD62" s="51"/>
      <c r="BE62" s="51"/>
      <c r="BF62" s="51"/>
      <c r="BG62" s="51"/>
      <c r="BH62" s="51"/>
      <c r="BI62" s="51"/>
      <c r="BJ62" s="51"/>
      <c r="BK62" s="51"/>
      <c r="BL62" s="51"/>
      <c r="BM62" s="51"/>
      <c r="BN62" s="51"/>
      <c r="BO62" s="51"/>
      <c r="BP62" s="51"/>
      <c r="BQ62" s="51"/>
      <c r="BR62" s="51"/>
      <c r="BS62" s="51"/>
      <c r="BT62" s="51"/>
      <c r="BU62" s="51"/>
      <c r="BV62" s="51"/>
      <c r="BW62" s="51"/>
      <c r="BX62" s="51"/>
      <c r="BY62" s="51"/>
      <c r="BZ62" s="51"/>
      <c r="CA62" s="51"/>
      <c r="CB62" s="51"/>
      <c r="CC62" s="51"/>
      <c r="CD62" s="51"/>
      <c r="CE62" s="51"/>
      <c r="CF62" s="51"/>
      <c r="CG62" s="51"/>
      <c r="CH62" s="51"/>
      <c r="CI62" s="51"/>
      <c r="CJ62" s="51"/>
      <c r="CK62" s="51"/>
      <c r="CL62" s="51"/>
      <c r="CM62" s="51"/>
      <c r="CN62" s="51"/>
      <c r="CO62" s="51"/>
      <c r="CP62" s="51"/>
      <c r="CQ62" s="51"/>
      <c r="CR62" s="51"/>
      <c r="CS62" s="51"/>
      <c r="CT62" s="51"/>
      <c r="CU62" s="51"/>
      <c r="CV62" s="51"/>
      <c r="CW62" s="51"/>
      <c r="CX62" s="51"/>
      <c r="CY62" s="51"/>
      <c r="CZ62" s="51"/>
      <c r="DA62" s="51"/>
      <c r="DB62" s="51"/>
      <c r="DC62" s="51"/>
      <c r="DD62" s="51"/>
      <c r="DE62" s="51"/>
      <c r="DF62" s="51"/>
      <c r="DG62" s="51"/>
      <c r="DH62" s="51"/>
      <c r="DI62" s="51"/>
      <c r="DJ62" s="51"/>
      <c r="DK62" s="51"/>
      <c r="DL62" s="51"/>
      <c r="DM62" s="51"/>
      <c r="DN62" s="51"/>
      <c r="DO62" s="51"/>
      <c r="DP62" s="51"/>
      <c r="DQ62" s="51"/>
      <c r="DR62" s="51"/>
      <c r="DS62" s="51"/>
      <c r="DT62" s="51"/>
      <c r="DU62" s="51"/>
      <c r="DV62" s="51"/>
      <c r="DW62" s="51"/>
      <c r="DX62" s="51"/>
      <c r="DY62" s="51"/>
      <c r="DZ62" s="51"/>
      <c r="EA62" s="51"/>
      <c r="EB62" s="51"/>
      <c r="EC62" s="51"/>
      <c r="ED62" s="51"/>
      <c r="EE62" s="51"/>
      <c r="EF62" s="51"/>
    </row>
    <row r="63" spans="1:158" ht="29.25" customHeight="1" x14ac:dyDescent="0.25">
      <c r="F63" s="20" t="s">
        <v>35</v>
      </c>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83"/>
      <c r="BE63" s="1"/>
      <c r="BW63" s="1"/>
      <c r="BX63" s="1"/>
      <c r="BY63" s="1"/>
      <c r="BZ63" s="1"/>
      <c r="CA63" s="1"/>
      <c r="CB63" s="1"/>
      <c r="CC63" s="1"/>
      <c r="CD63" s="1"/>
      <c r="CE63" s="1"/>
      <c r="CF63" s="1"/>
      <c r="CG63" s="1"/>
      <c r="CH63" s="1"/>
      <c r="CI63" s="1"/>
    </row>
    <row r="64" spans="1:158" ht="29.25" customHeight="1" x14ac:dyDescent="0.25">
      <c r="F64" s="37" t="s">
        <v>36</v>
      </c>
      <c r="G64" s="407" t="s">
        <v>37</v>
      </c>
      <c r="H64" s="407"/>
      <c r="I64" s="407"/>
      <c r="J64" s="407"/>
      <c r="K64" s="407"/>
      <c r="L64" s="407"/>
      <c r="M64" s="407"/>
      <c r="N64" s="420" t="s">
        <v>38</v>
      </c>
      <c r="O64" s="420"/>
      <c r="P64" s="420"/>
      <c r="Q64" s="420"/>
      <c r="R64" s="420"/>
      <c r="S64" s="420"/>
      <c r="T64" s="420"/>
      <c r="U64" s="458"/>
      <c r="V64" s="458"/>
      <c r="W64" s="458"/>
      <c r="X64" s="458"/>
      <c r="Y64" s="458"/>
      <c r="Z64" s="458"/>
      <c r="AA64" s="458"/>
      <c r="AB64" s="458"/>
      <c r="AC64" s="458"/>
      <c r="AD64" s="458"/>
      <c r="AE64" s="458"/>
      <c r="AF64" s="458"/>
      <c r="AG64" s="458"/>
      <c r="AH64" s="458"/>
      <c r="AI64" s="458"/>
      <c r="AJ64" s="458"/>
      <c r="AK64" s="458"/>
      <c r="AL64" s="458"/>
      <c r="AM64" s="458"/>
      <c r="AN64" s="458"/>
      <c r="AO64" s="458"/>
      <c r="AP64" s="458"/>
      <c r="AQ64" s="458"/>
      <c r="AR64" s="458"/>
      <c r="AS64" s="458"/>
      <c r="AT64" s="458"/>
      <c r="AU64" s="458"/>
      <c r="AV64" s="458"/>
      <c r="AW64" s="458"/>
      <c r="AX64" s="458"/>
      <c r="AY64" s="458"/>
      <c r="AZ64" s="458"/>
      <c r="BA64" s="458"/>
      <c r="BB64" s="458"/>
      <c r="BC64" s="458"/>
      <c r="BD64" s="458"/>
      <c r="BE64" s="458"/>
    </row>
    <row r="65" spans="6:136" ht="29.25" customHeight="1" x14ac:dyDescent="0.25">
      <c r="F65" s="21">
        <v>13</v>
      </c>
      <c r="G65" s="416" t="s">
        <v>91</v>
      </c>
      <c r="H65" s="416"/>
      <c r="I65" s="416"/>
      <c r="J65" s="416"/>
      <c r="K65" s="416"/>
      <c r="L65" s="416"/>
      <c r="M65" s="416"/>
      <c r="N65" s="417" t="s">
        <v>82</v>
      </c>
      <c r="O65" s="417"/>
      <c r="P65" s="417"/>
      <c r="Q65" s="417"/>
      <c r="R65" s="417"/>
      <c r="S65" s="417"/>
      <c r="T65" s="417"/>
      <c r="U65" s="459"/>
      <c r="V65" s="460"/>
      <c r="W65" s="460"/>
      <c r="X65" s="460"/>
      <c r="Y65" s="460"/>
      <c r="Z65" s="460"/>
      <c r="AA65" s="460"/>
      <c r="AB65" s="460"/>
      <c r="AC65" s="460"/>
      <c r="AD65" s="460"/>
      <c r="AE65" s="460"/>
      <c r="AF65" s="460"/>
      <c r="AG65" s="460"/>
      <c r="AH65" s="460"/>
      <c r="AI65" s="460"/>
      <c r="AJ65" s="460"/>
      <c r="AK65" s="460"/>
      <c r="AL65" s="460"/>
      <c r="AM65" s="460"/>
      <c r="AN65" s="460"/>
      <c r="AO65" s="460"/>
      <c r="AP65" s="460"/>
      <c r="AQ65" s="460"/>
      <c r="AR65" s="460"/>
      <c r="AS65" s="460"/>
      <c r="AT65" s="460"/>
      <c r="AU65" s="460"/>
      <c r="AV65" s="460"/>
      <c r="AW65" s="460"/>
      <c r="AX65" s="460"/>
      <c r="AY65" s="460"/>
      <c r="AZ65" s="460"/>
      <c r="BA65" s="460"/>
      <c r="BB65" s="460"/>
      <c r="BC65" s="460"/>
      <c r="BD65" s="460"/>
      <c r="BE65" s="460"/>
    </row>
    <row r="66" spans="6:136" ht="29.25" customHeight="1" x14ac:dyDescent="0.25">
      <c r="F66" s="21">
        <v>14</v>
      </c>
      <c r="G66" s="416" t="s">
        <v>265</v>
      </c>
      <c r="H66" s="416"/>
      <c r="I66" s="416"/>
      <c r="J66" s="416"/>
      <c r="K66" s="416"/>
      <c r="L66" s="416"/>
      <c r="M66" s="416"/>
      <c r="N66" s="417"/>
      <c r="O66" s="417"/>
      <c r="P66" s="417"/>
      <c r="Q66" s="417"/>
      <c r="R66" s="417"/>
      <c r="S66" s="417"/>
      <c r="T66" s="417"/>
      <c r="BF66" s="72"/>
    </row>
    <row r="67" spans="6:136" ht="29.25" customHeight="1" x14ac:dyDescent="0.25">
      <c r="AH67" s="73"/>
      <c r="AI67" s="73"/>
      <c r="AJ67" s="73"/>
      <c r="AK67" s="73"/>
      <c r="AL67" s="73"/>
      <c r="AM67" s="73"/>
      <c r="AN67" s="73"/>
      <c r="AO67" s="73"/>
      <c r="AP67" s="73"/>
      <c r="AQ67" s="73"/>
      <c r="AR67" s="73"/>
      <c r="AS67" s="73"/>
      <c r="AT67" s="73"/>
      <c r="AU67" s="73"/>
      <c r="AV67" s="73"/>
      <c r="AW67" s="73"/>
      <c r="AX67" s="73"/>
      <c r="BF67" s="78"/>
      <c r="BG67" s="79"/>
      <c r="BH67" s="79"/>
      <c r="BI67" s="79"/>
      <c r="BJ67" s="79"/>
      <c r="BK67" s="79"/>
      <c r="BL67" s="79"/>
      <c r="BM67" s="79"/>
      <c r="BN67" s="79"/>
      <c r="BO67" s="79"/>
      <c r="BP67" s="79"/>
      <c r="BQ67" s="79"/>
      <c r="BR67" s="79"/>
      <c r="BS67" s="79"/>
      <c r="BT67" s="79"/>
      <c r="BU67" s="79"/>
      <c r="BV67" s="79"/>
      <c r="BW67" s="79"/>
      <c r="BX67" s="79"/>
      <c r="BY67" s="79"/>
      <c r="BZ67" s="79"/>
      <c r="CA67" s="79"/>
      <c r="CB67" s="79"/>
      <c r="CC67" s="79"/>
      <c r="CD67" s="79"/>
      <c r="CE67" s="79"/>
      <c r="CF67" s="79"/>
      <c r="CG67" s="79"/>
      <c r="CH67" s="79"/>
      <c r="CI67" s="79"/>
      <c r="CJ67" s="80"/>
      <c r="CK67" s="80"/>
      <c r="CL67" s="80"/>
      <c r="CM67" s="80"/>
      <c r="CN67" s="80"/>
      <c r="CO67" s="80"/>
      <c r="CP67" s="80"/>
      <c r="CQ67" s="80"/>
      <c r="CR67" s="80"/>
      <c r="CS67" s="80"/>
      <c r="CT67" s="80"/>
      <c r="CU67" s="80"/>
      <c r="CV67" s="80"/>
      <c r="CW67" s="80"/>
      <c r="CX67" s="80"/>
      <c r="CY67" s="80"/>
      <c r="CZ67" s="80"/>
      <c r="DA67" s="80"/>
      <c r="DB67" s="80"/>
      <c r="DC67" s="80"/>
      <c r="DD67" s="80"/>
      <c r="DE67" s="80"/>
      <c r="DF67" s="80"/>
      <c r="DG67" s="80"/>
      <c r="DH67" s="80"/>
      <c r="DI67" s="79"/>
      <c r="DJ67" s="79"/>
      <c r="DK67" s="79"/>
      <c r="DL67" s="79"/>
      <c r="DM67" s="79"/>
      <c r="DN67" s="79"/>
      <c r="DO67" s="79"/>
      <c r="DP67" s="79"/>
      <c r="DQ67" s="79"/>
      <c r="DR67" s="79"/>
      <c r="DS67" s="79"/>
      <c r="DT67" s="79"/>
      <c r="DU67" s="79"/>
      <c r="DV67" s="79"/>
      <c r="DW67" s="79"/>
      <c r="DX67" s="79"/>
      <c r="DY67" s="79"/>
      <c r="DZ67" s="79"/>
      <c r="EA67" s="79"/>
      <c r="EB67" s="79"/>
      <c r="EC67" s="79"/>
      <c r="ED67" s="79"/>
      <c r="EE67" s="79"/>
      <c r="EF67" s="79"/>
    </row>
    <row r="68" spans="6:136" ht="29.25" customHeight="1" x14ac:dyDescent="0.25">
      <c r="BF68" s="81"/>
      <c r="BG68" s="79"/>
      <c r="BH68" s="79"/>
      <c r="BI68" s="79"/>
      <c r="BJ68" s="79"/>
      <c r="BK68" s="79"/>
      <c r="BL68" s="79"/>
      <c r="BM68" s="79"/>
      <c r="BN68" s="79"/>
      <c r="BO68" s="79"/>
      <c r="BP68" s="79"/>
      <c r="BQ68" s="79"/>
      <c r="BR68" s="79"/>
      <c r="BS68" s="79"/>
      <c r="BT68" s="79"/>
      <c r="BU68" s="79"/>
      <c r="BV68" s="79"/>
      <c r="BW68" s="79"/>
      <c r="BX68" s="79"/>
      <c r="BY68" s="79"/>
      <c r="BZ68" s="79"/>
      <c r="CA68" s="79"/>
      <c r="CB68" s="79"/>
      <c r="CC68" s="79"/>
      <c r="CD68" s="79"/>
      <c r="CE68" s="79"/>
      <c r="CF68" s="79"/>
      <c r="CG68" s="79"/>
      <c r="CH68" s="79"/>
      <c r="CI68" s="79"/>
      <c r="CJ68" s="80"/>
      <c r="CK68" s="80"/>
      <c r="CL68" s="80"/>
      <c r="CM68" s="80"/>
      <c r="CN68" s="80"/>
      <c r="CO68" s="80"/>
      <c r="CP68" s="80"/>
      <c r="CQ68" s="80"/>
      <c r="CR68" s="80"/>
      <c r="CS68" s="80"/>
      <c r="CT68" s="80"/>
      <c r="CU68" s="80"/>
      <c r="CV68" s="80"/>
      <c r="CW68" s="80"/>
      <c r="CX68" s="80"/>
      <c r="CY68" s="80"/>
      <c r="CZ68" s="80"/>
      <c r="DA68" s="80"/>
      <c r="DB68" s="80"/>
      <c r="DC68" s="80"/>
      <c r="DD68" s="80"/>
      <c r="DE68" s="80"/>
      <c r="DF68" s="80"/>
      <c r="DG68" s="80"/>
      <c r="DH68" s="80"/>
      <c r="DI68" s="79"/>
      <c r="DJ68" s="79"/>
      <c r="DK68" s="79"/>
      <c r="DL68" s="79"/>
      <c r="DM68" s="79"/>
      <c r="DN68" s="79"/>
      <c r="DO68" s="79"/>
      <c r="DP68" s="79"/>
      <c r="DQ68" s="79"/>
      <c r="DR68" s="79"/>
      <c r="DS68" s="79"/>
      <c r="DT68" s="79"/>
      <c r="DU68" s="79"/>
      <c r="DV68" s="79"/>
      <c r="DW68" s="79"/>
      <c r="DX68" s="79"/>
      <c r="DY68" s="79"/>
      <c r="DZ68" s="79"/>
      <c r="EA68" s="79"/>
      <c r="EB68" s="79"/>
      <c r="EC68" s="79"/>
      <c r="ED68" s="79"/>
      <c r="EE68" s="79"/>
      <c r="EF68" s="79"/>
    </row>
    <row r="69" spans="6:136" ht="29.25" customHeight="1" x14ac:dyDescent="0.25">
      <c r="G69" s="54"/>
      <c r="BF69" s="79"/>
      <c r="BG69" s="79"/>
      <c r="BH69" s="79"/>
      <c r="BI69" s="79"/>
      <c r="BJ69" s="79"/>
      <c r="BK69" s="79"/>
      <c r="BL69" s="79"/>
      <c r="BM69" s="79"/>
      <c r="BN69" s="79"/>
      <c r="BO69" s="79"/>
      <c r="BP69" s="79"/>
      <c r="BQ69" s="79"/>
      <c r="BR69" s="79"/>
      <c r="BS69" s="79"/>
      <c r="BT69" s="79"/>
      <c r="BU69" s="79"/>
      <c r="BV69" s="79"/>
      <c r="BW69" s="79"/>
      <c r="BX69" s="79"/>
      <c r="BY69" s="79"/>
      <c r="BZ69" s="79"/>
      <c r="CA69" s="79"/>
      <c r="CB69" s="79"/>
      <c r="CC69" s="79"/>
      <c r="CD69" s="79"/>
      <c r="CE69" s="79"/>
      <c r="CF69" s="79"/>
      <c r="CG69" s="79"/>
      <c r="CH69" s="79"/>
      <c r="CI69" s="79"/>
      <c r="CJ69" s="80"/>
      <c r="CK69" s="80"/>
      <c r="CL69" s="80"/>
      <c r="CM69" s="80"/>
      <c r="CN69" s="80"/>
      <c r="CO69" s="80"/>
      <c r="CP69" s="80"/>
      <c r="CQ69" s="80"/>
      <c r="CR69" s="80"/>
      <c r="CS69" s="80"/>
      <c r="CT69" s="80"/>
      <c r="CU69" s="80"/>
      <c r="CV69" s="80"/>
      <c r="CW69" s="80"/>
      <c r="CX69" s="80"/>
      <c r="CY69" s="80"/>
      <c r="CZ69" s="80"/>
      <c r="DA69" s="80"/>
      <c r="DB69" s="80"/>
      <c r="DC69" s="80"/>
      <c r="DD69" s="80"/>
      <c r="DE69" s="80"/>
      <c r="DF69" s="80"/>
      <c r="DG69" s="80"/>
      <c r="DH69" s="80"/>
      <c r="DI69" s="79"/>
      <c r="DJ69" s="79"/>
      <c r="DK69" s="79"/>
      <c r="DL69" s="79"/>
      <c r="DM69" s="79"/>
      <c r="DN69" s="80"/>
      <c r="DO69" s="80"/>
      <c r="DP69" s="80"/>
      <c r="DQ69" s="80"/>
      <c r="DR69" s="80"/>
      <c r="DS69" s="80"/>
      <c r="DT69" s="80"/>
      <c r="DU69" s="80"/>
      <c r="DV69" s="80"/>
      <c r="DW69" s="80"/>
      <c r="DX69" s="80"/>
      <c r="DY69" s="80"/>
      <c r="DZ69" s="80"/>
      <c r="EA69" s="80"/>
      <c r="EB69" s="80"/>
      <c r="EC69" s="80"/>
      <c r="ED69" s="80"/>
      <c r="EE69" s="80"/>
      <c r="EF69" s="80"/>
    </row>
    <row r="70" spans="6:136" ht="29.25" customHeight="1" x14ac:dyDescent="0.25">
      <c r="BF70" s="82"/>
      <c r="BG70" s="79"/>
      <c r="BH70" s="79"/>
      <c r="BI70" s="79"/>
      <c r="BJ70" s="79"/>
      <c r="BK70" s="79"/>
      <c r="BL70" s="79"/>
      <c r="BM70" s="79"/>
      <c r="BN70" s="79"/>
      <c r="BO70" s="79"/>
      <c r="BP70" s="79"/>
      <c r="BQ70" s="79"/>
      <c r="BR70" s="79"/>
      <c r="BS70" s="79"/>
      <c r="BT70" s="79"/>
      <c r="BU70" s="79"/>
      <c r="BV70" s="79"/>
      <c r="BW70" s="79"/>
      <c r="BX70" s="79"/>
      <c r="BY70" s="79"/>
      <c r="BZ70" s="79"/>
      <c r="CA70" s="79"/>
      <c r="CB70" s="79"/>
      <c r="CC70" s="79"/>
      <c r="CD70" s="79"/>
      <c r="CE70" s="79"/>
      <c r="CF70" s="79"/>
      <c r="CG70" s="79"/>
      <c r="CH70" s="79"/>
      <c r="CI70" s="79"/>
      <c r="CJ70" s="80"/>
      <c r="CK70" s="80"/>
      <c r="CL70" s="80"/>
      <c r="CM70" s="80"/>
      <c r="CN70" s="80"/>
      <c r="CO70" s="80"/>
      <c r="CP70" s="80"/>
      <c r="CQ70" s="80"/>
      <c r="CR70" s="80"/>
      <c r="CS70" s="80"/>
      <c r="CT70" s="80"/>
      <c r="CU70" s="80"/>
      <c r="CV70" s="80"/>
      <c r="CW70" s="80"/>
      <c r="CX70" s="80"/>
      <c r="CY70" s="80"/>
      <c r="CZ70" s="80"/>
      <c r="DA70" s="80"/>
      <c r="DB70" s="80"/>
      <c r="DC70" s="80"/>
      <c r="DD70" s="80"/>
      <c r="DE70" s="80"/>
      <c r="DF70" s="80"/>
      <c r="DG70" s="80"/>
      <c r="DH70" s="80"/>
      <c r="DI70" s="79"/>
      <c r="DJ70" s="79"/>
      <c r="DK70" s="79"/>
      <c r="DL70" s="79"/>
      <c r="DM70" s="79"/>
      <c r="DN70" s="79"/>
      <c r="DO70" s="79"/>
      <c r="DP70" s="79"/>
      <c r="DQ70" s="79"/>
      <c r="DR70" s="79"/>
      <c r="DS70" s="79"/>
      <c r="DT70" s="79"/>
      <c r="DU70" s="79"/>
      <c r="DV70" s="79"/>
      <c r="DW70" s="79"/>
      <c r="DX70" s="79"/>
      <c r="DY70" s="79"/>
      <c r="DZ70" s="79"/>
      <c r="EA70" s="79"/>
      <c r="EB70" s="79"/>
      <c r="EC70" s="79"/>
      <c r="ED70" s="79"/>
      <c r="EE70" s="79"/>
      <c r="EF70" s="79"/>
    </row>
    <row r="71" spans="6:136" ht="29.25" customHeight="1" x14ac:dyDescent="0.25">
      <c r="G71" s="54"/>
      <c r="Q71" s="54"/>
    </row>
    <row r="72" spans="6:136" ht="29.25" customHeight="1" x14ac:dyDescent="0.25">
      <c r="BF72" s="73"/>
      <c r="CJ72" s="77"/>
      <c r="CK72" s="77"/>
      <c r="CL72" s="77"/>
      <c r="CM72" s="77"/>
      <c r="CN72" s="77"/>
      <c r="CO72" s="77"/>
      <c r="CP72" s="77"/>
      <c r="CQ72" s="77"/>
      <c r="CR72" s="77"/>
      <c r="CS72" s="77"/>
      <c r="CT72" s="77"/>
      <c r="CU72" s="77"/>
      <c r="CV72" s="77"/>
      <c r="CW72" s="77"/>
      <c r="CX72" s="77"/>
      <c r="CY72" s="77"/>
      <c r="CZ72" s="77"/>
      <c r="DA72" s="77"/>
      <c r="DB72" s="77"/>
      <c r="DC72" s="77"/>
      <c r="DD72" s="77"/>
      <c r="DE72" s="77"/>
      <c r="DF72" s="77"/>
      <c r="DG72" s="77"/>
      <c r="DH72" s="77"/>
    </row>
    <row r="74" spans="6:136" ht="29.25" customHeight="1" x14ac:dyDescent="0.25">
      <c r="BF74" s="73"/>
      <c r="CJ74" s="73"/>
      <c r="CK74" s="73"/>
      <c r="CL74" s="73"/>
      <c r="CM74" s="73"/>
      <c r="CN74" s="73"/>
      <c r="CO74" s="73"/>
      <c r="CP74" s="73"/>
      <c r="CQ74" s="73"/>
      <c r="CR74" s="73"/>
      <c r="CS74" s="73"/>
      <c r="CT74" s="73"/>
      <c r="CU74" s="73"/>
      <c r="CV74" s="73"/>
      <c r="CW74" s="73"/>
      <c r="CX74" s="73"/>
      <c r="CY74" s="73"/>
      <c r="CZ74" s="73"/>
      <c r="DA74" s="73"/>
      <c r="DB74" s="73"/>
      <c r="DC74" s="73"/>
      <c r="DD74" s="73"/>
      <c r="DE74" s="73"/>
      <c r="DF74" s="73"/>
      <c r="DG74" s="73"/>
      <c r="DH74" s="73"/>
    </row>
  </sheetData>
  <mergeCells count="113">
    <mergeCell ref="FB31:FB37"/>
    <mergeCell ref="A10:A16"/>
    <mergeCell ref="A17:A23"/>
    <mergeCell ref="A24:A30"/>
    <mergeCell ref="A31:A37"/>
    <mergeCell ref="EW31:EW37"/>
    <mergeCell ref="EX31:EX37"/>
    <mergeCell ref="EY31:EY37"/>
    <mergeCell ref="EZ31:EZ37"/>
    <mergeCell ref="FA31:FA37"/>
    <mergeCell ref="EX24:EX30"/>
    <mergeCell ref="EY24:EY30"/>
    <mergeCell ref="EZ24:EZ30"/>
    <mergeCell ref="FA24:FA30"/>
    <mergeCell ref="FB24:FB30"/>
    <mergeCell ref="B24:B30"/>
    <mergeCell ref="C24:C30"/>
    <mergeCell ref="D24:D30"/>
    <mergeCell ref="E24:E30"/>
    <mergeCell ref="EW24:EW30"/>
    <mergeCell ref="EX17:EX23"/>
    <mergeCell ref="FB10:FB16"/>
    <mergeCell ref="B10:B16"/>
    <mergeCell ref="C10:C16"/>
    <mergeCell ref="EY17:EY23"/>
    <mergeCell ref="EZ17:EZ23"/>
    <mergeCell ref="FA17:FA23"/>
    <mergeCell ref="FB17:FB23"/>
    <mergeCell ref="B17:B23"/>
    <mergeCell ref="C17:C23"/>
    <mergeCell ref="D17:D23"/>
    <mergeCell ref="E17:E23"/>
    <mergeCell ref="EW17:EW23"/>
    <mergeCell ref="G66:M66"/>
    <mergeCell ref="N66:T66"/>
    <mergeCell ref="G64:M64"/>
    <mergeCell ref="N64:T64"/>
    <mergeCell ref="U64:BE64"/>
    <mergeCell ref="G65:M65"/>
    <mergeCell ref="N65:T65"/>
    <mergeCell ref="U65:BE65"/>
    <mergeCell ref="A59:E61"/>
    <mergeCell ref="EW7:EW9"/>
    <mergeCell ref="A45:A51"/>
    <mergeCell ref="A52:A58"/>
    <mergeCell ref="B52:B58"/>
    <mergeCell ref="D31:D37"/>
    <mergeCell ref="E31:E37"/>
    <mergeCell ref="C45:C51"/>
    <mergeCell ref="B45:B51"/>
    <mergeCell ref="B31:B37"/>
    <mergeCell ref="C31:C37"/>
    <mergeCell ref="D38:D44"/>
    <mergeCell ref="A38:A44"/>
    <mergeCell ref="B38:B44"/>
    <mergeCell ref="C38:C44"/>
    <mergeCell ref="E38:E44"/>
    <mergeCell ref="D45:D51"/>
    <mergeCell ref="E45:E51"/>
    <mergeCell ref="C52:C58"/>
    <mergeCell ref="D52:D58"/>
    <mergeCell ref="E52:E58"/>
    <mergeCell ref="D10:D16"/>
    <mergeCell ref="E10:E16"/>
    <mergeCell ref="EW10:EW16"/>
    <mergeCell ref="FA10:FA16"/>
    <mergeCell ref="A1:E3"/>
    <mergeCell ref="A4:E4"/>
    <mergeCell ref="A5:E5"/>
    <mergeCell ref="A7:G8"/>
    <mergeCell ref="F1:FA1"/>
    <mergeCell ref="F2:FA2"/>
    <mergeCell ref="F3:EQ3"/>
    <mergeCell ref="H7:EQ7"/>
    <mergeCell ref="H8:AA8"/>
    <mergeCell ref="AB8:BE8"/>
    <mergeCell ref="BF8:CI8"/>
    <mergeCell ref="ER3:FA3"/>
    <mergeCell ref="F5:FA5"/>
    <mergeCell ref="F4:FA4"/>
    <mergeCell ref="FA7:FA9"/>
    <mergeCell ref="EY7:EY9"/>
    <mergeCell ref="EZ7:EZ9"/>
    <mergeCell ref="ER7:ER9"/>
    <mergeCell ref="EU7:EU9"/>
    <mergeCell ref="DN8:EQ8"/>
    <mergeCell ref="CJ8:DM8"/>
    <mergeCell ref="EX7:EX9"/>
    <mergeCell ref="EV7:EV9"/>
    <mergeCell ref="ER59:FA61"/>
    <mergeCell ref="ET7:ET9"/>
    <mergeCell ref="ES7:ES9"/>
    <mergeCell ref="FA52:FA58"/>
    <mergeCell ref="EZ38:EZ44"/>
    <mergeCell ref="EW45:EW51"/>
    <mergeCell ref="EX38:EX44"/>
    <mergeCell ref="FB52:FB58"/>
    <mergeCell ref="EW38:EW44"/>
    <mergeCell ref="FB38:FB44"/>
    <mergeCell ref="FB45:FB51"/>
    <mergeCell ref="EY38:EY44"/>
    <mergeCell ref="FA45:FA51"/>
    <mergeCell ref="FA38:FA44"/>
    <mergeCell ref="EZ52:EZ58"/>
    <mergeCell ref="EY45:EY51"/>
    <mergeCell ref="EY52:EY58"/>
    <mergeCell ref="EW52:EW58"/>
    <mergeCell ref="EX52:EX58"/>
    <mergeCell ref="EX45:EX51"/>
    <mergeCell ref="EZ45:EZ51"/>
    <mergeCell ref="EX10:EX16"/>
    <mergeCell ref="EY10:EY16"/>
    <mergeCell ref="EZ10:EZ16"/>
  </mergeCells>
  <printOptions horizontalCentered="1" verticalCentered="1"/>
  <pageMargins left="0" right="0" top="0.74803149606299213" bottom="0" header="0.31496062992125984" footer="0"/>
  <pageSetup scale="20"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E122"/>
  <sheetViews>
    <sheetView showGridLines="0" zoomScale="64" zoomScaleNormal="64" zoomScalePageLayoutView="75" workbookViewId="0">
      <selection activeCell="C75" sqref="C75"/>
    </sheetView>
  </sheetViews>
  <sheetFormatPr baseColWidth="10" defaultColWidth="10.7109375" defaultRowHeight="33.75" customHeight="1" x14ac:dyDescent="0.25"/>
  <cols>
    <col min="1" max="1" width="8.140625" style="7" customWidth="1"/>
    <col min="2" max="2" width="22.7109375" style="7" customWidth="1"/>
    <col min="3" max="3" width="42" style="15" customWidth="1"/>
    <col min="4" max="4" width="9.85546875" style="7" customWidth="1"/>
    <col min="5" max="5" width="9.5703125" style="7" customWidth="1"/>
    <col min="6" max="6" width="10.140625" style="7" customWidth="1"/>
    <col min="7" max="13" width="7.7109375" style="7" customWidth="1"/>
    <col min="14" max="18" width="7.7109375" style="8" customWidth="1"/>
    <col min="19" max="19" width="9" style="8" customWidth="1"/>
    <col min="20" max="20" width="12.85546875" style="8" customWidth="1"/>
    <col min="21" max="21" width="12.5703125" style="8" customWidth="1"/>
    <col min="22" max="22" width="57.140625" style="56" customWidth="1"/>
    <col min="23" max="24" width="10.7109375" style="11"/>
    <col min="25" max="16384" width="10.7109375" style="7"/>
  </cols>
  <sheetData>
    <row r="1" spans="1:31" s="142" customFormat="1" ht="30" customHeight="1" x14ac:dyDescent="0.25">
      <c r="A1" s="492"/>
      <c r="B1" s="493"/>
      <c r="C1" s="493"/>
      <c r="D1" s="498" t="s">
        <v>39</v>
      </c>
      <c r="E1" s="444"/>
      <c r="F1" s="444"/>
      <c r="G1" s="444"/>
      <c r="H1" s="444"/>
      <c r="I1" s="444"/>
      <c r="J1" s="444"/>
      <c r="K1" s="444"/>
      <c r="L1" s="444"/>
      <c r="M1" s="444"/>
      <c r="N1" s="444"/>
      <c r="O1" s="444"/>
      <c r="P1" s="444"/>
      <c r="Q1" s="444"/>
      <c r="R1" s="444"/>
      <c r="S1" s="444"/>
      <c r="T1" s="444"/>
      <c r="U1" s="444"/>
      <c r="V1" s="445"/>
    </row>
    <row r="2" spans="1:31" s="142" customFormat="1" ht="40.5" customHeight="1" x14ac:dyDescent="0.25">
      <c r="A2" s="494"/>
      <c r="B2" s="495"/>
      <c r="C2" s="495"/>
      <c r="D2" s="499" t="s">
        <v>262</v>
      </c>
      <c r="E2" s="500"/>
      <c r="F2" s="500"/>
      <c r="G2" s="500"/>
      <c r="H2" s="500"/>
      <c r="I2" s="500"/>
      <c r="J2" s="500"/>
      <c r="K2" s="500"/>
      <c r="L2" s="500"/>
      <c r="M2" s="500"/>
      <c r="N2" s="500"/>
      <c r="O2" s="500"/>
      <c r="P2" s="500"/>
      <c r="Q2" s="500"/>
      <c r="R2" s="500"/>
      <c r="S2" s="500"/>
      <c r="T2" s="500"/>
      <c r="U2" s="500"/>
      <c r="V2" s="501"/>
    </row>
    <row r="3" spans="1:31" s="142" customFormat="1" ht="27" thickBot="1" x14ac:dyDescent="0.3">
      <c r="A3" s="496"/>
      <c r="B3" s="497"/>
      <c r="C3" s="497"/>
      <c r="D3" s="520" t="s">
        <v>40</v>
      </c>
      <c r="E3" s="521"/>
      <c r="F3" s="521"/>
      <c r="G3" s="521"/>
      <c r="H3" s="521"/>
      <c r="I3" s="521"/>
      <c r="J3" s="521"/>
      <c r="K3" s="521"/>
      <c r="L3" s="521"/>
      <c r="M3" s="521"/>
      <c r="N3" s="521"/>
      <c r="O3" s="521"/>
      <c r="P3" s="521"/>
      <c r="Q3" s="521"/>
      <c r="R3" s="521"/>
      <c r="S3" s="521"/>
      <c r="T3" s="521"/>
      <c r="U3" s="522"/>
      <c r="V3" s="55" t="s">
        <v>242</v>
      </c>
    </row>
    <row r="4" spans="1:31" s="9" customFormat="1" ht="33" customHeight="1" thickBot="1" x14ac:dyDescent="0.3">
      <c r="A4" s="515" t="s">
        <v>0</v>
      </c>
      <c r="B4" s="516"/>
      <c r="C4" s="517"/>
      <c r="D4" s="509" t="s">
        <v>325</v>
      </c>
      <c r="E4" s="510"/>
      <c r="F4" s="510"/>
      <c r="G4" s="510"/>
      <c r="H4" s="510"/>
      <c r="I4" s="510"/>
      <c r="J4" s="510"/>
      <c r="K4" s="510"/>
      <c r="L4" s="510"/>
      <c r="M4" s="510"/>
      <c r="N4" s="510"/>
      <c r="O4" s="510"/>
      <c r="P4" s="510"/>
      <c r="Q4" s="510"/>
      <c r="R4" s="510"/>
      <c r="S4" s="510"/>
      <c r="T4" s="510"/>
      <c r="U4" s="510"/>
      <c r="V4" s="511"/>
    </row>
    <row r="5" spans="1:31" s="9" customFormat="1" ht="40.5" customHeight="1" thickBot="1" x14ac:dyDescent="0.3">
      <c r="A5" s="506" t="s">
        <v>2</v>
      </c>
      <c r="B5" s="507"/>
      <c r="C5" s="508"/>
      <c r="D5" s="512" t="s">
        <v>326</v>
      </c>
      <c r="E5" s="513"/>
      <c r="F5" s="513"/>
      <c r="G5" s="513"/>
      <c r="H5" s="513"/>
      <c r="I5" s="513"/>
      <c r="J5" s="513"/>
      <c r="K5" s="513"/>
      <c r="L5" s="513"/>
      <c r="M5" s="513"/>
      <c r="N5" s="513"/>
      <c r="O5" s="513"/>
      <c r="P5" s="513"/>
      <c r="Q5" s="513"/>
      <c r="R5" s="513"/>
      <c r="S5" s="513"/>
      <c r="T5" s="513"/>
      <c r="U5" s="513"/>
      <c r="V5" s="514"/>
    </row>
    <row r="6" spans="1:31" s="9" customFormat="1" ht="18" customHeight="1" thickBot="1" x14ac:dyDescent="0.3">
      <c r="A6" s="523"/>
      <c r="B6" s="524"/>
      <c r="C6" s="524"/>
      <c r="D6" s="524"/>
      <c r="E6" s="524"/>
      <c r="F6" s="524"/>
      <c r="G6" s="524"/>
      <c r="H6" s="524"/>
      <c r="I6" s="524"/>
      <c r="J6" s="524"/>
      <c r="K6" s="524"/>
      <c r="L6" s="524"/>
      <c r="M6" s="524"/>
      <c r="N6" s="524"/>
      <c r="O6" s="524"/>
      <c r="P6" s="524"/>
      <c r="Q6" s="524"/>
      <c r="R6" s="524"/>
      <c r="S6" s="524"/>
      <c r="T6" s="524"/>
      <c r="U6" s="524"/>
      <c r="V6" s="525"/>
    </row>
    <row r="7" spans="1:31" s="10" customFormat="1" ht="33.75" customHeight="1" x14ac:dyDescent="0.25">
      <c r="A7" s="518" t="s">
        <v>23</v>
      </c>
      <c r="B7" s="502" t="s">
        <v>24</v>
      </c>
      <c r="C7" s="502" t="s">
        <v>69</v>
      </c>
      <c r="D7" s="504" t="s">
        <v>25</v>
      </c>
      <c r="E7" s="504"/>
      <c r="F7" s="505" t="s">
        <v>201</v>
      </c>
      <c r="G7" s="505"/>
      <c r="H7" s="505"/>
      <c r="I7" s="505"/>
      <c r="J7" s="505"/>
      <c r="K7" s="505"/>
      <c r="L7" s="505"/>
      <c r="M7" s="505"/>
      <c r="N7" s="505"/>
      <c r="O7" s="505"/>
      <c r="P7" s="505"/>
      <c r="Q7" s="505"/>
      <c r="R7" s="505"/>
      <c r="S7" s="505"/>
      <c r="T7" s="502" t="s">
        <v>29</v>
      </c>
      <c r="U7" s="502"/>
      <c r="V7" s="526" t="s">
        <v>601</v>
      </c>
    </row>
    <row r="8" spans="1:31" s="10" customFormat="1" ht="62.25" customHeight="1" thickBot="1" x14ac:dyDescent="0.3">
      <c r="A8" s="519"/>
      <c r="B8" s="503"/>
      <c r="C8" s="503"/>
      <c r="D8" s="42" t="s">
        <v>26</v>
      </c>
      <c r="E8" s="42" t="s">
        <v>27</v>
      </c>
      <c r="F8" s="42" t="s">
        <v>28</v>
      </c>
      <c r="G8" s="43" t="s">
        <v>6</v>
      </c>
      <c r="H8" s="43" t="s">
        <v>7</v>
      </c>
      <c r="I8" s="43" t="s">
        <v>8</v>
      </c>
      <c r="J8" s="43" t="s">
        <v>9</v>
      </c>
      <c r="K8" s="43" t="s">
        <v>10</v>
      </c>
      <c r="L8" s="43" t="s">
        <v>11</v>
      </c>
      <c r="M8" s="43" t="s">
        <v>12</v>
      </c>
      <c r="N8" s="43" t="s">
        <v>13</v>
      </c>
      <c r="O8" s="43" t="s">
        <v>14</v>
      </c>
      <c r="P8" s="43" t="s">
        <v>15</v>
      </c>
      <c r="Q8" s="43" t="s">
        <v>16</v>
      </c>
      <c r="R8" s="43" t="s">
        <v>17</v>
      </c>
      <c r="S8" s="139" t="s">
        <v>18</v>
      </c>
      <c r="T8" s="139" t="s">
        <v>30</v>
      </c>
      <c r="U8" s="139" t="s">
        <v>31</v>
      </c>
      <c r="V8" s="527"/>
    </row>
    <row r="9" spans="1:31" ht="33.75" customHeight="1" x14ac:dyDescent="0.25">
      <c r="A9" s="473" t="s">
        <v>312</v>
      </c>
      <c r="B9" s="481" t="s">
        <v>327</v>
      </c>
      <c r="C9" s="490" t="s">
        <v>328</v>
      </c>
      <c r="D9" s="472" t="s">
        <v>329</v>
      </c>
      <c r="E9" s="472" t="s">
        <v>329</v>
      </c>
      <c r="F9" s="143" t="s">
        <v>19</v>
      </c>
      <c r="G9" s="389">
        <v>8.3299999999999999E-2</v>
      </c>
      <c r="H9" s="389">
        <v>8.3299999999999999E-2</v>
      </c>
      <c r="I9" s="389">
        <v>8.3299999999999999E-2</v>
      </c>
      <c r="J9" s="389">
        <v>8.3299999999999999E-2</v>
      </c>
      <c r="K9" s="389">
        <v>8.3299999999999999E-2</v>
      </c>
      <c r="L9" s="389">
        <v>8.3299999999999999E-2</v>
      </c>
      <c r="M9" s="389">
        <v>8.3299999999999999E-2</v>
      </c>
      <c r="N9" s="389">
        <v>8.3299999999999999E-2</v>
      </c>
      <c r="O9" s="389">
        <v>8.3299999999999999E-2</v>
      </c>
      <c r="P9" s="389">
        <v>8.3299999999999999E-2</v>
      </c>
      <c r="Q9" s="389">
        <v>8.3299999999999999E-2</v>
      </c>
      <c r="R9" s="389">
        <v>8.3699999999999997E-2</v>
      </c>
      <c r="S9" s="144">
        <f>SUM(G9:R9)</f>
        <v>1</v>
      </c>
      <c r="T9" s="476">
        <v>0.15</v>
      </c>
      <c r="U9" s="468">
        <v>5.2499999999999998E-2</v>
      </c>
      <c r="V9" s="489" t="s">
        <v>582</v>
      </c>
    </row>
    <row r="10" spans="1:31" ht="33.75" customHeight="1" x14ac:dyDescent="0.25">
      <c r="A10" s="473"/>
      <c r="B10" s="481"/>
      <c r="C10" s="490"/>
      <c r="D10" s="472"/>
      <c r="E10" s="472"/>
      <c r="F10" s="145" t="s">
        <v>20</v>
      </c>
      <c r="G10" s="187">
        <v>7.4999999999999997E-2</v>
      </c>
      <c r="H10" s="187">
        <v>7.0000000000000007E-2</v>
      </c>
      <c r="I10" s="187">
        <v>8.3299999999999999E-2</v>
      </c>
      <c r="J10" s="187">
        <v>8.3299999999999999E-2</v>
      </c>
      <c r="K10" s="187">
        <v>0.05</v>
      </c>
      <c r="L10" s="187">
        <v>5.3999999999999999E-2</v>
      </c>
      <c r="M10" s="187">
        <v>7.0800000000000002E-2</v>
      </c>
      <c r="N10" s="187">
        <v>7.0800000000000002E-2</v>
      </c>
      <c r="O10" s="187">
        <v>7.9100000000000004E-2</v>
      </c>
      <c r="P10" s="187"/>
      <c r="Q10" s="187"/>
      <c r="R10" s="187"/>
      <c r="S10" s="146">
        <f>SUM(G10:R10)</f>
        <v>0.63629999999999987</v>
      </c>
      <c r="T10" s="476"/>
      <c r="U10" s="468"/>
      <c r="V10" s="489"/>
    </row>
    <row r="11" spans="1:31" ht="33.75" customHeight="1" x14ac:dyDescent="0.25">
      <c r="A11" s="473"/>
      <c r="B11" s="481"/>
      <c r="C11" s="490" t="s">
        <v>330</v>
      </c>
      <c r="D11" s="472" t="s">
        <v>329</v>
      </c>
      <c r="E11" s="472" t="s">
        <v>329</v>
      </c>
      <c r="F11" s="147" t="s">
        <v>19</v>
      </c>
      <c r="G11" s="389">
        <v>8.3299999999999999E-2</v>
      </c>
      <c r="H11" s="389">
        <v>8.3299999999999999E-2</v>
      </c>
      <c r="I11" s="389">
        <v>8.3299999999999999E-2</v>
      </c>
      <c r="J11" s="389">
        <v>8.3299999999999999E-2</v>
      </c>
      <c r="K11" s="389">
        <v>8.3299999999999999E-2</v>
      </c>
      <c r="L11" s="389">
        <v>8.3299999999999999E-2</v>
      </c>
      <c r="M11" s="389">
        <v>8.3299999999999999E-2</v>
      </c>
      <c r="N11" s="389">
        <v>8.3299999999999999E-2</v>
      </c>
      <c r="O11" s="389">
        <v>8.3299999999999999E-2</v>
      </c>
      <c r="P11" s="389">
        <v>8.3299999999999999E-2</v>
      </c>
      <c r="Q11" s="389">
        <v>8.3299999999999999E-2</v>
      </c>
      <c r="R11" s="389">
        <v>8.3699999999999997E-2</v>
      </c>
      <c r="S11" s="144">
        <f t="shared" ref="S11:S68" si="0">SUM(G11:R11)</f>
        <v>1</v>
      </c>
      <c r="T11" s="476"/>
      <c r="U11" s="468">
        <v>0.03</v>
      </c>
      <c r="V11" s="475" t="s">
        <v>583</v>
      </c>
    </row>
    <row r="12" spans="1:31" ht="33.75" customHeight="1" x14ac:dyDescent="0.25">
      <c r="A12" s="473"/>
      <c r="B12" s="481"/>
      <c r="C12" s="490"/>
      <c r="D12" s="472"/>
      <c r="E12" s="472"/>
      <c r="F12" s="148" t="s">
        <v>20</v>
      </c>
      <c r="G12" s="187">
        <v>8.3299999999999999E-2</v>
      </c>
      <c r="H12" s="187">
        <v>0.05</v>
      </c>
      <c r="I12" s="187">
        <v>8.3299999999999999E-2</v>
      </c>
      <c r="J12" s="187">
        <v>8.3299999999999999E-2</v>
      </c>
      <c r="K12" s="187">
        <v>8.3299999999999999E-2</v>
      </c>
      <c r="L12" s="187">
        <v>8.3299999999999999E-2</v>
      </c>
      <c r="M12" s="187">
        <v>8.3299999999999999E-2</v>
      </c>
      <c r="N12" s="187">
        <v>8.3299999999999999E-2</v>
      </c>
      <c r="O12" s="187">
        <v>8.3299999999999999E-2</v>
      </c>
      <c r="P12" s="187"/>
      <c r="Q12" s="187"/>
      <c r="R12" s="187"/>
      <c r="S12" s="146">
        <f t="shared" si="0"/>
        <v>0.71640000000000004</v>
      </c>
      <c r="T12" s="476"/>
      <c r="U12" s="468"/>
      <c r="V12" s="475"/>
      <c r="Y12" s="11"/>
      <c r="Z12" s="11"/>
      <c r="AA12" s="11"/>
      <c r="AB12" s="11"/>
      <c r="AC12" s="11"/>
      <c r="AD12" s="11"/>
      <c r="AE12" s="11"/>
    </row>
    <row r="13" spans="1:31" ht="33.75" customHeight="1" x14ac:dyDescent="0.25">
      <c r="A13" s="473"/>
      <c r="B13" s="481"/>
      <c r="C13" s="490" t="s">
        <v>331</v>
      </c>
      <c r="D13" s="472" t="s">
        <v>329</v>
      </c>
      <c r="E13" s="472" t="s">
        <v>329</v>
      </c>
      <c r="F13" s="147" t="s">
        <v>19</v>
      </c>
      <c r="G13" s="389">
        <v>5.8799999999999998E-2</v>
      </c>
      <c r="H13" s="389">
        <v>5.8799999999999998E-2</v>
      </c>
      <c r="I13" s="389">
        <v>0.1176</v>
      </c>
      <c r="J13" s="389">
        <v>5.8799999999999998E-2</v>
      </c>
      <c r="K13" s="389">
        <v>5.8799999999999998E-2</v>
      </c>
      <c r="L13" s="389">
        <v>0.1764</v>
      </c>
      <c r="M13" s="389">
        <v>5.8799999999999998E-2</v>
      </c>
      <c r="N13" s="389">
        <v>5.8799999999999998E-2</v>
      </c>
      <c r="O13" s="389">
        <v>0.1176</v>
      </c>
      <c r="P13" s="389">
        <v>5.8799999999999998E-2</v>
      </c>
      <c r="Q13" s="389">
        <v>5.8799999999999998E-2</v>
      </c>
      <c r="R13" s="389">
        <v>0.11799999999999999</v>
      </c>
      <c r="S13" s="144">
        <f t="shared" si="0"/>
        <v>0.99999999999999989</v>
      </c>
      <c r="T13" s="476"/>
      <c r="U13" s="468">
        <v>0.03</v>
      </c>
      <c r="V13" s="486" t="s">
        <v>584</v>
      </c>
      <c r="Y13" s="11"/>
      <c r="Z13" s="11"/>
      <c r="AA13" s="11"/>
      <c r="AB13" s="11"/>
      <c r="AC13" s="11"/>
      <c r="AD13" s="11"/>
      <c r="AE13" s="11"/>
    </row>
    <row r="14" spans="1:31" ht="33.75" customHeight="1" x14ac:dyDescent="0.25">
      <c r="A14" s="473"/>
      <c r="B14" s="481"/>
      <c r="C14" s="490"/>
      <c r="D14" s="472"/>
      <c r="E14" s="472"/>
      <c r="F14" s="148" t="s">
        <v>20</v>
      </c>
      <c r="G14" s="187">
        <v>2.9000000000000001E-2</v>
      </c>
      <c r="H14" s="187">
        <v>2.9000000000000001E-2</v>
      </c>
      <c r="I14" s="187">
        <v>0.12939999999999999</v>
      </c>
      <c r="J14" s="187">
        <v>4.7E-2</v>
      </c>
      <c r="K14" s="187">
        <v>5.8799999999999998E-2</v>
      </c>
      <c r="L14" s="187">
        <v>0.1764</v>
      </c>
      <c r="M14" s="187">
        <v>5.8799999999999998E-2</v>
      </c>
      <c r="N14" s="187">
        <v>5.8799999999999998E-2</v>
      </c>
      <c r="O14" s="187">
        <v>0.1176</v>
      </c>
      <c r="P14" s="187"/>
      <c r="Q14" s="187"/>
      <c r="R14" s="187"/>
      <c r="S14" s="146">
        <f t="shared" si="0"/>
        <v>0.70479999999999998</v>
      </c>
      <c r="T14" s="476"/>
      <c r="U14" s="468"/>
      <c r="V14" s="486"/>
      <c r="Y14" s="11"/>
      <c r="Z14" s="11"/>
      <c r="AA14" s="11"/>
      <c r="AB14" s="11"/>
      <c r="AC14" s="11"/>
      <c r="AD14" s="11"/>
      <c r="AE14" s="11"/>
    </row>
    <row r="15" spans="1:31" ht="33.75" customHeight="1" x14ac:dyDescent="0.25">
      <c r="A15" s="473"/>
      <c r="B15" s="481"/>
      <c r="C15" s="490" t="s">
        <v>332</v>
      </c>
      <c r="D15" s="472" t="s">
        <v>329</v>
      </c>
      <c r="E15" s="472" t="s">
        <v>329</v>
      </c>
      <c r="F15" s="147" t="s">
        <v>19</v>
      </c>
      <c r="G15" s="389">
        <v>0</v>
      </c>
      <c r="H15" s="389">
        <v>0</v>
      </c>
      <c r="I15" s="389">
        <v>0.25</v>
      </c>
      <c r="J15" s="389">
        <v>0</v>
      </c>
      <c r="K15" s="389">
        <v>0</v>
      </c>
      <c r="L15" s="389">
        <v>0.25</v>
      </c>
      <c r="M15" s="389">
        <v>0</v>
      </c>
      <c r="N15" s="389">
        <v>0</v>
      </c>
      <c r="O15" s="389">
        <v>0.25</v>
      </c>
      <c r="P15" s="389">
        <v>0</v>
      </c>
      <c r="Q15" s="389">
        <v>0</v>
      </c>
      <c r="R15" s="389">
        <v>0.25</v>
      </c>
      <c r="S15" s="144">
        <f t="shared" si="0"/>
        <v>1</v>
      </c>
      <c r="T15" s="476"/>
      <c r="U15" s="468">
        <v>2.2499999999999999E-2</v>
      </c>
      <c r="V15" s="486" t="s">
        <v>585</v>
      </c>
    </row>
    <row r="16" spans="1:31" ht="33.75" customHeight="1" x14ac:dyDescent="0.25">
      <c r="A16" s="473"/>
      <c r="B16" s="481"/>
      <c r="C16" s="490"/>
      <c r="D16" s="472"/>
      <c r="E16" s="472"/>
      <c r="F16" s="148" t="s">
        <v>20</v>
      </c>
      <c r="G16" s="187">
        <v>0</v>
      </c>
      <c r="H16" s="187">
        <v>0</v>
      </c>
      <c r="I16" s="187">
        <v>0.25</v>
      </c>
      <c r="J16" s="187">
        <v>0</v>
      </c>
      <c r="K16" s="187">
        <v>0</v>
      </c>
      <c r="L16" s="187">
        <v>0.25</v>
      </c>
      <c r="M16" s="187">
        <v>0</v>
      </c>
      <c r="N16" s="187">
        <v>0</v>
      </c>
      <c r="O16" s="187">
        <v>0.25</v>
      </c>
      <c r="P16" s="187"/>
      <c r="Q16" s="187"/>
      <c r="R16" s="187"/>
      <c r="S16" s="149">
        <f t="shared" si="0"/>
        <v>0.75</v>
      </c>
      <c r="T16" s="476"/>
      <c r="U16" s="468"/>
      <c r="V16" s="486"/>
    </row>
    <row r="17" spans="1:22" ht="33.75" customHeight="1" x14ac:dyDescent="0.25">
      <c r="A17" s="473"/>
      <c r="B17" s="481"/>
      <c r="C17" s="486" t="s">
        <v>333</v>
      </c>
      <c r="D17" s="472" t="s">
        <v>329</v>
      </c>
      <c r="E17" s="472" t="s">
        <v>329</v>
      </c>
      <c r="F17" s="147" t="s">
        <v>19</v>
      </c>
      <c r="G17" s="389">
        <v>0</v>
      </c>
      <c r="H17" s="389">
        <v>0</v>
      </c>
      <c r="I17" s="389">
        <v>0.25</v>
      </c>
      <c r="J17" s="389">
        <v>0</v>
      </c>
      <c r="K17" s="389">
        <v>0</v>
      </c>
      <c r="L17" s="389">
        <v>0.25</v>
      </c>
      <c r="M17" s="389">
        <v>0</v>
      </c>
      <c r="N17" s="389">
        <v>0</v>
      </c>
      <c r="O17" s="389">
        <v>0.25</v>
      </c>
      <c r="P17" s="389">
        <v>0</v>
      </c>
      <c r="Q17" s="389">
        <v>0</v>
      </c>
      <c r="R17" s="389">
        <v>0.25</v>
      </c>
      <c r="S17" s="144">
        <f t="shared" si="0"/>
        <v>1</v>
      </c>
      <c r="T17" s="476"/>
      <c r="U17" s="468">
        <v>7.4999999999999997E-3</v>
      </c>
      <c r="V17" s="486" t="s">
        <v>592</v>
      </c>
    </row>
    <row r="18" spans="1:22" ht="33.75" customHeight="1" x14ac:dyDescent="0.25">
      <c r="A18" s="473"/>
      <c r="B18" s="481"/>
      <c r="C18" s="486"/>
      <c r="D18" s="472"/>
      <c r="E18" s="472"/>
      <c r="F18" s="148" t="s">
        <v>20</v>
      </c>
      <c r="G18" s="187">
        <v>0</v>
      </c>
      <c r="H18" s="187">
        <v>0</v>
      </c>
      <c r="I18" s="187">
        <v>0.25</v>
      </c>
      <c r="J18" s="187">
        <v>0</v>
      </c>
      <c r="K18" s="187">
        <v>0</v>
      </c>
      <c r="L18" s="187">
        <v>0.25</v>
      </c>
      <c r="M18" s="187">
        <v>0</v>
      </c>
      <c r="N18" s="187">
        <v>0</v>
      </c>
      <c r="O18" s="187">
        <v>0.25</v>
      </c>
      <c r="P18" s="187"/>
      <c r="Q18" s="187"/>
      <c r="R18" s="187"/>
      <c r="S18" s="149">
        <f t="shared" si="0"/>
        <v>0.75</v>
      </c>
      <c r="T18" s="476"/>
      <c r="U18" s="468"/>
      <c r="V18" s="486"/>
    </row>
    <row r="19" spans="1:22" ht="33.75" customHeight="1" x14ac:dyDescent="0.25">
      <c r="A19" s="473"/>
      <c r="B19" s="481"/>
      <c r="C19" s="475" t="s">
        <v>334</v>
      </c>
      <c r="D19" s="472" t="s">
        <v>329</v>
      </c>
      <c r="E19" s="472" t="s">
        <v>329</v>
      </c>
      <c r="F19" s="147" t="s">
        <v>19</v>
      </c>
      <c r="G19" s="389">
        <v>8.3299999999999999E-2</v>
      </c>
      <c r="H19" s="389">
        <v>8.3299999999999999E-2</v>
      </c>
      <c r="I19" s="389">
        <v>8.3299999999999999E-2</v>
      </c>
      <c r="J19" s="389">
        <v>8.3299999999999999E-2</v>
      </c>
      <c r="K19" s="389">
        <v>8.3299999999999999E-2</v>
      </c>
      <c r="L19" s="389">
        <v>8.3299999999999999E-2</v>
      </c>
      <c r="M19" s="389">
        <v>8.3299999999999999E-2</v>
      </c>
      <c r="N19" s="389">
        <v>8.3299999999999999E-2</v>
      </c>
      <c r="O19" s="389">
        <v>8.3299999999999999E-2</v>
      </c>
      <c r="P19" s="389">
        <v>8.3299999999999999E-2</v>
      </c>
      <c r="Q19" s="389">
        <v>8.3299999999999999E-2</v>
      </c>
      <c r="R19" s="389">
        <v>8.3699999999999997E-2</v>
      </c>
      <c r="S19" s="144">
        <f t="shared" si="0"/>
        <v>1</v>
      </c>
      <c r="T19" s="476"/>
      <c r="U19" s="468">
        <v>7.4999999999999997E-3</v>
      </c>
      <c r="V19" s="479" t="s">
        <v>586</v>
      </c>
    </row>
    <row r="20" spans="1:22" ht="33.75" customHeight="1" x14ac:dyDescent="0.25">
      <c r="A20" s="473"/>
      <c r="B20" s="481"/>
      <c r="C20" s="475"/>
      <c r="D20" s="472"/>
      <c r="E20" s="472"/>
      <c r="F20" s="148" t="s">
        <v>20</v>
      </c>
      <c r="G20" s="187">
        <v>8.3000000000000004E-2</v>
      </c>
      <c r="H20" s="187">
        <v>8.3299999999999999E-2</v>
      </c>
      <c r="I20" s="187">
        <v>8.3330000000000001E-2</v>
      </c>
      <c r="J20" s="187">
        <v>8.3299999999999999E-2</v>
      </c>
      <c r="K20" s="187">
        <v>8.3299999999999999E-2</v>
      </c>
      <c r="L20" s="187">
        <v>8.3299999999999999E-2</v>
      </c>
      <c r="M20" s="187">
        <v>8.3299999999999999E-2</v>
      </c>
      <c r="N20" s="187">
        <v>8.3299999999999999E-2</v>
      </c>
      <c r="O20" s="187">
        <v>8.3299999999999999E-2</v>
      </c>
      <c r="P20" s="187"/>
      <c r="Q20" s="187"/>
      <c r="R20" s="187"/>
      <c r="S20" s="146">
        <f t="shared" si="0"/>
        <v>0.74943000000000004</v>
      </c>
      <c r="T20" s="476"/>
      <c r="U20" s="468"/>
      <c r="V20" s="480"/>
    </row>
    <row r="21" spans="1:22" ht="33.75" customHeight="1" x14ac:dyDescent="0.25">
      <c r="A21" s="488" t="s">
        <v>312</v>
      </c>
      <c r="B21" s="474" t="s">
        <v>397</v>
      </c>
      <c r="C21" s="481" t="s">
        <v>335</v>
      </c>
      <c r="D21" s="472" t="s">
        <v>329</v>
      </c>
      <c r="E21" s="472" t="s">
        <v>329</v>
      </c>
      <c r="F21" s="147" t="s">
        <v>19</v>
      </c>
      <c r="G21" s="389">
        <v>2.5000000000000001E-2</v>
      </c>
      <c r="H21" s="389">
        <v>2.5000000000000001E-2</v>
      </c>
      <c r="I21" s="389">
        <v>0.1</v>
      </c>
      <c r="J21" s="389">
        <v>0.1</v>
      </c>
      <c r="K21" s="389">
        <v>0.125</v>
      </c>
      <c r="L21" s="389">
        <v>0.125</v>
      </c>
      <c r="M21" s="389">
        <v>2.5000000000000001E-2</v>
      </c>
      <c r="N21" s="389">
        <v>2.5000000000000001E-2</v>
      </c>
      <c r="O21" s="389">
        <v>0.1</v>
      </c>
      <c r="P21" s="389">
        <v>0.1</v>
      </c>
      <c r="Q21" s="389">
        <v>0.125</v>
      </c>
      <c r="R21" s="389">
        <v>0.125</v>
      </c>
      <c r="S21" s="144">
        <f t="shared" si="0"/>
        <v>1</v>
      </c>
      <c r="T21" s="476">
        <v>0.15</v>
      </c>
      <c r="U21" s="468">
        <v>0.05</v>
      </c>
      <c r="V21" s="469" t="s">
        <v>568</v>
      </c>
    </row>
    <row r="22" spans="1:22" ht="33.75" customHeight="1" x14ac:dyDescent="0.25">
      <c r="A22" s="488"/>
      <c r="B22" s="474"/>
      <c r="C22" s="481"/>
      <c r="D22" s="472"/>
      <c r="E22" s="472"/>
      <c r="F22" s="148" t="s">
        <v>20</v>
      </c>
      <c r="G22" s="187">
        <v>2.5000000000000001E-2</v>
      </c>
      <c r="H22" s="187">
        <v>2.5000000000000001E-2</v>
      </c>
      <c r="I22" s="187">
        <v>0.1</v>
      </c>
      <c r="J22" s="187">
        <v>0.1</v>
      </c>
      <c r="K22" s="187">
        <v>0.125</v>
      </c>
      <c r="L22" s="187">
        <v>0.125</v>
      </c>
      <c r="M22" s="187">
        <v>2.5000000000000001E-2</v>
      </c>
      <c r="N22" s="187">
        <v>2.5000000000000001E-2</v>
      </c>
      <c r="O22" s="187">
        <v>0.1</v>
      </c>
      <c r="P22" s="187"/>
      <c r="Q22" s="187"/>
      <c r="R22" s="187"/>
      <c r="S22" s="149">
        <f t="shared" si="0"/>
        <v>0.65</v>
      </c>
      <c r="T22" s="476"/>
      <c r="U22" s="468"/>
      <c r="V22" s="469"/>
    </row>
    <row r="23" spans="1:22" ht="33.75" customHeight="1" x14ac:dyDescent="0.25">
      <c r="A23" s="488"/>
      <c r="B23" s="474"/>
      <c r="C23" s="475" t="s">
        <v>336</v>
      </c>
      <c r="D23" s="491" t="s">
        <v>329</v>
      </c>
      <c r="E23" s="472" t="s">
        <v>329</v>
      </c>
      <c r="F23" s="147" t="s">
        <v>19</v>
      </c>
      <c r="G23" s="389">
        <v>2.5000000000000001E-2</v>
      </c>
      <c r="H23" s="389">
        <v>2.5000000000000001E-2</v>
      </c>
      <c r="I23" s="389">
        <v>0.1</v>
      </c>
      <c r="J23" s="389">
        <v>0.1</v>
      </c>
      <c r="K23" s="389">
        <v>0.125</v>
      </c>
      <c r="L23" s="389">
        <v>0.125</v>
      </c>
      <c r="M23" s="389">
        <v>2.5000000000000001E-2</v>
      </c>
      <c r="N23" s="389">
        <v>2.5000000000000001E-2</v>
      </c>
      <c r="O23" s="389">
        <v>0.1</v>
      </c>
      <c r="P23" s="389">
        <v>0.1</v>
      </c>
      <c r="Q23" s="389">
        <v>0.125</v>
      </c>
      <c r="R23" s="389">
        <v>0.125</v>
      </c>
      <c r="S23" s="144">
        <f t="shared" si="0"/>
        <v>1</v>
      </c>
      <c r="T23" s="476"/>
      <c r="U23" s="468">
        <v>0.05</v>
      </c>
      <c r="V23" s="479" t="s">
        <v>569</v>
      </c>
    </row>
    <row r="24" spans="1:22" ht="33.75" customHeight="1" x14ac:dyDescent="0.25">
      <c r="A24" s="488"/>
      <c r="B24" s="474"/>
      <c r="C24" s="475"/>
      <c r="D24" s="491"/>
      <c r="E24" s="472"/>
      <c r="F24" s="148" t="s">
        <v>20</v>
      </c>
      <c r="G24" s="187">
        <v>2.5000000000000001E-2</v>
      </c>
      <c r="H24" s="187">
        <v>2.5000000000000001E-2</v>
      </c>
      <c r="I24" s="187">
        <v>0.1</v>
      </c>
      <c r="J24" s="187">
        <v>0.1</v>
      </c>
      <c r="K24" s="187">
        <v>0.125</v>
      </c>
      <c r="L24" s="187">
        <v>0.125</v>
      </c>
      <c r="M24" s="187">
        <v>2.5000000000000001E-2</v>
      </c>
      <c r="N24" s="187">
        <v>2.5000000000000001E-2</v>
      </c>
      <c r="O24" s="187">
        <v>0.1</v>
      </c>
      <c r="P24" s="187"/>
      <c r="Q24" s="187"/>
      <c r="R24" s="187"/>
      <c r="S24" s="149">
        <f t="shared" si="0"/>
        <v>0.65</v>
      </c>
      <c r="T24" s="476"/>
      <c r="U24" s="468"/>
      <c r="V24" s="480"/>
    </row>
    <row r="25" spans="1:22" ht="33.75" customHeight="1" x14ac:dyDescent="0.25">
      <c r="A25" s="488"/>
      <c r="B25" s="474"/>
      <c r="C25" s="475" t="s">
        <v>337</v>
      </c>
      <c r="D25" s="472" t="s">
        <v>329</v>
      </c>
      <c r="E25" s="472" t="s">
        <v>329</v>
      </c>
      <c r="F25" s="147" t="s">
        <v>19</v>
      </c>
      <c r="G25" s="389">
        <v>2.5000000000000001E-2</v>
      </c>
      <c r="H25" s="389">
        <v>2.5000000000000001E-2</v>
      </c>
      <c r="I25" s="389">
        <v>0.1</v>
      </c>
      <c r="J25" s="389">
        <v>0.1</v>
      </c>
      <c r="K25" s="389">
        <v>0.125</v>
      </c>
      <c r="L25" s="389">
        <v>0.125</v>
      </c>
      <c r="M25" s="389">
        <v>2.5000000000000001E-2</v>
      </c>
      <c r="N25" s="389">
        <v>2.5000000000000001E-2</v>
      </c>
      <c r="O25" s="389">
        <v>0.1</v>
      </c>
      <c r="P25" s="389">
        <v>0.1</v>
      </c>
      <c r="Q25" s="389">
        <v>0.125</v>
      </c>
      <c r="R25" s="389">
        <v>0.125</v>
      </c>
      <c r="S25" s="144">
        <f t="shared" si="0"/>
        <v>1</v>
      </c>
      <c r="T25" s="476"/>
      <c r="U25" s="468">
        <v>0.05</v>
      </c>
      <c r="V25" s="469" t="s">
        <v>570</v>
      </c>
    </row>
    <row r="26" spans="1:22" ht="33.75" customHeight="1" x14ac:dyDescent="0.25">
      <c r="A26" s="488"/>
      <c r="B26" s="474"/>
      <c r="C26" s="475"/>
      <c r="D26" s="472"/>
      <c r="E26" s="472"/>
      <c r="F26" s="148" t="s">
        <v>20</v>
      </c>
      <c r="G26" s="187">
        <v>2.5000000000000001E-2</v>
      </c>
      <c r="H26" s="187">
        <v>2.5000000000000001E-2</v>
      </c>
      <c r="I26" s="187">
        <v>0.1</v>
      </c>
      <c r="J26" s="187">
        <v>0</v>
      </c>
      <c r="K26" s="187">
        <v>0.125</v>
      </c>
      <c r="L26" s="187">
        <v>0.125</v>
      </c>
      <c r="M26" s="187">
        <v>2.5000000000000001E-2</v>
      </c>
      <c r="N26" s="187">
        <v>2.5000000000000001E-2</v>
      </c>
      <c r="O26" s="187">
        <v>0.1</v>
      </c>
      <c r="P26" s="187"/>
      <c r="Q26" s="187"/>
      <c r="R26" s="187"/>
      <c r="S26" s="149">
        <f t="shared" si="0"/>
        <v>0.55000000000000004</v>
      </c>
      <c r="T26" s="476"/>
      <c r="U26" s="468"/>
      <c r="V26" s="470"/>
    </row>
    <row r="27" spans="1:22" ht="33.75" customHeight="1" x14ac:dyDescent="0.25">
      <c r="A27" s="473" t="s">
        <v>312</v>
      </c>
      <c r="B27" s="474" t="s">
        <v>391</v>
      </c>
      <c r="C27" s="481" t="s">
        <v>338</v>
      </c>
      <c r="D27" s="472" t="s">
        <v>329</v>
      </c>
      <c r="E27" s="472" t="s">
        <v>329</v>
      </c>
      <c r="F27" s="147" t="s">
        <v>19</v>
      </c>
      <c r="G27" s="389">
        <v>0.05</v>
      </c>
      <c r="H27" s="389">
        <v>0.05</v>
      </c>
      <c r="I27" s="389">
        <v>0.1</v>
      </c>
      <c r="J27" s="389">
        <v>0.1</v>
      </c>
      <c r="K27" s="389">
        <v>0.1</v>
      </c>
      <c r="L27" s="389">
        <v>0.1</v>
      </c>
      <c r="M27" s="389">
        <v>0.1</v>
      </c>
      <c r="N27" s="389">
        <v>0.1</v>
      </c>
      <c r="O27" s="389">
        <v>0.1</v>
      </c>
      <c r="P27" s="389">
        <v>0.1</v>
      </c>
      <c r="Q27" s="389">
        <v>0.05</v>
      </c>
      <c r="R27" s="389">
        <v>0.05</v>
      </c>
      <c r="S27" s="144">
        <f t="shared" si="0"/>
        <v>1</v>
      </c>
      <c r="T27" s="476">
        <v>0.15</v>
      </c>
      <c r="U27" s="468">
        <v>4.4999999999999998E-2</v>
      </c>
      <c r="V27" s="487" t="s">
        <v>572</v>
      </c>
    </row>
    <row r="28" spans="1:22" ht="33.75" customHeight="1" x14ac:dyDescent="0.25">
      <c r="A28" s="473"/>
      <c r="B28" s="474"/>
      <c r="C28" s="481"/>
      <c r="D28" s="472"/>
      <c r="E28" s="472"/>
      <c r="F28" s="148" t="s">
        <v>20</v>
      </c>
      <c r="G28" s="187">
        <v>0.04</v>
      </c>
      <c r="H28" s="187">
        <v>2.1499999999999998E-2</v>
      </c>
      <c r="I28" s="187">
        <v>5.7299999999999997E-2</v>
      </c>
      <c r="J28" s="187">
        <v>5.5500000000000001E-2</v>
      </c>
      <c r="K28" s="187">
        <v>8.3299999999999999E-2</v>
      </c>
      <c r="L28" s="187">
        <v>0.29859999999999998</v>
      </c>
      <c r="M28" s="187">
        <v>0.1055</v>
      </c>
      <c r="N28" s="187">
        <v>9.3700000000000006E-2</v>
      </c>
      <c r="O28" s="187">
        <v>8.9999999999999998E-4</v>
      </c>
      <c r="P28" s="187"/>
      <c r="Q28" s="187"/>
      <c r="R28" s="187"/>
      <c r="S28" s="146">
        <f t="shared" si="0"/>
        <v>0.75630000000000008</v>
      </c>
      <c r="T28" s="476"/>
      <c r="U28" s="468"/>
      <c r="V28" s="487"/>
    </row>
    <row r="29" spans="1:22" ht="33.75" customHeight="1" x14ac:dyDescent="0.25">
      <c r="A29" s="473"/>
      <c r="B29" s="474"/>
      <c r="C29" s="475" t="s">
        <v>339</v>
      </c>
      <c r="D29" s="472" t="s">
        <v>329</v>
      </c>
      <c r="E29" s="472" t="s">
        <v>329</v>
      </c>
      <c r="F29" s="147" t="s">
        <v>19</v>
      </c>
      <c r="G29" s="389">
        <v>8.3299999999999999E-2</v>
      </c>
      <c r="H29" s="389">
        <v>8.3299999999999999E-2</v>
      </c>
      <c r="I29" s="389">
        <v>8.3299999999999999E-2</v>
      </c>
      <c r="J29" s="389">
        <v>8.3299999999999999E-2</v>
      </c>
      <c r="K29" s="389">
        <v>8.3299999999999999E-2</v>
      </c>
      <c r="L29" s="389">
        <v>8.3299999999999999E-2</v>
      </c>
      <c r="M29" s="389">
        <v>8.3299999999999999E-2</v>
      </c>
      <c r="N29" s="389">
        <v>8.3299999999999999E-2</v>
      </c>
      <c r="O29" s="389">
        <v>8.3299999999999999E-2</v>
      </c>
      <c r="P29" s="389">
        <v>8.3299999999999999E-2</v>
      </c>
      <c r="Q29" s="389">
        <v>8.3299999999999999E-2</v>
      </c>
      <c r="R29" s="389">
        <v>8.3699999999999997E-2</v>
      </c>
      <c r="S29" s="144">
        <f t="shared" si="0"/>
        <v>1</v>
      </c>
      <c r="T29" s="476"/>
      <c r="U29" s="468">
        <v>0.03</v>
      </c>
      <c r="V29" s="469" t="s">
        <v>573</v>
      </c>
    </row>
    <row r="30" spans="1:22" ht="33.75" customHeight="1" x14ac:dyDescent="0.25">
      <c r="A30" s="473"/>
      <c r="B30" s="474"/>
      <c r="C30" s="475"/>
      <c r="D30" s="472"/>
      <c r="E30" s="472"/>
      <c r="F30" s="148" t="s">
        <v>20</v>
      </c>
      <c r="G30" s="187">
        <v>8.3299999999999999E-2</v>
      </c>
      <c r="H30" s="187">
        <v>8.3299999999999999E-2</v>
      </c>
      <c r="I30" s="187">
        <v>8.3299999999999999E-2</v>
      </c>
      <c r="J30" s="187">
        <v>8.3299999999999999E-2</v>
      </c>
      <c r="K30" s="187">
        <v>8.3299999999999999E-2</v>
      </c>
      <c r="L30" s="187">
        <v>8.3299999999999999E-2</v>
      </c>
      <c r="M30" s="187">
        <v>8.3299999999999999E-2</v>
      </c>
      <c r="N30" s="187">
        <v>8.3299999999999999E-2</v>
      </c>
      <c r="O30" s="187">
        <v>8.3299999999999999E-2</v>
      </c>
      <c r="P30" s="187"/>
      <c r="Q30" s="187"/>
      <c r="R30" s="187"/>
      <c r="S30" s="146">
        <f t="shared" si="0"/>
        <v>0.74970000000000003</v>
      </c>
      <c r="T30" s="476"/>
      <c r="U30" s="468"/>
      <c r="V30" s="470"/>
    </row>
    <row r="31" spans="1:22" ht="33.75" customHeight="1" x14ac:dyDescent="0.25">
      <c r="A31" s="473"/>
      <c r="B31" s="474"/>
      <c r="C31" s="475" t="s">
        <v>340</v>
      </c>
      <c r="D31" s="472" t="s">
        <v>329</v>
      </c>
      <c r="E31" s="472" t="s">
        <v>329</v>
      </c>
      <c r="F31" s="147" t="s">
        <v>19</v>
      </c>
      <c r="G31" s="389">
        <v>6.4732142857142863E-2</v>
      </c>
      <c r="H31" s="389">
        <v>8.7053571428571425E-2</v>
      </c>
      <c r="I31" s="389">
        <v>8.7053571428571425E-2</v>
      </c>
      <c r="J31" s="389">
        <v>8.7099999999999997E-2</v>
      </c>
      <c r="K31" s="389">
        <v>8.7099999999999997E-2</v>
      </c>
      <c r="L31" s="389">
        <v>8.7099999999999997E-2</v>
      </c>
      <c r="M31" s="389">
        <v>8.7099999999999997E-2</v>
      </c>
      <c r="N31" s="389">
        <v>8.7099999999999997E-2</v>
      </c>
      <c r="O31" s="389">
        <v>8.7099999999999997E-2</v>
      </c>
      <c r="P31" s="389">
        <v>8.7099999999999997E-2</v>
      </c>
      <c r="Q31" s="389">
        <v>8.7099999999999997E-2</v>
      </c>
      <c r="R31" s="389">
        <v>6.4299999999999996E-2</v>
      </c>
      <c r="S31" s="144">
        <f t="shared" si="0"/>
        <v>0.99993928571428548</v>
      </c>
      <c r="T31" s="476"/>
      <c r="U31" s="468">
        <v>4.4999999999999998E-2</v>
      </c>
      <c r="V31" s="528" t="s">
        <v>574</v>
      </c>
    </row>
    <row r="32" spans="1:22" ht="33.75" customHeight="1" x14ac:dyDescent="0.25">
      <c r="A32" s="473"/>
      <c r="B32" s="474"/>
      <c r="C32" s="475"/>
      <c r="D32" s="472"/>
      <c r="E32" s="472"/>
      <c r="F32" s="148" t="s">
        <v>20</v>
      </c>
      <c r="G32" s="187">
        <v>6.4699999999999994E-2</v>
      </c>
      <c r="H32" s="187">
        <v>6.88E-2</v>
      </c>
      <c r="I32" s="187">
        <v>2.41E-2</v>
      </c>
      <c r="J32" s="187">
        <v>0.08</v>
      </c>
      <c r="K32" s="187">
        <v>6.0699999999999997E-2</v>
      </c>
      <c r="L32" s="187">
        <v>0.1047</v>
      </c>
      <c r="M32" s="187">
        <v>0.10780000000000001</v>
      </c>
      <c r="N32" s="187">
        <v>5.6500000000000002E-2</v>
      </c>
      <c r="O32" s="187">
        <v>0.1076</v>
      </c>
      <c r="P32" s="187"/>
      <c r="Q32" s="187"/>
      <c r="R32" s="187"/>
      <c r="S32" s="146">
        <f t="shared" si="0"/>
        <v>0.67490000000000006</v>
      </c>
      <c r="T32" s="476"/>
      <c r="U32" s="468"/>
      <c r="V32" s="529"/>
    </row>
    <row r="33" spans="1:22" ht="33.75" customHeight="1" x14ac:dyDescent="0.25">
      <c r="A33" s="473"/>
      <c r="B33" s="474"/>
      <c r="C33" s="475" t="s">
        <v>341</v>
      </c>
      <c r="D33" s="472" t="s">
        <v>329</v>
      </c>
      <c r="E33" s="472" t="s">
        <v>329</v>
      </c>
      <c r="F33" s="147" t="s">
        <v>19</v>
      </c>
      <c r="G33" s="389">
        <v>4.2857142857142858E-2</v>
      </c>
      <c r="H33" s="389">
        <v>4.2857142857142858E-2</v>
      </c>
      <c r="I33" s="389">
        <v>5.7142857142857141E-2</v>
      </c>
      <c r="J33" s="389">
        <v>7.1428571428571425E-2</v>
      </c>
      <c r="K33" s="389">
        <v>0.1</v>
      </c>
      <c r="L33" s="389">
        <v>0.1</v>
      </c>
      <c r="M33" s="389">
        <v>0.1</v>
      </c>
      <c r="N33" s="389">
        <v>0.1</v>
      </c>
      <c r="O33" s="389">
        <v>0.1</v>
      </c>
      <c r="P33" s="389">
        <v>0.1</v>
      </c>
      <c r="Q33" s="389">
        <v>0.1</v>
      </c>
      <c r="R33" s="389">
        <v>8.5714285714285715E-2</v>
      </c>
      <c r="S33" s="144">
        <f t="shared" si="0"/>
        <v>0.99999999999999989</v>
      </c>
      <c r="T33" s="476"/>
      <c r="U33" s="468">
        <v>1.4999999999999999E-2</v>
      </c>
      <c r="V33" s="469" t="s">
        <v>575</v>
      </c>
    </row>
    <row r="34" spans="1:22" ht="33.75" customHeight="1" x14ac:dyDescent="0.25">
      <c r="A34" s="473"/>
      <c r="B34" s="474"/>
      <c r="C34" s="475"/>
      <c r="D34" s="472"/>
      <c r="E34" s="472"/>
      <c r="F34" s="148" t="s">
        <v>20</v>
      </c>
      <c r="G34" s="187">
        <v>2.86E-2</v>
      </c>
      <c r="H34" s="187">
        <v>1.43E-2</v>
      </c>
      <c r="I34" s="187">
        <v>1.43E-2</v>
      </c>
      <c r="J34" s="187">
        <v>9.9900000000000003E-2</v>
      </c>
      <c r="K34" s="187">
        <v>8.5699999999999998E-2</v>
      </c>
      <c r="L34" s="187">
        <v>7.1400000000000005E-2</v>
      </c>
      <c r="M34" s="187">
        <v>7.1400000000000005E-2</v>
      </c>
      <c r="N34" s="187">
        <v>1.43E-2</v>
      </c>
      <c r="O34" s="187">
        <v>0.1</v>
      </c>
      <c r="P34" s="187"/>
      <c r="Q34" s="187"/>
      <c r="R34" s="187"/>
      <c r="S34" s="146">
        <f t="shared" si="0"/>
        <v>0.49990000000000001</v>
      </c>
      <c r="T34" s="476"/>
      <c r="U34" s="468"/>
      <c r="V34" s="469"/>
    </row>
    <row r="35" spans="1:22" ht="33.75" customHeight="1" x14ac:dyDescent="0.25">
      <c r="A35" s="473"/>
      <c r="B35" s="474"/>
      <c r="C35" s="475" t="s">
        <v>342</v>
      </c>
      <c r="D35" s="472" t="s">
        <v>329</v>
      </c>
      <c r="E35" s="472" t="s">
        <v>329</v>
      </c>
      <c r="F35" s="147" t="s">
        <v>19</v>
      </c>
      <c r="G35" s="389">
        <v>8.3299999999999999E-2</v>
      </c>
      <c r="H35" s="389">
        <v>8.3299999999999999E-2</v>
      </c>
      <c r="I35" s="389">
        <v>8.3299999999999999E-2</v>
      </c>
      <c r="J35" s="389">
        <v>8.3299999999999999E-2</v>
      </c>
      <c r="K35" s="389">
        <v>8.3299999999999999E-2</v>
      </c>
      <c r="L35" s="389">
        <v>8.3299999999999999E-2</v>
      </c>
      <c r="M35" s="389">
        <v>8.3299999999999999E-2</v>
      </c>
      <c r="N35" s="389">
        <v>8.3299999999999999E-2</v>
      </c>
      <c r="O35" s="389">
        <v>8.3299999999999999E-2</v>
      </c>
      <c r="P35" s="389">
        <v>8.3299999999999999E-2</v>
      </c>
      <c r="Q35" s="389">
        <v>8.3299999999999999E-2</v>
      </c>
      <c r="R35" s="389">
        <v>8.3699999999999997E-2</v>
      </c>
      <c r="S35" s="144">
        <f t="shared" si="0"/>
        <v>1</v>
      </c>
      <c r="T35" s="476"/>
      <c r="U35" s="468">
        <v>1.4999999999999999E-2</v>
      </c>
      <c r="V35" s="469" t="s">
        <v>576</v>
      </c>
    </row>
    <row r="36" spans="1:22" ht="33.75" customHeight="1" x14ac:dyDescent="0.25">
      <c r="A36" s="473"/>
      <c r="B36" s="474"/>
      <c r="C36" s="475"/>
      <c r="D36" s="472"/>
      <c r="E36" s="472"/>
      <c r="F36" s="148" t="s">
        <v>20</v>
      </c>
      <c r="G36" s="187">
        <v>8.3299999999999999E-2</v>
      </c>
      <c r="H36" s="187">
        <v>8.3299999999999999E-2</v>
      </c>
      <c r="I36" s="187">
        <v>8.3299999999999999E-2</v>
      </c>
      <c r="J36" s="187">
        <v>8.3299999999999999E-2</v>
      </c>
      <c r="K36" s="187">
        <v>8.3299999999999999E-2</v>
      </c>
      <c r="L36" s="187">
        <v>8.3299999999999999E-2</v>
      </c>
      <c r="M36" s="187">
        <v>8.3299999999999999E-2</v>
      </c>
      <c r="N36" s="187">
        <v>8.3299999999999999E-2</v>
      </c>
      <c r="O36" s="187">
        <v>8.3299999999999999E-2</v>
      </c>
      <c r="P36" s="187"/>
      <c r="Q36" s="187"/>
      <c r="R36" s="187"/>
      <c r="S36" s="146">
        <f t="shared" si="0"/>
        <v>0.74970000000000003</v>
      </c>
      <c r="T36" s="476"/>
      <c r="U36" s="468"/>
      <c r="V36" s="470"/>
    </row>
    <row r="37" spans="1:22" ht="33.75" customHeight="1" x14ac:dyDescent="0.25">
      <c r="A37" s="473" t="s">
        <v>343</v>
      </c>
      <c r="B37" s="474" t="s">
        <v>372</v>
      </c>
      <c r="C37" s="475" t="s">
        <v>344</v>
      </c>
      <c r="D37" s="472" t="s">
        <v>329</v>
      </c>
      <c r="E37" s="472" t="s">
        <v>329</v>
      </c>
      <c r="F37" s="147" t="s">
        <v>19</v>
      </c>
      <c r="G37" s="389">
        <v>1.0999999999999999E-2</v>
      </c>
      <c r="H37" s="389">
        <v>1.38E-2</v>
      </c>
      <c r="I37" s="389">
        <v>0.1032</v>
      </c>
      <c r="J37" s="389">
        <v>0.1032</v>
      </c>
      <c r="K37" s="389">
        <v>0.1032</v>
      </c>
      <c r="L37" s="389">
        <v>0.1032</v>
      </c>
      <c r="M37" s="389">
        <v>0.1032</v>
      </c>
      <c r="N37" s="389">
        <v>0.1032</v>
      </c>
      <c r="O37" s="389">
        <v>0.1032</v>
      </c>
      <c r="P37" s="389">
        <v>0.1032</v>
      </c>
      <c r="Q37" s="389">
        <v>0.1032</v>
      </c>
      <c r="R37" s="389">
        <v>4.6399999999999997E-2</v>
      </c>
      <c r="S37" s="150">
        <f t="shared" si="0"/>
        <v>0.99999999999999989</v>
      </c>
      <c r="T37" s="476">
        <v>0.15</v>
      </c>
      <c r="U37" s="468">
        <v>0.1275</v>
      </c>
      <c r="V37" s="479" t="s">
        <v>558</v>
      </c>
    </row>
    <row r="38" spans="1:22" ht="33.75" customHeight="1" x14ac:dyDescent="0.25">
      <c r="A38" s="473"/>
      <c r="B38" s="474"/>
      <c r="C38" s="475"/>
      <c r="D38" s="472"/>
      <c r="E38" s="472"/>
      <c r="F38" s="148" t="s">
        <v>20</v>
      </c>
      <c r="G38" s="187">
        <v>2.63E-2</v>
      </c>
      <c r="H38" s="187">
        <v>0</v>
      </c>
      <c r="I38" s="187">
        <v>0.1162</v>
      </c>
      <c r="J38" s="187">
        <v>0.12529999999999999</v>
      </c>
      <c r="K38" s="187">
        <v>7.9600000000000004E-2</v>
      </c>
      <c r="L38" s="187">
        <v>0.10199999999999999</v>
      </c>
      <c r="M38" s="187">
        <v>0.10639999999999999</v>
      </c>
      <c r="N38" s="187">
        <v>0.1162</v>
      </c>
      <c r="O38" s="187">
        <v>0.14000000000000001</v>
      </c>
      <c r="P38" s="187"/>
      <c r="Q38" s="187"/>
      <c r="R38" s="187"/>
      <c r="S38" s="146">
        <f t="shared" si="0"/>
        <v>0.81199999999999994</v>
      </c>
      <c r="T38" s="476"/>
      <c r="U38" s="468"/>
      <c r="V38" s="480"/>
    </row>
    <row r="39" spans="1:22" ht="33.75" customHeight="1" x14ac:dyDescent="0.25">
      <c r="A39" s="473"/>
      <c r="B39" s="474"/>
      <c r="C39" s="475" t="s">
        <v>345</v>
      </c>
      <c r="D39" s="472" t="s">
        <v>329</v>
      </c>
      <c r="E39" s="472" t="s">
        <v>329</v>
      </c>
      <c r="F39" s="147" t="s">
        <v>19</v>
      </c>
      <c r="G39" s="389">
        <v>5.2600000000000001E-2</v>
      </c>
      <c r="H39" s="389">
        <v>5.2600000000000001E-2</v>
      </c>
      <c r="I39" s="389">
        <v>9.4700000000000006E-2</v>
      </c>
      <c r="J39" s="389">
        <v>9.4700000000000006E-2</v>
      </c>
      <c r="K39" s="389">
        <v>9.4700000000000006E-2</v>
      </c>
      <c r="L39" s="389">
        <v>9.4700000000000006E-2</v>
      </c>
      <c r="M39" s="389">
        <v>9.4700000000000006E-2</v>
      </c>
      <c r="N39" s="389">
        <v>9.4700000000000006E-2</v>
      </c>
      <c r="O39" s="389">
        <v>9.4700000000000006E-2</v>
      </c>
      <c r="P39" s="389">
        <v>8.9499999999999996E-2</v>
      </c>
      <c r="Q39" s="389">
        <v>8.9499999999999996E-2</v>
      </c>
      <c r="R39" s="389">
        <v>5.2900000000000003E-2</v>
      </c>
      <c r="S39" s="151">
        <f t="shared" si="0"/>
        <v>1</v>
      </c>
      <c r="T39" s="476"/>
      <c r="U39" s="468">
        <v>2.2499999999999999E-2</v>
      </c>
      <c r="V39" s="484" t="s">
        <v>559</v>
      </c>
    </row>
    <row r="40" spans="1:22" ht="33.75" customHeight="1" x14ac:dyDescent="0.25">
      <c r="A40" s="473"/>
      <c r="B40" s="474"/>
      <c r="C40" s="475"/>
      <c r="D40" s="472"/>
      <c r="E40" s="472"/>
      <c r="F40" s="148" t="s">
        <v>20</v>
      </c>
      <c r="G40" s="187">
        <v>0.122</v>
      </c>
      <c r="H40" s="187">
        <v>0.126</v>
      </c>
      <c r="I40" s="187">
        <v>0.1181</v>
      </c>
      <c r="J40" s="187">
        <v>0.1575</v>
      </c>
      <c r="K40" s="187">
        <v>0.1181</v>
      </c>
      <c r="L40" s="187">
        <v>9.4700000000000006E-2</v>
      </c>
      <c r="M40" s="187">
        <v>9.8799999999999999E-2</v>
      </c>
      <c r="N40" s="187">
        <v>0.1024</v>
      </c>
      <c r="O40" s="187">
        <v>2.3599999999999999E-2</v>
      </c>
      <c r="P40" s="187"/>
      <c r="Q40" s="187"/>
      <c r="R40" s="187"/>
      <c r="S40" s="146">
        <f t="shared" si="0"/>
        <v>0.96119999999999994</v>
      </c>
      <c r="T40" s="476"/>
      <c r="U40" s="468"/>
      <c r="V40" s="485"/>
    </row>
    <row r="41" spans="1:22" ht="33.75" customHeight="1" x14ac:dyDescent="0.25">
      <c r="A41" s="473" t="s">
        <v>346</v>
      </c>
      <c r="B41" s="474" t="s">
        <v>347</v>
      </c>
      <c r="C41" s="475" t="s">
        <v>348</v>
      </c>
      <c r="D41" s="472" t="s">
        <v>329</v>
      </c>
      <c r="E41" s="472" t="s">
        <v>329</v>
      </c>
      <c r="F41" s="147" t="s">
        <v>19</v>
      </c>
      <c r="G41" s="389">
        <v>8.5000000000000006E-2</v>
      </c>
      <c r="H41" s="389">
        <v>6.5000000000000002E-2</v>
      </c>
      <c r="I41" s="389">
        <v>8.5000000000000006E-2</v>
      </c>
      <c r="J41" s="389">
        <v>8.5000000000000006E-2</v>
      </c>
      <c r="K41" s="389">
        <v>8.5000000000000006E-2</v>
      </c>
      <c r="L41" s="389">
        <v>8.5000000000000006E-2</v>
      </c>
      <c r="M41" s="389">
        <v>8.5000000000000006E-2</v>
      </c>
      <c r="N41" s="389">
        <v>8.5000000000000006E-2</v>
      </c>
      <c r="O41" s="389">
        <v>8.5000000000000006E-2</v>
      </c>
      <c r="P41" s="389">
        <v>8.5000000000000006E-2</v>
      </c>
      <c r="Q41" s="389">
        <v>8.5000000000000006E-2</v>
      </c>
      <c r="R41" s="389">
        <v>8.5000000000000006E-2</v>
      </c>
      <c r="S41" s="144">
        <f t="shared" si="0"/>
        <v>0.99999999999999989</v>
      </c>
      <c r="T41" s="476">
        <v>0.15</v>
      </c>
      <c r="U41" s="468">
        <v>0.04</v>
      </c>
      <c r="V41" s="482" t="s">
        <v>562</v>
      </c>
    </row>
    <row r="42" spans="1:22" ht="33.75" customHeight="1" x14ac:dyDescent="0.25">
      <c r="A42" s="473"/>
      <c r="B42" s="474"/>
      <c r="C42" s="475"/>
      <c r="D42" s="472"/>
      <c r="E42" s="472"/>
      <c r="F42" s="148" t="s">
        <v>20</v>
      </c>
      <c r="G42" s="187">
        <v>8.5000000000000006E-2</v>
      </c>
      <c r="H42" s="187">
        <v>6.5000000000000002E-2</v>
      </c>
      <c r="I42" s="187">
        <v>8.5000000000000006E-2</v>
      </c>
      <c r="J42" s="187">
        <v>8.5000000000000006E-2</v>
      </c>
      <c r="K42" s="187">
        <v>8.5000000000000006E-2</v>
      </c>
      <c r="L42" s="187">
        <v>8.5000000000000006E-2</v>
      </c>
      <c r="M42" s="187">
        <v>8.5000000000000006E-2</v>
      </c>
      <c r="N42" s="187">
        <v>8.5000000000000006E-2</v>
      </c>
      <c r="O42" s="187">
        <v>8.5000000000000006E-2</v>
      </c>
      <c r="P42" s="187"/>
      <c r="Q42" s="187"/>
      <c r="R42" s="187"/>
      <c r="S42" s="149">
        <f t="shared" si="0"/>
        <v>0.745</v>
      </c>
      <c r="T42" s="476"/>
      <c r="U42" s="468"/>
      <c r="V42" s="483"/>
    </row>
    <row r="43" spans="1:22" ht="33.75" customHeight="1" x14ac:dyDescent="0.25">
      <c r="A43" s="473"/>
      <c r="B43" s="474"/>
      <c r="C43" s="486" t="s">
        <v>349</v>
      </c>
      <c r="D43" s="472" t="s">
        <v>329</v>
      </c>
      <c r="E43" s="472" t="s">
        <v>329</v>
      </c>
      <c r="F43" s="147" t="s">
        <v>19</v>
      </c>
      <c r="G43" s="389">
        <v>0.18</v>
      </c>
      <c r="H43" s="389">
        <v>0.1</v>
      </c>
      <c r="I43" s="389">
        <v>0.18</v>
      </c>
      <c r="J43" s="389">
        <v>0.18</v>
      </c>
      <c r="K43" s="389">
        <v>0.18</v>
      </c>
      <c r="L43" s="389">
        <v>0.18</v>
      </c>
      <c r="M43" s="389">
        <v>0</v>
      </c>
      <c r="N43" s="389">
        <v>0</v>
      </c>
      <c r="O43" s="389">
        <v>0</v>
      </c>
      <c r="P43" s="389">
        <v>0</v>
      </c>
      <c r="Q43" s="389">
        <v>0</v>
      </c>
      <c r="R43" s="389">
        <v>0</v>
      </c>
      <c r="S43" s="144">
        <f t="shared" si="0"/>
        <v>1</v>
      </c>
      <c r="T43" s="476"/>
      <c r="U43" s="468">
        <v>0.02</v>
      </c>
      <c r="V43" s="482" t="s">
        <v>563</v>
      </c>
    </row>
    <row r="44" spans="1:22" ht="33.75" customHeight="1" x14ac:dyDescent="0.25">
      <c r="A44" s="473"/>
      <c r="B44" s="474"/>
      <c r="C44" s="486"/>
      <c r="D44" s="472"/>
      <c r="E44" s="472"/>
      <c r="F44" s="148" t="s">
        <v>20</v>
      </c>
      <c r="G44" s="187">
        <v>0.18</v>
      </c>
      <c r="H44" s="187">
        <v>0.1</v>
      </c>
      <c r="I44" s="187">
        <v>0.18</v>
      </c>
      <c r="J44" s="187">
        <v>0.18</v>
      </c>
      <c r="K44" s="187">
        <v>0.18</v>
      </c>
      <c r="L44" s="187">
        <v>0.18</v>
      </c>
      <c r="M44" s="187">
        <v>0</v>
      </c>
      <c r="N44" s="187">
        <v>0</v>
      </c>
      <c r="O44" s="187">
        <v>0</v>
      </c>
      <c r="P44" s="187"/>
      <c r="Q44" s="187"/>
      <c r="R44" s="187"/>
      <c r="S44" s="151">
        <f t="shared" si="0"/>
        <v>1</v>
      </c>
      <c r="T44" s="476"/>
      <c r="U44" s="468"/>
      <c r="V44" s="483"/>
    </row>
    <row r="45" spans="1:22" ht="33.75" customHeight="1" x14ac:dyDescent="0.25">
      <c r="A45" s="473"/>
      <c r="B45" s="474"/>
      <c r="C45" s="475" t="s">
        <v>350</v>
      </c>
      <c r="D45" s="472" t="s">
        <v>329</v>
      </c>
      <c r="E45" s="472" t="s">
        <v>329</v>
      </c>
      <c r="F45" s="147" t="s">
        <v>19</v>
      </c>
      <c r="G45" s="389">
        <v>8.5000000000000006E-2</v>
      </c>
      <c r="H45" s="389">
        <v>6.5000000000000002E-2</v>
      </c>
      <c r="I45" s="389">
        <v>8.5000000000000006E-2</v>
      </c>
      <c r="J45" s="389">
        <v>8.5000000000000006E-2</v>
      </c>
      <c r="K45" s="389">
        <v>8.5000000000000006E-2</v>
      </c>
      <c r="L45" s="389">
        <v>8.5000000000000006E-2</v>
      </c>
      <c r="M45" s="389">
        <v>8.5000000000000006E-2</v>
      </c>
      <c r="N45" s="389">
        <v>8.5000000000000006E-2</v>
      </c>
      <c r="O45" s="389">
        <v>8.5000000000000006E-2</v>
      </c>
      <c r="P45" s="389">
        <v>8.5000000000000006E-2</v>
      </c>
      <c r="Q45" s="389">
        <v>8.5000000000000006E-2</v>
      </c>
      <c r="R45" s="389">
        <v>8.5000000000000006E-2</v>
      </c>
      <c r="S45" s="144">
        <f t="shared" si="0"/>
        <v>0.99999999999999989</v>
      </c>
      <c r="T45" s="476"/>
      <c r="U45" s="468">
        <v>0.01</v>
      </c>
      <c r="V45" s="482" t="s">
        <v>564</v>
      </c>
    </row>
    <row r="46" spans="1:22" ht="33.75" customHeight="1" x14ac:dyDescent="0.25">
      <c r="A46" s="473"/>
      <c r="B46" s="474"/>
      <c r="C46" s="475"/>
      <c r="D46" s="472"/>
      <c r="E46" s="472"/>
      <c r="F46" s="148" t="s">
        <v>20</v>
      </c>
      <c r="G46" s="187">
        <v>8.5000000000000006E-2</v>
      </c>
      <c r="H46" s="187">
        <v>6.5000000000000002E-2</v>
      </c>
      <c r="I46" s="187">
        <v>8.5000000000000006E-2</v>
      </c>
      <c r="J46" s="187">
        <v>8.5000000000000006E-2</v>
      </c>
      <c r="K46" s="187">
        <v>8.5000000000000006E-2</v>
      </c>
      <c r="L46" s="187">
        <v>8.5000000000000006E-2</v>
      </c>
      <c r="M46" s="187">
        <v>8.5000000000000006E-2</v>
      </c>
      <c r="N46" s="187">
        <v>8.5000000000000006E-2</v>
      </c>
      <c r="O46" s="187">
        <v>8.5000000000000006E-2</v>
      </c>
      <c r="P46" s="187"/>
      <c r="Q46" s="187"/>
      <c r="R46" s="187"/>
      <c r="S46" s="149">
        <f t="shared" si="0"/>
        <v>0.745</v>
      </c>
      <c r="T46" s="476"/>
      <c r="U46" s="468"/>
      <c r="V46" s="483"/>
    </row>
    <row r="47" spans="1:22" ht="33.75" customHeight="1" x14ac:dyDescent="0.25">
      <c r="A47" s="473"/>
      <c r="B47" s="474"/>
      <c r="C47" s="475" t="s">
        <v>351</v>
      </c>
      <c r="D47" s="472" t="s">
        <v>329</v>
      </c>
      <c r="E47" s="472" t="s">
        <v>329</v>
      </c>
      <c r="F47" s="147" t="s">
        <v>19</v>
      </c>
      <c r="G47" s="389">
        <v>0</v>
      </c>
      <c r="H47" s="389">
        <v>0</v>
      </c>
      <c r="I47" s="389">
        <v>0</v>
      </c>
      <c r="J47" s="389">
        <v>0</v>
      </c>
      <c r="K47" s="389">
        <v>0.125</v>
      </c>
      <c r="L47" s="389">
        <v>0.125</v>
      </c>
      <c r="M47" s="389">
        <v>0.125</v>
      </c>
      <c r="N47" s="389">
        <v>0.125</v>
      </c>
      <c r="O47" s="389">
        <v>0.125</v>
      </c>
      <c r="P47" s="389">
        <v>0.125</v>
      </c>
      <c r="Q47" s="389">
        <v>0.125</v>
      </c>
      <c r="R47" s="389">
        <v>0.125</v>
      </c>
      <c r="S47" s="144">
        <f t="shared" si="0"/>
        <v>1</v>
      </c>
      <c r="T47" s="476"/>
      <c r="U47" s="468">
        <v>0.05</v>
      </c>
      <c r="V47" s="482" t="s">
        <v>565</v>
      </c>
    </row>
    <row r="48" spans="1:22" ht="33.75" customHeight="1" x14ac:dyDescent="0.25">
      <c r="A48" s="473"/>
      <c r="B48" s="474"/>
      <c r="C48" s="475"/>
      <c r="D48" s="472"/>
      <c r="E48" s="472"/>
      <c r="F48" s="148" t="s">
        <v>20</v>
      </c>
      <c r="G48" s="187">
        <v>0</v>
      </c>
      <c r="H48" s="187">
        <v>0</v>
      </c>
      <c r="I48" s="187">
        <v>0</v>
      </c>
      <c r="J48" s="187">
        <v>0</v>
      </c>
      <c r="K48" s="187">
        <v>0.125</v>
      </c>
      <c r="L48" s="187">
        <v>0.125</v>
      </c>
      <c r="M48" s="187">
        <v>0.125</v>
      </c>
      <c r="N48" s="187">
        <v>0.125</v>
      </c>
      <c r="O48" s="187">
        <v>0.125</v>
      </c>
      <c r="P48" s="187"/>
      <c r="Q48" s="187"/>
      <c r="R48" s="187"/>
      <c r="S48" s="149">
        <f t="shared" si="0"/>
        <v>0.625</v>
      </c>
      <c r="T48" s="476"/>
      <c r="U48" s="468"/>
      <c r="V48" s="482"/>
    </row>
    <row r="49" spans="1:22" ht="33.75" customHeight="1" x14ac:dyDescent="0.25">
      <c r="A49" s="473"/>
      <c r="B49" s="474"/>
      <c r="C49" s="475" t="s">
        <v>352</v>
      </c>
      <c r="D49" s="472" t="s">
        <v>329</v>
      </c>
      <c r="E49" s="472" t="s">
        <v>329</v>
      </c>
      <c r="F49" s="147" t="s">
        <v>19</v>
      </c>
      <c r="G49" s="389">
        <v>8.3299999999999999E-2</v>
      </c>
      <c r="H49" s="389">
        <v>8.3299999999999999E-2</v>
      </c>
      <c r="I49" s="389">
        <v>8.3299999999999999E-2</v>
      </c>
      <c r="J49" s="389">
        <v>8.3299999999999999E-2</v>
      </c>
      <c r="K49" s="389">
        <v>8.3299999999999999E-2</v>
      </c>
      <c r="L49" s="389">
        <v>8.3299999999999999E-2</v>
      </c>
      <c r="M49" s="389">
        <v>8.3299999999999999E-2</v>
      </c>
      <c r="N49" s="389">
        <v>8.3299999999999999E-2</v>
      </c>
      <c r="O49" s="389">
        <v>8.3299999999999999E-2</v>
      </c>
      <c r="P49" s="389">
        <v>8.3299999999999999E-2</v>
      </c>
      <c r="Q49" s="389">
        <v>8.3299999999999999E-2</v>
      </c>
      <c r="R49" s="389">
        <v>8.3699999999999997E-2</v>
      </c>
      <c r="S49" s="144">
        <f t="shared" si="0"/>
        <v>1</v>
      </c>
      <c r="T49" s="476"/>
      <c r="U49" s="468">
        <v>0.03</v>
      </c>
      <c r="V49" s="482" t="s">
        <v>566</v>
      </c>
    </row>
    <row r="50" spans="1:22" ht="33.75" customHeight="1" x14ac:dyDescent="0.25">
      <c r="A50" s="473"/>
      <c r="B50" s="474"/>
      <c r="C50" s="475"/>
      <c r="D50" s="472"/>
      <c r="E50" s="472"/>
      <c r="F50" s="148" t="s">
        <v>20</v>
      </c>
      <c r="G50" s="187">
        <v>8.3299999999999999E-2</v>
      </c>
      <c r="H50" s="187">
        <v>8.3299999999999999E-2</v>
      </c>
      <c r="I50" s="187">
        <v>8.3299999999999999E-2</v>
      </c>
      <c r="J50" s="187">
        <v>8.3299999999999999E-2</v>
      </c>
      <c r="K50" s="187">
        <v>8.3299999999999999E-2</v>
      </c>
      <c r="L50" s="187">
        <v>8.3299999999999999E-2</v>
      </c>
      <c r="M50" s="187">
        <v>8.3299999999999999E-2</v>
      </c>
      <c r="N50" s="187">
        <v>8.3299999999999999E-2</v>
      </c>
      <c r="O50" s="187">
        <v>8.3299999999999999E-2</v>
      </c>
      <c r="P50" s="187"/>
      <c r="Q50" s="187"/>
      <c r="R50" s="187"/>
      <c r="S50" s="149">
        <f t="shared" si="0"/>
        <v>0.74970000000000003</v>
      </c>
      <c r="T50" s="476"/>
      <c r="U50" s="468"/>
      <c r="V50" s="483"/>
    </row>
    <row r="51" spans="1:22" ht="33.75" customHeight="1" x14ac:dyDescent="0.25">
      <c r="A51" s="473" t="s">
        <v>315</v>
      </c>
      <c r="B51" s="474" t="s">
        <v>353</v>
      </c>
      <c r="C51" s="475" t="s">
        <v>354</v>
      </c>
      <c r="D51" s="472" t="s">
        <v>329</v>
      </c>
      <c r="E51" s="472" t="s">
        <v>329</v>
      </c>
      <c r="F51" s="147" t="s">
        <v>19</v>
      </c>
      <c r="G51" s="389">
        <v>5.2999999999999999E-2</v>
      </c>
      <c r="H51" s="389">
        <v>8.4699999999999998E-2</v>
      </c>
      <c r="I51" s="389">
        <v>9.5299999999999996E-2</v>
      </c>
      <c r="J51" s="389">
        <v>9.5299999999999996E-2</v>
      </c>
      <c r="K51" s="389">
        <v>9.5299999999999996E-2</v>
      </c>
      <c r="L51" s="389">
        <v>8.4699999999999998E-2</v>
      </c>
      <c r="M51" s="389">
        <v>5.2999999999999999E-2</v>
      </c>
      <c r="N51" s="389">
        <v>7.6300000000000007E-2</v>
      </c>
      <c r="O51" s="389">
        <v>9.5299999999999996E-2</v>
      </c>
      <c r="P51" s="389">
        <v>9.5299999999999996E-2</v>
      </c>
      <c r="Q51" s="389">
        <v>9.5299999999999996E-2</v>
      </c>
      <c r="R51" s="389">
        <v>7.6499999999999999E-2</v>
      </c>
      <c r="S51" s="144">
        <f t="shared" si="0"/>
        <v>1</v>
      </c>
      <c r="T51" s="476">
        <v>0.15</v>
      </c>
      <c r="U51" s="468">
        <v>4.4999999999999998E-2</v>
      </c>
      <c r="V51" s="479" t="s">
        <v>552</v>
      </c>
    </row>
    <row r="52" spans="1:22" ht="33.75" customHeight="1" x14ac:dyDescent="0.25">
      <c r="A52" s="473"/>
      <c r="B52" s="474"/>
      <c r="C52" s="475"/>
      <c r="D52" s="472"/>
      <c r="E52" s="472"/>
      <c r="F52" s="148" t="s">
        <v>20</v>
      </c>
      <c r="G52" s="187">
        <v>5.2999999999999999E-2</v>
      </c>
      <c r="H52" s="187">
        <v>0</v>
      </c>
      <c r="I52" s="187">
        <v>0.1</v>
      </c>
      <c r="J52" s="187">
        <v>9.5299999999999996E-2</v>
      </c>
      <c r="K52" s="187">
        <v>0</v>
      </c>
      <c r="L52" s="187">
        <v>8.4699999999999998E-2</v>
      </c>
      <c r="M52" s="187">
        <v>5.2999999999999999E-2</v>
      </c>
      <c r="N52" s="187">
        <v>7.6300000000000007E-2</v>
      </c>
      <c r="O52" s="187">
        <v>0.27060000000000001</v>
      </c>
      <c r="P52" s="187"/>
      <c r="Q52" s="187"/>
      <c r="R52" s="187"/>
      <c r="S52" s="146">
        <f t="shared" si="0"/>
        <v>0.73289999999999988</v>
      </c>
      <c r="T52" s="476"/>
      <c r="U52" s="468"/>
      <c r="V52" s="480"/>
    </row>
    <row r="53" spans="1:22" ht="33.75" customHeight="1" x14ac:dyDescent="0.25">
      <c r="A53" s="473"/>
      <c r="B53" s="474"/>
      <c r="C53" s="475" t="s">
        <v>355</v>
      </c>
      <c r="D53" s="472" t="s">
        <v>329</v>
      </c>
      <c r="E53" s="472" t="s">
        <v>329</v>
      </c>
      <c r="F53" s="147" t="s">
        <v>19</v>
      </c>
      <c r="G53" s="389">
        <v>8.3299999999999999E-2</v>
      </c>
      <c r="H53" s="389">
        <v>8.3299999999999999E-2</v>
      </c>
      <c r="I53" s="389">
        <v>8.3299999999999999E-2</v>
      </c>
      <c r="J53" s="389">
        <v>8.3299999999999999E-2</v>
      </c>
      <c r="K53" s="389">
        <v>8.3299999999999999E-2</v>
      </c>
      <c r="L53" s="389">
        <v>8.3299999999999999E-2</v>
      </c>
      <c r="M53" s="389">
        <v>8.3299999999999999E-2</v>
      </c>
      <c r="N53" s="389">
        <v>8.3299999999999999E-2</v>
      </c>
      <c r="O53" s="389">
        <v>8.3299999999999999E-2</v>
      </c>
      <c r="P53" s="389">
        <v>8.3299999999999999E-2</v>
      </c>
      <c r="Q53" s="389">
        <v>8.3299999999999999E-2</v>
      </c>
      <c r="R53" s="389">
        <v>8.3699999999999997E-2</v>
      </c>
      <c r="S53" s="144">
        <f t="shared" si="0"/>
        <v>1</v>
      </c>
      <c r="T53" s="476"/>
      <c r="U53" s="468">
        <v>0.03</v>
      </c>
      <c r="V53" s="479" t="s">
        <v>553</v>
      </c>
    </row>
    <row r="54" spans="1:22" ht="33.75" customHeight="1" x14ac:dyDescent="0.25">
      <c r="A54" s="473"/>
      <c r="B54" s="474"/>
      <c r="C54" s="475"/>
      <c r="D54" s="472"/>
      <c r="E54" s="472"/>
      <c r="F54" s="148" t="s">
        <v>20</v>
      </c>
      <c r="G54" s="187">
        <v>8.3299999999999999E-2</v>
      </c>
      <c r="H54" s="187">
        <v>0</v>
      </c>
      <c r="I54" s="187">
        <v>0.05</v>
      </c>
      <c r="J54" s="187">
        <v>8.5199999999999998E-2</v>
      </c>
      <c r="K54" s="187">
        <v>8.3299999999999999E-2</v>
      </c>
      <c r="L54" s="187">
        <v>8.3299999999999999E-2</v>
      </c>
      <c r="M54" s="187">
        <v>8.3299999999999999E-2</v>
      </c>
      <c r="N54" s="187">
        <v>8.3299999999999999E-2</v>
      </c>
      <c r="O54" s="187">
        <v>0.28760000000000002</v>
      </c>
      <c r="P54" s="187"/>
      <c r="Q54" s="187"/>
      <c r="R54" s="187"/>
      <c r="S54" s="146">
        <f t="shared" si="0"/>
        <v>0.83929999999999993</v>
      </c>
      <c r="T54" s="476"/>
      <c r="U54" s="468"/>
      <c r="V54" s="480"/>
    </row>
    <row r="55" spans="1:22" ht="33.75" customHeight="1" x14ac:dyDescent="0.25">
      <c r="A55" s="473"/>
      <c r="B55" s="474"/>
      <c r="C55" s="475" t="s">
        <v>356</v>
      </c>
      <c r="D55" s="472" t="s">
        <v>329</v>
      </c>
      <c r="E55" s="472" t="s">
        <v>329</v>
      </c>
      <c r="F55" s="147" t="s">
        <v>19</v>
      </c>
      <c r="G55" s="389">
        <v>4.6699999999999998E-2</v>
      </c>
      <c r="H55" s="389">
        <v>8.4099999999999994E-2</v>
      </c>
      <c r="I55" s="389">
        <v>8.4099999999999994E-2</v>
      </c>
      <c r="J55" s="389">
        <v>9.35E-2</v>
      </c>
      <c r="K55" s="389">
        <v>9.35E-2</v>
      </c>
      <c r="L55" s="389">
        <v>8.4099999999999994E-2</v>
      </c>
      <c r="M55" s="389">
        <v>6.54E-2</v>
      </c>
      <c r="N55" s="389">
        <v>8.4099999999999994E-2</v>
      </c>
      <c r="O55" s="389">
        <v>9.35E-2</v>
      </c>
      <c r="P55" s="389">
        <v>9.35E-2</v>
      </c>
      <c r="Q55" s="389">
        <v>9.35E-2</v>
      </c>
      <c r="R55" s="389">
        <v>8.4000000000000005E-2</v>
      </c>
      <c r="S55" s="144">
        <f t="shared" si="0"/>
        <v>1</v>
      </c>
      <c r="T55" s="476"/>
      <c r="U55" s="468">
        <v>0.03</v>
      </c>
      <c r="V55" s="469" t="s">
        <v>554</v>
      </c>
    </row>
    <row r="56" spans="1:22" ht="33.75" customHeight="1" x14ac:dyDescent="0.25">
      <c r="A56" s="473"/>
      <c r="B56" s="474"/>
      <c r="C56" s="475"/>
      <c r="D56" s="472"/>
      <c r="E56" s="472"/>
      <c r="F56" s="148" t="s">
        <v>20</v>
      </c>
      <c r="G56" s="187">
        <v>4.6699999999999998E-2</v>
      </c>
      <c r="H56" s="187">
        <v>0</v>
      </c>
      <c r="I56" s="187">
        <v>0.08</v>
      </c>
      <c r="J56" s="187">
        <v>0</v>
      </c>
      <c r="K56" s="187">
        <v>9.35E-2</v>
      </c>
      <c r="L56" s="187">
        <v>8.4099999999999994E-2</v>
      </c>
      <c r="M56" s="187">
        <v>6.54E-2</v>
      </c>
      <c r="N56" s="187">
        <v>8.4099999999999994E-2</v>
      </c>
      <c r="O56" s="187">
        <v>0.2752</v>
      </c>
      <c r="P56" s="187"/>
      <c r="Q56" s="187"/>
      <c r="R56" s="187"/>
      <c r="S56" s="146">
        <f t="shared" si="0"/>
        <v>0.72900000000000009</v>
      </c>
      <c r="T56" s="476"/>
      <c r="U56" s="468"/>
      <c r="V56" s="469"/>
    </row>
    <row r="57" spans="1:22" ht="33.75" customHeight="1" x14ac:dyDescent="0.25">
      <c r="A57" s="473"/>
      <c r="B57" s="474"/>
      <c r="C57" s="475" t="s">
        <v>357</v>
      </c>
      <c r="D57" s="472" t="s">
        <v>329</v>
      </c>
      <c r="E57" s="472" t="s">
        <v>329</v>
      </c>
      <c r="F57" s="147" t="s">
        <v>19</v>
      </c>
      <c r="G57" s="389">
        <v>8.3299999999999999E-2</v>
      </c>
      <c r="H57" s="389">
        <v>8.3299999999999999E-2</v>
      </c>
      <c r="I57" s="389">
        <v>8.3299999999999999E-2</v>
      </c>
      <c r="J57" s="389">
        <v>8.3299999999999999E-2</v>
      </c>
      <c r="K57" s="389">
        <v>8.3299999999999999E-2</v>
      </c>
      <c r="L57" s="389">
        <v>8.3299999999999999E-2</v>
      </c>
      <c r="M57" s="389">
        <v>8.3299999999999999E-2</v>
      </c>
      <c r="N57" s="389">
        <v>8.3299999999999999E-2</v>
      </c>
      <c r="O57" s="389">
        <v>8.3299999999999999E-2</v>
      </c>
      <c r="P57" s="389">
        <v>8.3299999999999999E-2</v>
      </c>
      <c r="Q57" s="389">
        <v>8.3299999999999999E-2</v>
      </c>
      <c r="R57" s="389">
        <v>8.3699999999999997E-2</v>
      </c>
      <c r="S57" s="144">
        <f t="shared" si="0"/>
        <v>1</v>
      </c>
      <c r="T57" s="476"/>
      <c r="U57" s="468">
        <v>1.4999999999999999E-2</v>
      </c>
      <c r="V57" s="479" t="s">
        <v>555</v>
      </c>
    </row>
    <row r="58" spans="1:22" ht="33.75" customHeight="1" x14ac:dyDescent="0.25">
      <c r="A58" s="473"/>
      <c r="B58" s="474"/>
      <c r="C58" s="475"/>
      <c r="D58" s="472"/>
      <c r="E58" s="472"/>
      <c r="F58" s="148" t="s">
        <v>20</v>
      </c>
      <c r="G58" s="187">
        <v>8.3299999999999999E-2</v>
      </c>
      <c r="H58" s="187">
        <v>0</v>
      </c>
      <c r="I58" s="187">
        <v>8.3299999999999999E-2</v>
      </c>
      <c r="J58" s="187">
        <v>8.3299999999999999E-2</v>
      </c>
      <c r="K58" s="187">
        <v>8.3299999999999999E-2</v>
      </c>
      <c r="L58" s="187">
        <v>8.3299999999999999E-2</v>
      </c>
      <c r="M58" s="187">
        <v>8.3299999999999999E-2</v>
      </c>
      <c r="N58" s="187">
        <v>8.3299999999999999E-2</v>
      </c>
      <c r="O58" s="187">
        <v>0.16669999999999999</v>
      </c>
      <c r="P58" s="187"/>
      <c r="Q58" s="187"/>
      <c r="R58" s="187"/>
      <c r="S58" s="146">
        <f t="shared" si="0"/>
        <v>0.74979999999999991</v>
      </c>
      <c r="T58" s="476"/>
      <c r="U58" s="468"/>
      <c r="V58" s="480"/>
    </row>
    <row r="59" spans="1:22" ht="33.75" customHeight="1" x14ac:dyDescent="0.25">
      <c r="A59" s="473"/>
      <c r="B59" s="474"/>
      <c r="C59" s="481" t="s">
        <v>358</v>
      </c>
      <c r="D59" s="472" t="s">
        <v>329</v>
      </c>
      <c r="E59" s="472" t="s">
        <v>329</v>
      </c>
      <c r="F59" s="147" t="s">
        <v>19</v>
      </c>
      <c r="G59" s="389">
        <v>5.9200000000000003E-2</v>
      </c>
      <c r="H59" s="389">
        <v>8.8800000000000004E-2</v>
      </c>
      <c r="I59" s="389">
        <v>8.8800000000000004E-2</v>
      </c>
      <c r="J59" s="389">
        <v>8.8800000000000004E-2</v>
      </c>
      <c r="K59" s="389">
        <v>8.8800000000000004E-2</v>
      </c>
      <c r="L59" s="389">
        <v>8.8800000000000004E-2</v>
      </c>
      <c r="M59" s="389">
        <v>8.8800000000000004E-2</v>
      </c>
      <c r="N59" s="389">
        <v>8.8800000000000004E-2</v>
      </c>
      <c r="O59" s="389">
        <v>8.8800000000000004E-2</v>
      </c>
      <c r="P59" s="389">
        <v>8.8800000000000004E-2</v>
      </c>
      <c r="Q59" s="389">
        <v>8.8800000000000004E-2</v>
      </c>
      <c r="R59" s="389">
        <v>5.28E-2</v>
      </c>
      <c r="S59" s="144">
        <f t="shared" si="0"/>
        <v>0.99999999999999989</v>
      </c>
      <c r="T59" s="476"/>
      <c r="U59" s="468">
        <v>0.03</v>
      </c>
      <c r="V59" s="469" t="s">
        <v>556</v>
      </c>
    </row>
    <row r="60" spans="1:22" ht="33.75" customHeight="1" x14ac:dyDescent="0.25">
      <c r="A60" s="473"/>
      <c r="B60" s="474"/>
      <c r="C60" s="481"/>
      <c r="D60" s="472"/>
      <c r="E60" s="472"/>
      <c r="F60" s="148" t="s">
        <v>20</v>
      </c>
      <c r="G60" s="187">
        <v>5.9200000000000003E-2</v>
      </c>
      <c r="H60" s="187">
        <v>8.8800000000000004E-2</v>
      </c>
      <c r="I60" s="187">
        <v>0.13370000000000001</v>
      </c>
      <c r="J60" s="187">
        <v>3.7999999999999999E-2</v>
      </c>
      <c r="K60" s="187">
        <v>8.8800000000000004E-2</v>
      </c>
      <c r="L60" s="187">
        <v>0.17230000000000001</v>
      </c>
      <c r="M60" s="187">
        <v>8.8800000000000004E-2</v>
      </c>
      <c r="N60" s="187">
        <v>3.5799999999999998E-2</v>
      </c>
      <c r="O60" s="187">
        <v>0.16850000000000001</v>
      </c>
      <c r="P60" s="187"/>
      <c r="Q60" s="187"/>
      <c r="R60" s="187"/>
      <c r="S60" s="146">
        <f t="shared" si="0"/>
        <v>0.87390000000000001</v>
      </c>
      <c r="T60" s="476"/>
      <c r="U60" s="468"/>
      <c r="V60" s="469"/>
    </row>
    <row r="61" spans="1:22" ht="33.75" customHeight="1" x14ac:dyDescent="0.25">
      <c r="A61" s="473" t="s">
        <v>315</v>
      </c>
      <c r="B61" s="474" t="s">
        <v>359</v>
      </c>
      <c r="C61" s="475" t="s">
        <v>360</v>
      </c>
      <c r="D61" s="472" t="s">
        <v>329</v>
      </c>
      <c r="E61" s="472" t="s">
        <v>329</v>
      </c>
      <c r="F61" s="147" t="s">
        <v>19</v>
      </c>
      <c r="G61" s="389">
        <v>0.05</v>
      </c>
      <c r="H61" s="389">
        <v>0.05</v>
      </c>
      <c r="I61" s="389">
        <v>0.09</v>
      </c>
      <c r="J61" s="389">
        <v>0.09</v>
      </c>
      <c r="K61" s="389">
        <v>0.09</v>
      </c>
      <c r="L61" s="389">
        <v>0.09</v>
      </c>
      <c r="M61" s="389">
        <v>0.09</v>
      </c>
      <c r="N61" s="389">
        <v>0.09</v>
      </c>
      <c r="O61" s="389">
        <v>0.09</v>
      </c>
      <c r="P61" s="389">
        <v>0.09</v>
      </c>
      <c r="Q61" s="389">
        <v>0.09</v>
      </c>
      <c r="R61" s="389">
        <v>0.09</v>
      </c>
      <c r="S61" s="144">
        <f t="shared" si="0"/>
        <v>0.99999999999999978</v>
      </c>
      <c r="T61" s="476">
        <v>0.1</v>
      </c>
      <c r="U61" s="468">
        <v>3.7499999999999999E-2</v>
      </c>
      <c r="V61" s="469" t="s">
        <v>587</v>
      </c>
    </row>
    <row r="62" spans="1:22" ht="33.75" customHeight="1" x14ac:dyDescent="0.25">
      <c r="A62" s="473"/>
      <c r="B62" s="474"/>
      <c r="C62" s="475"/>
      <c r="D62" s="472"/>
      <c r="E62" s="472"/>
      <c r="F62" s="148" t="s">
        <v>20</v>
      </c>
      <c r="G62" s="187">
        <v>0</v>
      </c>
      <c r="H62" s="187">
        <v>0.05</v>
      </c>
      <c r="I62" s="187">
        <v>0.09</v>
      </c>
      <c r="J62" s="187">
        <v>7.1999999999999998E-3</v>
      </c>
      <c r="K62" s="187">
        <v>5.4199999999999998E-2</v>
      </c>
      <c r="L62" s="187">
        <v>0.09</v>
      </c>
      <c r="M62" s="187">
        <v>0.1142</v>
      </c>
      <c r="N62" s="187">
        <v>8.8999999999999996E-2</v>
      </c>
      <c r="O62" s="187">
        <v>0.23499999999999999</v>
      </c>
      <c r="P62" s="187"/>
      <c r="Q62" s="187"/>
      <c r="R62" s="187"/>
      <c r="S62" s="149">
        <f t="shared" si="0"/>
        <v>0.72959999999999992</v>
      </c>
      <c r="T62" s="476"/>
      <c r="U62" s="468"/>
      <c r="V62" s="470"/>
    </row>
    <row r="63" spans="1:22" ht="33.75" customHeight="1" x14ac:dyDescent="0.25">
      <c r="A63" s="473"/>
      <c r="B63" s="474"/>
      <c r="C63" s="475" t="s">
        <v>361</v>
      </c>
      <c r="D63" s="472" t="s">
        <v>329</v>
      </c>
      <c r="E63" s="472" t="s">
        <v>329</v>
      </c>
      <c r="F63" s="147" t="s">
        <v>19</v>
      </c>
      <c r="G63" s="389">
        <v>0.05</v>
      </c>
      <c r="H63" s="389">
        <v>0.05</v>
      </c>
      <c r="I63" s="389">
        <v>0.09</v>
      </c>
      <c r="J63" s="389">
        <v>0.09</v>
      </c>
      <c r="K63" s="389">
        <v>0.09</v>
      </c>
      <c r="L63" s="389">
        <v>0.09</v>
      </c>
      <c r="M63" s="389">
        <v>0.09</v>
      </c>
      <c r="N63" s="389">
        <v>0.09</v>
      </c>
      <c r="O63" s="389">
        <v>0.09</v>
      </c>
      <c r="P63" s="389">
        <v>0.09</v>
      </c>
      <c r="Q63" s="389">
        <v>0.09</v>
      </c>
      <c r="R63" s="389">
        <v>0.09</v>
      </c>
      <c r="S63" s="144">
        <f t="shared" si="0"/>
        <v>0.99999999999999978</v>
      </c>
      <c r="T63" s="476"/>
      <c r="U63" s="468">
        <v>1.2500000000000001E-2</v>
      </c>
      <c r="V63" s="469" t="s">
        <v>588</v>
      </c>
    </row>
    <row r="64" spans="1:22" ht="33.75" customHeight="1" x14ac:dyDescent="0.25">
      <c r="A64" s="473"/>
      <c r="B64" s="474"/>
      <c r="C64" s="475"/>
      <c r="D64" s="472"/>
      <c r="E64" s="472"/>
      <c r="F64" s="148" t="s">
        <v>20</v>
      </c>
      <c r="G64" s="187">
        <v>0.05</v>
      </c>
      <c r="H64" s="187">
        <v>0.05</v>
      </c>
      <c r="I64" s="187">
        <v>0.09</v>
      </c>
      <c r="J64" s="187">
        <v>0.09</v>
      </c>
      <c r="K64" s="187">
        <v>0.09</v>
      </c>
      <c r="L64" s="187">
        <v>0.09</v>
      </c>
      <c r="M64" s="187">
        <v>0.09</v>
      </c>
      <c r="N64" s="187">
        <v>0.09</v>
      </c>
      <c r="O64" s="187">
        <v>0.09</v>
      </c>
      <c r="P64" s="187"/>
      <c r="Q64" s="187"/>
      <c r="R64" s="187"/>
      <c r="S64" s="149">
        <f t="shared" si="0"/>
        <v>0.72999999999999987</v>
      </c>
      <c r="T64" s="476"/>
      <c r="U64" s="468"/>
      <c r="V64" s="470"/>
    </row>
    <row r="65" spans="1:22" ht="33.75" customHeight="1" x14ac:dyDescent="0.25">
      <c r="A65" s="473"/>
      <c r="B65" s="474"/>
      <c r="C65" s="475" t="s">
        <v>362</v>
      </c>
      <c r="D65" s="472" t="s">
        <v>329</v>
      </c>
      <c r="E65" s="472" t="s">
        <v>329</v>
      </c>
      <c r="F65" s="147" t="s">
        <v>19</v>
      </c>
      <c r="G65" s="389">
        <v>0.05</v>
      </c>
      <c r="H65" s="389">
        <v>0.05</v>
      </c>
      <c r="I65" s="389">
        <v>0.09</v>
      </c>
      <c r="J65" s="389">
        <v>0.09</v>
      </c>
      <c r="K65" s="389">
        <v>0.09</v>
      </c>
      <c r="L65" s="389">
        <v>0.09</v>
      </c>
      <c r="M65" s="389">
        <v>0.09</v>
      </c>
      <c r="N65" s="389">
        <v>0.09</v>
      </c>
      <c r="O65" s="389">
        <v>0.09</v>
      </c>
      <c r="P65" s="389">
        <v>0.09</v>
      </c>
      <c r="Q65" s="389">
        <v>0.09</v>
      </c>
      <c r="R65" s="389">
        <v>0.09</v>
      </c>
      <c r="S65" s="144">
        <f t="shared" si="0"/>
        <v>0.99999999999999978</v>
      </c>
      <c r="T65" s="476"/>
      <c r="U65" s="468">
        <v>3.7499999999999999E-2</v>
      </c>
      <c r="V65" s="477" t="s">
        <v>589</v>
      </c>
    </row>
    <row r="66" spans="1:22" ht="33.75" customHeight="1" x14ac:dyDescent="0.25">
      <c r="A66" s="473"/>
      <c r="B66" s="474"/>
      <c r="C66" s="475"/>
      <c r="D66" s="472"/>
      <c r="E66" s="472"/>
      <c r="F66" s="148" t="s">
        <v>20</v>
      </c>
      <c r="G66" s="187">
        <v>0.05</v>
      </c>
      <c r="H66" s="187">
        <v>0.05</v>
      </c>
      <c r="I66" s="187">
        <v>0.09</v>
      </c>
      <c r="J66" s="187">
        <v>0.09</v>
      </c>
      <c r="K66" s="187">
        <v>0.09</v>
      </c>
      <c r="L66" s="187">
        <v>0.09</v>
      </c>
      <c r="M66" s="187">
        <v>0.09</v>
      </c>
      <c r="N66" s="187">
        <v>0.09</v>
      </c>
      <c r="O66" s="187">
        <v>0.09</v>
      </c>
      <c r="P66" s="187"/>
      <c r="Q66" s="187"/>
      <c r="R66" s="187"/>
      <c r="S66" s="149">
        <f t="shared" si="0"/>
        <v>0.72999999999999987</v>
      </c>
      <c r="T66" s="476"/>
      <c r="U66" s="468"/>
      <c r="V66" s="478"/>
    </row>
    <row r="67" spans="1:22" ht="33.75" customHeight="1" x14ac:dyDescent="0.25">
      <c r="A67" s="473"/>
      <c r="B67" s="474"/>
      <c r="C67" s="475" t="s">
        <v>363</v>
      </c>
      <c r="D67" s="472" t="s">
        <v>329</v>
      </c>
      <c r="E67" s="472" t="s">
        <v>329</v>
      </c>
      <c r="F67" s="147" t="s">
        <v>19</v>
      </c>
      <c r="G67" s="389">
        <v>0.05</v>
      </c>
      <c r="H67" s="389">
        <v>0.05</v>
      </c>
      <c r="I67" s="389">
        <v>0.09</v>
      </c>
      <c r="J67" s="389">
        <v>0.09</v>
      </c>
      <c r="K67" s="389">
        <v>0.09</v>
      </c>
      <c r="L67" s="389">
        <v>0.09</v>
      </c>
      <c r="M67" s="389">
        <v>0.09</v>
      </c>
      <c r="N67" s="389">
        <v>0.09</v>
      </c>
      <c r="O67" s="389">
        <v>0.09</v>
      </c>
      <c r="P67" s="389">
        <v>0.09</v>
      </c>
      <c r="Q67" s="389">
        <v>0.09</v>
      </c>
      <c r="R67" s="389">
        <v>0.09</v>
      </c>
      <c r="S67" s="144">
        <f t="shared" si="0"/>
        <v>0.99999999999999978</v>
      </c>
      <c r="T67" s="476"/>
      <c r="U67" s="468">
        <v>1.2500000000000001E-2</v>
      </c>
      <c r="V67" s="469" t="s">
        <v>590</v>
      </c>
    </row>
    <row r="68" spans="1:22" ht="33.75" customHeight="1" x14ac:dyDescent="0.25">
      <c r="A68" s="473"/>
      <c r="B68" s="474"/>
      <c r="C68" s="475"/>
      <c r="D68" s="472"/>
      <c r="E68" s="472"/>
      <c r="F68" s="148" t="s">
        <v>20</v>
      </c>
      <c r="G68" s="187">
        <v>0.05</v>
      </c>
      <c r="H68" s="187">
        <v>0</v>
      </c>
      <c r="I68" s="187">
        <v>0.09</v>
      </c>
      <c r="J68" s="187">
        <v>0.09</v>
      </c>
      <c r="K68" s="187">
        <v>1.4E-2</v>
      </c>
      <c r="L68" s="187">
        <v>0.09</v>
      </c>
      <c r="M68" s="187">
        <v>5.5E-2</v>
      </c>
      <c r="N68" s="187">
        <v>0.09</v>
      </c>
      <c r="O68" s="187">
        <v>0.251</v>
      </c>
      <c r="P68" s="187"/>
      <c r="Q68" s="187"/>
      <c r="R68" s="187"/>
      <c r="S68" s="149">
        <f t="shared" si="0"/>
        <v>0.73</v>
      </c>
      <c r="T68" s="476"/>
      <c r="U68" s="468"/>
      <c r="V68" s="470"/>
    </row>
    <row r="69" spans="1:22" ht="33.75" customHeight="1" x14ac:dyDescent="0.25">
      <c r="A69" s="471" t="s">
        <v>364</v>
      </c>
      <c r="B69" s="471"/>
      <c r="C69" s="471"/>
      <c r="D69" s="471"/>
      <c r="E69" s="471"/>
      <c r="F69" s="471"/>
      <c r="G69" s="471"/>
      <c r="H69" s="471"/>
      <c r="I69" s="471"/>
      <c r="J69" s="471"/>
      <c r="K69" s="471"/>
      <c r="L69" s="471"/>
      <c r="M69" s="471"/>
      <c r="N69" s="471"/>
      <c r="O69" s="471"/>
      <c r="P69" s="471"/>
      <c r="Q69" s="471"/>
      <c r="R69" s="471"/>
      <c r="S69" s="471"/>
      <c r="T69" s="152">
        <f>SUM(T9:T68)</f>
        <v>1</v>
      </c>
      <c r="U69" s="152">
        <f>SUM(U9:U68)</f>
        <v>1.0000000000000002</v>
      </c>
      <c r="V69" s="153"/>
    </row>
    <row r="70" spans="1:22" ht="19.5" customHeight="1" x14ac:dyDescent="0.25">
      <c r="A70" s="11"/>
      <c r="B70" s="11"/>
      <c r="C70" s="14"/>
      <c r="D70" s="11"/>
      <c r="E70" s="11"/>
      <c r="F70" s="11"/>
      <c r="G70" s="11"/>
      <c r="H70" s="11"/>
      <c r="I70" s="11"/>
      <c r="J70" s="11"/>
      <c r="K70" s="11"/>
      <c r="L70" s="11"/>
      <c r="M70" s="11"/>
      <c r="N70" s="12"/>
      <c r="O70" s="12"/>
      <c r="P70" s="12"/>
      <c r="Q70" s="12"/>
      <c r="R70" s="12"/>
      <c r="S70" s="12"/>
      <c r="T70" s="12"/>
      <c r="U70" s="33"/>
    </row>
    <row r="71" spans="1:22" ht="33.75" customHeight="1" x14ac:dyDescent="0.25">
      <c r="A71" s="11"/>
      <c r="B71" s="393" t="s">
        <v>35</v>
      </c>
      <c r="C71"/>
      <c r="D71"/>
      <c r="E71"/>
      <c r="F71"/>
      <c r="G71"/>
      <c r="H71"/>
      <c r="I71"/>
      <c r="J71"/>
      <c r="K71"/>
      <c r="L71"/>
      <c r="M71"/>
      <c r="N71"/>
      <c r="O71"/>
      <c r="P71"/>
      <c r="Q71" s="12"/>
      <c r="R71" s="12"/>
      <c r="S71" s="12"/>
      <c r="T71" s="12"/>
      <c r="U71" s="12"/>
    </row>
    <row r="72" spans="1:22" ht="33.75" customHeight="1" x14ac:dyDescent="0.25">
      <c r="A72" s="11"/>
      <c r="B72" s="391" t="s">
        <v>36</v>
      </c>
      <c r="C72" s="407" t="s">
        <v>37</v>
      </c>
      <c r="D72" s="407"/>
      <c r="E72" s="407"/>
      <c r="F72" s="407"/>
      <c r="G72" s="407"/>
      <c r="H72" s="407"/>
      <c r="I72" s="407"/>
      <c r="J72" s="420" t="s">
        <v>38</v>
      </c>
      <c r="K72" s="420"/>
      <c r="L72" s="420"/>
      <c r="M72" s="420"/>
      <c r="N72" s="420"/>
      <c r="O72" s="420"/>
      <c r="P72" s="420"/>
      <c r="Q72" s="12"/>
      <c r="R72" s="12"/>
      <c r="S72" s="12"/>
      <c r="T72" s="12"/>
      <c r="U72" s="12"/>
    </row>
    <row r="73" spans="1:22" ht="33.75" customHeight="1" x14ac:dyDescent="0.25">
      <c r="A73" s="11"/>
      <c r="B73" s="392">
        <v>13</v>
      </c>
      <c r="C73" s="466" t="s">
        <v>91</v>
      </c>
      <c r="D73" s="466"/>
      <c r="E73" s="466"/>
      <c r="F73" s="466"/>
      <c r="G73" s="466"/>
      <c r="H73" s="466"/>
      <c r="I73" s="466"/>
      <c r="J73" s="467" t="s">
        <v>82</v>
      </c>
      <c r="K73" s="467"/>
      <c r="L73" s="467"/>
      <c r="M73" s="467"/>
      <c r="N73" s="467"/>
      <c r="O73" s="467"/>
      <c r="P73" s="467"/>
      <c r="Q73" s="12"/>
      <c r="R73" s="12"/>
      <c r="S73" s="12"/>
      <c r="T73" s="12"/>
      <c r="U73" s="12"/>
    </row>
    <row r="74" spans="1:22" ht="33.75" customHeight="1" x14ac:dyDescent="0.25">
      <c r="A74" s="11"/>
      <c r="B74" s="392">
        <v>14</v>
      </c>
      <c r="C74" s="466" t="s">
        <v>603</v>
      </c>
      <c r="D74" s="466"/>
      <c r="E74" s="466"/>
      <c r="F74" s="466"/>
      <c r="G74" s="466"/>
      <c r="H74" s="466"/>
      <c r="I74" s="466"/>
      <c r="J74" s="467" t="s">
        <v>602</v>
      </c>
      <c r="K74" s="467"/>
      <c r="L74" s="467"/>
      <c r="M74" s="467"/>
      <c r="N74" s="467"/>
      <c r="O74" s="467"/>
      <c r="P74" s="467"/>
      <c r="Q74" s="12"/>
      <c r="R74" s="12"/>
      <c r="S74" s="12"/>
      <c r="T74" s="12"/>
      <c r="U74" s="12"/>
    </row>
    <row r="75" spans="1:22" ht="33.75" customHeight="1" x14ac:dyDescent="0.25">
      <c r="A75" s="11"/>
      <c r="B75" s="11"/>
      <c r="C75" s="14"/>
      <c r="D75" s="11"/>
      <c r="E75" s="11"/>
      <c r="F75" s="11"/>
      <c r="G75" s="11"/>
      <c r="H75" s="11"/>
      <c r="I75" s="11"/>
      <c r="J75" s="11"/>
      <c r="K75" s="11"/>
      <c r="L75" s="11"/>
      <c r="M75" s="11"/>
      <c r="N75" s="12"/>
      <c r="O75" s="12"/>
      <c r="P75" s="12"/>
      <c r="Q75" s="12"/>
      <c r="R75" s="12"/>
      <c r="S75" s="12"/>
      <c r="T75" s="12"/>
      <c r="U75" s="12"/>
    </row>
    <row r="76" spans="1:22" ht="33.75" customHeight="1" x14ac:dyDescent="0.25">
      <c r="A76" s="11"/>
      <c r="B76" s="11"/>
      <c r="C76" s="14"/>
      <c r="D76" s="11"/>
      <c r="E76" s="11"/>
      <c r="F76" s="11"/>
      <c r="G76" s="11"/>
      <c r="H76" s="11"/>
      <c r="I76" s="11"/>
      <c r="J76" s="11"/>
      <c r="K76" s="11"/>
      <c r="L76" s="11"/>
      <c r="M76" s="11"/>
      <c r="N76" s="12"/>
      <c r="O76" s="12"/>
      <c r="P76" s="12"/>
      <c r="Q76" s="12"/>
      <c r="R76" s="12"/>
      <c r="S76" s="12"/>
      <c r="T76" s="12"/>
      <c r="U76" s="12"/>
    </row>
    <row r="77" spans="1:22" ht="33.75" customHeight="1" x14ac:dyDescent="0.25">
      <c r="A77" s="11"/>
      <c r="B77" s="11"/>
      <c r="C77" s="14"/>
      <c r="D77" s="11"/>
      <c r="E77" s="11"/>
      <c r="F77" s="11"/>
      <c r="G77" s="11"/>
      <c r="H77" s="11"/>
      <c r="I77" s="11"/>
      <c r="J77" s="11"/>
      <c r="K77" s="11"/>
      <c r="L77" s="11"/>
      <c r="M77" s="11"/>
      <c r="N77" s="12"/>
      <c r="O77" s="12"/>
      <c r="P77" s="12"/>
      <c r="Q77" s="12"/>
      <c r="R77" s="12"/>
      <c r="S77" s="12"/>
      <c r="T77" s="12"/>
      <c r="U77" s="12"/>
    </row>
    <row r="78" spans="1:22" ht="33.75" customHeight="1" x14ac:dyDescent="0.25">
      <c r="A78" s="11"/>
      <c r="B78" s="11"/>
      <c r="C78" s="14"/>
      <c r="D78" s="11"/>
      <c r="E78" s="11"/>
      <c r="F78" s="11"/>
      <c r="G78" s="11"/>
      <c r="H78" s="11"/>
      <c r="I78" s="11"/>
      <c r="J78" s="11"/>
      <c r="K78" s="11"/>
      <c r="L78" s="11"/>
      <c r="M78" s="11"/>
      <c r="N78" s="12"/>
      <c r="O78" s="12"/>
      <c r="P78" s="12"/>
      <c r="Q78" s="12"/>
      <c r="R78" s="12"/>
      <c r="S78" s="12"/>
      <c r="T78" s="12"/>
      <c r="U78" s="12"/>
    </row>
    <row r="79" spans="1:22" ht="33.75" customHeight="1" x14ac:dyDescent="0.25">
      <c r="A79" s="11"/>
      <c r="B79" s="11"/>
      <c r="C79" s="14"/>
      <c r="D79" s="11"/>
      <c r="E79" s="11"/>
      <c r="F79" s="11"/>
      <c r="G79" s="11"/>
      <c r="H79" s="11"/>
      <c r="I79" s="11"/>
      <c r="J79" s="11"/>
      <c r="K79" s="11"/>
      <c r="L79" s="11"/>
      <c r="M79" s="11"/>
      <c r="N79" s="12"/>
      <c r="O79" s="12"/>
      <c r="P79" s="12"/>
      <c r="Q79" s="12"/>
      <c r="R79" s="12"/>
      <c r="S79" s="12"/>
      <c r="T79" s="12"/>
      <c r="U79" s="12"/>
    </row>
    <row r="80" spans="1:22" ht="33.75" customHeight="1" x14ac:dyDescent="0.25">
      <c r="A80" s="11"/>
      <c r="B80" s="11"/>
      <c r="C80" s="14"/>
      <c r="D80" s="11"/>
      <c r="E80" s="11"/>
      <c r="F80" s="11"/>
      <c r="G80" s="11"/>
      <c r="H80" s="11"/>
      <c r="I80" s="11"/>
      <c r="J80" s="11"/>
      <c r="K80" s="11"/>
      <c r="L80" s="11"/>
      <c r="M80" s="11"/>
      <c r="N80" s="12"/>
      <c r="O80" s="12"/>
      <c r="P80" s="12"/>
      <c r="Q80" s="12"/>
      <c r="R80" s="12"/>
      <c r="S80" s="12"/>
      <c r="T80" s="12"/>
      <c r="U80" s="12"/>
    </row>
    <row r="81" spans="1:21" ht="33.75" customHeight="1" x14ac:dyDescent="0.25">
      <c r="A81" s="11"/>
      <c r="B81" s="11"/>
      <c r="C81" s="14"/>
      <c r="D81" s="11"/>
      <c r="E81" s="11"/>
      <c r="F81" s="11"/>
      <c r="G81" s="11"/>
      <c r="H81" s="11"/>
      <c r="I81" s="11"/>
      <c r="J81" s="11"/>
      <c r="K81" s="11"/>
      <c r="L81" s="11"/>
      <c r="M81" s="11"/>
      <c r="N81" s="12"/>
      <c r="O81" s="12"/>
      <c r="P81" s="12"/>
      <c r="Q81" s="12"/>
      <c r="R81" s="12"/>
      <c r="S81" s="12"/>
      <c r="T81" s="12"/>
      <c r="U81" s="12"/>
    </row>
    <row r="82" spans="1:21" ht="33.75" customHeight="1" x14ac:dyDescent="0.25">
      <c r="A82" s="11"/>
      <c r="B82" s="11"/>
      <c r="C82" s="14"/>
      <c r="D82" s="11"/>
      <c r="E82" s="11"/>
      <c r="F82" s="11"/>
      <c r="G82" s="11"/>
      <c r="H82" s="11"/>
      <c r="I82" s="11"/>
      <c r="J82" s="11"/>
      <c r="K82" s="11"/>
      <c r="L82" s="11"/>
      <c r="M82" s="11"/>
      <c r="N82" s="12"/>
      <c r="O82" s="12"/>
      <c r="P82" s="12"/>
      <c r="Q82" s="12"/>
      <c r="R82" s="12"/>
      <c r="S82" s="12"/>
      <c r="T82" s="12"/>
      <c r="U82" s="12"/>
    </row>
    <row r="83" spans="1:21" ht="33.75" customHeight="1" x14ac:dyDescent="0.25">
      <c r="A83" s="11"/>
      <c r="B83" s="11"/>
      <c r="C83" s="14"/>
      <c r="D83" s="11"/>
      <c r="E83" s="11"/>
      <c r="F83" s="11"/>
      <c r="G83" s="11"/>
      <c r="H83" s="11"/>
      <c r="I83" s="11"/>
      <c r="J83" s="11"/>
      <c r="K83" s="11"/>
      <c r="L83" s="11"/>
      <c r="M83" s="11"/>
      <c r="N83" s="12"/>
      <c r="O83" s="12"/>
      <c r="P83" s="12"/>
      <c r="Q83" s="12"/>
      <c r="R83" s="12"/>
      <c r="S83" s="12"/>
      <c r="T83" s="12"/>
      <c r="U83" s="12"/>
    </row>
    <row r="84" spans="1:21" ht="33.75" customHeight="1" x14ac:dyDescent="0.25">
      <c r="A84" s="11"/>
      <c r="B84" s="11"/>
      <c r="C84" s="14"/>
      <c r="D84" s="11"/>
      <c r="E84" s="11"/>
      <c r="F84" s="11"/>
      <c r="G84" s="11"/>
      <c r="H84" s="11"/>
      <c r="I84" s="11"/>
      <c r="J84" s="11"/>
      <c r="K84" s="11"/>
      <c r="L84" s="11"/>
      <c r="M84" s="11"/>
      <c r="N84" s="12"/>
      <c r="O84" s="12"/>
      <c r="P84" s="12"/>
      <c r="Q84" s="12"/>
      <c r="R84" s="12"/>
      <c r="S84" s="12"/>
      <c r="T84" s="12"/>
      <c r="U84" s="12"/>
    </row>
    <row r="85" spans="1:21" ht="33.75" customHeight="1" x14ac:dyDescent="0.25">
      <c r="A85" s="11"/>
      <c r="B85" s="11"/>
      <c r="C85" s="14"/>
      <c r="D85" s="11"/>
      <c r="E85" s="11"/>
      <c r="F85" s="11"/>
      <c r="G85" s="11"/>
      <c r="H85" s="11"/>
      <c r="I85" s="11"/>
      <c r="J85" s="11"/>
      <c r="K85" s="11"/>
      <c r="L85" s="11"/>
      <c r="M85" s="11"/>
      <c r="N85" s="12"/>
      <c r="O85" s="12"/>
      <c r="P85" s="12"/>
      <c r="Q85" s="12"/>
      <c r="R85" s="12"/>
      <c r="S85" s="12"/>
      <c r="T85" s="12"/>
      <c r="U85" s="12"/>
    </row>
    <row r="86" spans="1:21" ht="33.75" customHeight="1" x14ac:dyDescent="0.25">
      <c r="A86" s="11"/>
      <c r="B86" s="11"/>
      <c r="C86" s="14"/>
      <c r="D86" s="11"/>
      <c r="E86" s="11"/>
      <c r="F86" s="11"/>
      <c r="G86" s="11"/>
      <c r="H86" s="11"/>
      <c r="I86" s="11"/>
      <c r="J86" s="11"/>
      <c r="K86" s="11"/>
      <c r="L86" s="11"/>
      <c r="M86" s="11"/>
      <c r="N86" s="12"/>
      <c r="O86" s="12"/>
      <c r="P86" s="12"/>
      <c r="Q86" s="12"/>
      <c r="R86" s="12"/>
      <c r="S86" s="12"/>
      <c r="T86" s="12"/>
      <c r="U86" s="12"/>
    </row>
    <row r="87" spans="1:21" ht="33.75" customHeight="1" x14ac:dyDescent="0.25">
      <c r="A87" s="11"/>
      <c r="B87" s="11"/>
      <c r="C87" s="14"/>
      <c r="D87" s="11"/>
      <c r="E87" s="11"/>
      <c r="F87" s="11"/>
      <c r="G87" s="11"/>
      <c r="H87" s="11"/>
      <c r="I87" s="11"/>
      <c r="J87" s="11"/>
      <c r="K87" s="11"/>
      <c r="L87" s="11"/>
      <c r="M87" s="11"/>
      <c r="N87" s="12"/>
      <c r="O87" s="12"/>
      <c r="P87" s="12"/>
      <c r="Q87" s="12"/>
      <c r="R87" s="12"/>
      <c r="S87" s="12"/>
      <c r="T87" s="12"/>
      <c r="U87" s="12"/>
    </row>
    <row r="88" spans="1:21" ht="33.75" customHeight="1" x14ac:dyDescent="0.25">
      <c r="A88" s="11"/>
      <c r="B88" s="11"/>
      <c r="C88" s="14"/>
      <c r="D88" s="11"/>
      <c r="E88" s="11"/>
      <c r="F88" s="11"/>
      <c r="G88" s="11"/>
      <c r="H88" s="11"/>
      <c r="I88" s="11"/>
      <c r="J88" s="11"/>
      <c r="K88" s="11"/>
      <c r="L88" s="11"/>
      <c r="M88" s="11"/>
      <c r="N88" s="12"/>
      <c r="O88" s="12"/>
      <c r="P88" s="12"/>
      <c r="Q88" s="12"/>
      <c r="R88" s="12"/>
      <c r="S88" s="12"/>
      <c r="T88" s="12"/>
      <c r="U88" s="12"/>
    </row>
    <row r="89" spans="1:21" ht="33.75" customHeight="1" x14ac:dyDescent="0.25">
      <c r="A89" s="11"/>
      <c r="B89" s="11"/>
      <c r="C89" s="14"/>
      <c r="D89" s="11"/>
      <c r="E89" s="11"/>
      <c r="F89" s="11"/>
      <c r="G89" s="11"/>
      <c r="H89" s="11"/>
      <c r="I89" s="11"/>
      <c r="J89" s="11"/>
      <c r="K89" s="11"/>
      <c r="L89" s="11"/>
      <c r="M89" s="11"/>
      <c r="N89" s="12"/>
      <c r="O89" s="12"/>
      <c r="P89" s="12"/>
      <c r="Q89" s="12"/>
      <c r="R89" s="12"/>
      <c r="S89" s="12"/>
      <c r="T89" s="12"/>
      <c r="U89" s="12"/>
    </row>
    <row r="90" spans="1:21" ht="33.75" customHeight="1" x14ac:dyDescent="0.25">
      <c r="A90" s="11"/>
      <c r="B90" s="11"/>
      <c r="C90" s="14"/>
      <c r="D90" s="11"/>
      <c r="E90" s="11"/>
      <c r="F90" s="11"/>
      <c r="G90" s="11"/>
      <c r="H90" s="11"/>
      <c r="I90" s="11"/>
      <c r="J90" s="11"/>
      <c r="K90" s="11"/>
      <c r="L90" s="11"/>
      <c r="M90" s="11"/>
      <c r="N90" s="12"/>
      <c r="O90" s="12"/>
      <c r="P90" s="12"/>
      <c r="Q90" s="12"/>
      <c r="R90" s="12"/>
      <c r="S90" s="12"/>
      <c r="T90" s="12"/>
      <c r="U90" s="12"/>
    </row>
    <row r="91" spans="1:21" ht="33.75" customHeight="1" x14ac:dyDescent="0.25">
      <c r="A91" s="11"/>
      <c r="B91" s="11"/>
      <c r="C91" s="14"/>
      <c r="D91" s="11"/>
      <c r="E91" s="11"/>
      <c r="F91" s="11"/>
      <c r="G91" s="11"/>
      <c r="H91" s="11"/>
      <c r="I91" s="11"/>
      <c r="J91" s="11"/>
      <c r="K91" s="11"/>
      <c r="L91" s="11"/>
      <c r="M91" s="11"/>
      <c r="N91" s="12"/>
      <c r="O91" s="12"/>
      <c r="P91" s="12"/>
      <c r="Q91" s="12"/>
      <c r="R91" s="12"/>
      <c r="S91" s="12"/>
      <c r="T91" s="12"/>
      <c r="U91" s="12"/>
    </row>
    <row r="92" spans="1:21" ht="33.75" customHeight="1" x14ac:dyDescent="0.25">
      <c r="A92" s="11"/>
      <c r="B92" s="11"/>
      <c r="C92" s="14"/>
      <c r="D92" s="11"/>
      <c r="E92" s="11"/>
      <c r="F92" s="11"/>
      <c r="G92" s="11"/>
      <c r="H92" s="11"/>
      <c r="I92" s="11"/>
      <c r="J92" s="11"/>
      <c r="K92" s="11"/>
      <c r="L92" s="11"/>
      <c r="M92" s="11"/>
      <c r="N92" s="12"/>
      <c r="O92" s="12"/>
      <c r="P92" s="12"/>
      <c r="Q92" s="12"/>
      <c r="R92" s="12"/>
      <c r="S92" s="12"/>
      <c r="T92" s="12"/>
      <c r="U92" s="12"/>
    </row>
    <row r="93" spans="1:21" ht="33.75" customHeight="1" x14ac:dyDescent="0.25">
      <c r="A93" s="11"/>
      <c r="B93" s="11"/>
      <c r="C93" s="14"/>
      <c r="D93" s="11"/>
      <c r="E93" s="11"/>
      <c r="F93" s="11"/>
      <c r="G93" s="11"/>
      <c r="H93" s="11"/>
      <c r="I93" s="11"/>
      <c r="J93" s="11"/>
      <c r="K93" s="11"/>
      <c r="L93" s="11"/>
      <c r="M93" s="11"/>
      <c r="N93" s="12"/>
      <c r="O93" s="12"/>
      <c r="P93" s="12"/>
      <c r="Q93" s="12"/>
      <c r="R93" s="12"/>
      <c r="S93" s="12"/>
      <c r="T93" s="12"/>
      <c r="U93" s="12"/>
    </row>
    <row r="94" spans="1:21" ht="33.75" customHeight="1" x14ac:dyDescent="0.25">
      <c r="A94" s="11"/>
      <c r="B94" s="11"/>
      <c r="C94" s="14"/>
      <c r="D94" s="11"/>
      <c r="E94" s="11"/>
      <c r="F94" s="11"/>
      <c r="G94" s="11"/>
      <c r="H94" s="11"/>
      <c r="I94" s="11"/>
      <c r="J94" s="11"/>
      <c r="K94" s="11"/>
      <c r="L94" s="11"/>
      <c r="M94" s="11"/>
      <c r="N94" s="12"/>
      <c r="O94" s="12"/>
      <c r="P94" s="12"/>
      <c r="Q94" s="12"/>
      <c r="R94" s="12"/>
      <c r="S94" s="12"/>
      <c r="T94" s="12"/>
      <c r="U94" s="12"/>
    </row>
    <row r="95" spans="1:21" ht="33.75" customHeight="1" x14ac:dyDescent="0.25">
      <c r="A95" s="11"/>
      <c r="B95" s="11"/>
      <c r="C95" s="14"/>
      <c r="D95" s="11"/>
      <c r="E95" s="11"/>
      <c r="F95" s="11"/>
      <c r="G95" s="11"/>
      <c r="H95" s="11"/>
      <c r="I95" s="11"/>
      <c r="J95" s="11"/>
      <c r="K95" s="11"/>
      <c r="L95" s="11"/>
      <c r="M95" s="11"/>
      <c r="N95" s="12"/>
      <c r="O95" s="12"/>
      <c r="P95" s="12"/>
      <c r="Q95" s="12"/>
      <c r="R95" s="12"/>
      <c r="S95" s="12"/>
      <c r="T95" s="12"/>
      <c r="U95" s="12"/>
    </row>
    <row r="96" spans="1:21" ht="33.75" customHeight="1" x14ac:dyDescent="0.25">
      <c r="A96" s="11"/>
      <c r="B96" s="11"/>
      <c r="C96" s="14"/>
      <c r="D96" s="11"/>
      <c r="E96" s="11"/>
      <c r="F96" s="11"/>
      <c r="G96" s="11"/>
      <c r="H96" s="11"/>
      <c r="I96" s="11"/>
      <c r="J96" s="11"/>
      <c r="K96" s="11"/>
      <c r="L96" s="11"/>
      <c r="M96" s="11"/>
      <c r="N96" s="12"/>
      <c r="O96" s="12"/>
      <c r="P96" s="12"/>
      <c r="Q96" s="12"/>
      <c r="R96" s="12"/>
      <c r="S96" s="12"/>
      <c r="T96" s="12"/>
      <c r="U96" s="12"/>
    </row>
    <row r="97" spans="1:21" ht="33.75" customHeight="1" x14ac:dyDescent="0.25">
      <c r="A97" s="11"/>
      <c r="B97" s="11"/>
      <c r="C97" s="14"/>
      <c r="D97" s="11"/>
      <c r="E97" s="11"/>
      <c r="F97" s="11"/>
      <c r="G97" s="11"/>
      <c r="H97" s="11"/>
      <c r="I97" s="11"/>
      <c r="J97" s="11"/>
      <c r="K97" s="11"/>
      <c r="L97" s="11"/>
      <c r="M97" s="11"/>
      <c r="N97" s="12"/>
      <c r="O97" s="12"/>
      <c r="P97" s="12"/>
      <c r="Q97" s="12"/>
      <c r="R97" s="12"/>
      <c r="S97" s="12"/>
      <c r="T97" s="12"/>
      <c r="U97" s="12"/>
    </row>
    <row r="98" spans="1:21" ht="33.75" customHeight="1" x14ac:dyDescent="0.25">
      <c r="A98" s="11"/>
      <c r="B98" s="11"/>
      <c r="C98" s="14"/>
      <c r="D98" s="11"/>
      <c r="E98" s="11"/>
      <c r="F98" s="11"/>
      <c r="G98" s="11"/>
      <c r="H98" s="11"/>
      <c r="I98" s="11"/>
      <c r="J98" s="11"/>
      <c r="K98" s="11"/>
      <c r="L98" s="11"/>
      <c r="M98" s="11"/>
      <c r="N98" s="12"/>
      <c r="O98" s="12"/>
      <c r="P98" s="12"/>
      <c r="Q98" s="12"/>
      <c r="R98" s="12"/>
      <c r="S98" s="12"/>
      <c r="T98" s="12"/>
      <c r="U98" s="12"/>
    </row>
    <row r="99" spans="1:21" ht="33.75" customHeight="1" x14ac:dyDescent="0.25">
      <c r="A99" s="11"/>
      <c r="B99" s="11"/>
      <c r="C99" s="14"/>
      <c r="D99" s="11"/>
      <c r="E99" s="11"/>
      <c r="F99" s="11"/>
      <c r="G99" s="11"/>
      <c r="H99" s="11"/>
      <c r="I99" s="11"/>
      <c r="J99" s="11"/>
      <c r="K99" s="11"/>
      <c r="L99" s="11"/>
      <c r="M99" s="11"/>
      <c r="N99" s="12"/>
      <c r="O99" s="12"/>
      <c r="P99" s="12"/>
      <c r="Q99" s="12"/>
      <c r="R99" s="12"/>
      <c r="S99" s="12"/>
      <c r="T99" s="12"/>
      <c r="U99" s="12"/>
    </row>
    <row r="100" spans="1:21" ht="33.75" customHeight="1" x14ac:dyDescent="0.25">
      <c r="A100" s="11"/>
      <c r="B100" s="11"/>
      <c r="C100" s="14"/>
      <c r="D100" s="11"/>
      <c r="E100" s="11"/>
      <c r="F100" s="11"/>
      <c r="G100" s="11"/>
      <c r="H100" s="11"/>
      <c r="I100" s="11"/>
      <c r="J100" s="11"/>
      <c r="K100" s="11"/>
      <c r="L100" s="11"/>
      <c r="M100" s="11"/>
      <c r="N100" s="12"/>
      <c r="O100" s="12"/>
      <c r="P100" s="12"/>
      <c r="Q100" s="12"/>
      <c r="R100" s="12"/>
      <c r="S100" s="12"/>
      <c r="T100" s="12"/>
      <c r="U100" s="12"/>
    </row>
    <row r="101" spans="1:21" ht="33.75" customHeight="1" x14ac:dyDescent="0.25">
      <c r="A101" s="11"/>
      <c r="B101" s="11"/>
      <c r="C101" s="14"/>
      <c r="D101" s="11"/>
      <c r="E101" s="11"/>
      <c r="F101" s="11"/>
      <c r="G101" s="11"/>
      <c r="H101" s="11"/>
      <c r="I101" s="11"/>
      <c r="J101" s="11"/>
      <c r="K101" s="11"/>
      <c r="L101" s="11"/>
      <c r="M101" s="11"/>
      <c r="N101" s="12"/>
      <c r="O101" s="12"/>
      <c r="P101" s="12"/>
      <c r="Q101" s="12"/>
      <c r="R101" s="12"/>
      <c r="S101" s="12"/>
      <c r="T101" s="12"/>
      <c r="U101" s="12"/>
    </row>
    <row r="102" spans="1:21" ht="33.75" customHeight="1" x14ac:dyDescent="0.25">
      <c r="A102" s="11"/>
      <c r="B102" s="11"/>
      <c r="C102" s="14"/>
      <c r="D102" s="11"/>
      <c r="E102" s="11"/>
      <c r="F102" s="11"/>
      <c r="G102" s="11"/>
      <c r="H102" s="11"/>
      <c r="I102" s="11"/>
      <c r="J102" s="11"/>
      <c r="K102" s="11"/>
      <c r="L102" s="11"/>
      <c r="M102" s="11"/>
      <c r="N102" s="12"/>
      <c r="O102" s="12"/>
      <c r="P102" s="12"/>
      <c r="Q102" s="12"/>
      <c r="R102" s="12"/>
      <c r="S102" s="12"/>
      <c r="T102" s="12"/>
      <c r="U102" s="12"/>
    </row>
    <row r="103" spans="1:21" ht="33.75" customHeight="1" x14ac:dyDescent="0.25">
      <c r="A103" s="11"/>
      <c r="B103" s="11"/>
      <c r="C103" s="14"/>
      <c r="D103" s="11"/>
      <c r="E103" s="11"/>
      <c r="F103" s="11"/>
      <c r="G103" s="11"/>
      <c r="H103" s="11"/>
      <c r="I103" s="11"/>
      <c r="J103" s="11"/>
      <c r="K103" s="11"/>
      <c r="L103" s="11"/>
      <c r="M103" s="11"/>
      <c r="N103" s="12"/>
      <c r="O103" s="12"/>
      <c r="P103" s="12"/>
      <c r="Q103" s="12"/>
      <c r="R103" s="12"/>
      <c r="S103" s="12"/>
      <c r="T103" s="12"/>
      <c r="U103" s="12"/>
    </row>
    <row r="104" spans="1:21" ht="33.75" customHeight="1" x14ac:dyDescent="0.25">
      <c r="A104" s="11"/>
      <c r="B104" s="11"/>
      <c r="C104" s="14"/>
      <c r="D104" s="11"/>
      <c r="E104" s="11"/>
      <c r="F104" s="11"/>
      <c r="G104" s="11"/>
      <c r="H104" s="11"/>
      <c r="I104" s="11"/>
      <c r="J104" s="11"/>
      <c r="K104" s="11"/>
      <c r="L104" s="11"/>
      <c r="M104" s="11"/>
      <c r="N104" s="12"/>
      <c r="O104" s="12"/>
      <c r="P104" s="12"/>
      <c r="Q104" s="12"/>
      <c r="R104" s="12"/>
      <c r="S104" s="12"/>
      <c r="T104" s="12"/>
      <c r="U104" s="12"/>
    </row>
    <row r="105" spans="1:21" ht="33.75" customHeight="1" x14ac:dyDescent="0.25">
      <c r="A105" s="11"/>
      <c r="B105" s="11"/>
      <c r="C105" s="14"/>
      <c r="D105" s="11"/>
      <c r="E105" s="11"/>
      <c r="F105" s="11"/>
      <c r="G105" s="11"/>
      <c r="H105" s="11"/>
      <c r="I105" s="11"/>
      <c r="J105" s="11"/>
      <c r="K105" s="11"/>
      <c r="L105" s="11"/>
      <c r="M105" s="11"/>
      <c r="N105" s="12"/>
      <c r="O105" s="12"/>
      <c r="P105" s="12"/>
      <c r="Q105" s="12"/>
      <c r="R105" s="12"/>
      <c r="S105" s="12"/>
      <c r="T105" s="12"/>
      <c r="U105" s="12"/>
    </row>
    <row r="106" spans="1:21" ht="33.75" customHeight="1" x14ac:dyDescent="0.25">
      <c r="A106" s="11"/>
      <c r="B106" s="11"/>
      <c r="C106" s="14"/>
      <c r="D106" s="11"/>
      <c r="E106" s="11"/>
      <c r="F106" s="11"/>
      <c r="G106" s="11"/>
      <c r="H106" s="11"/>
      <c r="I106" s="11"/>
      <c r="J106" s="11"/>
      <c r="K106" s="11"/>
      <c r="L106" s="11"/>
      <c r="M106" s="11"/>
      <c r="N106" s="12"/>
      <c r="O106" s="12"/>
      <c r="P106" s="12"/>
      <c r="Q106" s="12"/>
      <c r="R106" s="12"/>
      <c r="S106" s="12"/>
      <c r="T106" s="12"/>
      <c r="U106" s="12"/>
    </row>
    <row r="107" spans="1:21" ht="33.75" customHeight="1" x14ac:dyDescent="0.25">
      <c r="A107" s="11"/>
      <c r="B107" s="11"/>
      <c r="C107" s="14"/>
      <c r="D107" s="11"/>
      <c r="E107" s="11"/>
      <c r="F107" s="11"/>
      <c r="G107" s="11"/>
      <c r="H107" s="11"/>
      <c r="I107" s="11"/>
      <c r="J107" s="11"/>
      <c r="K107" s="11"/>
      <c r="L107" s="11"/>
      <c r="M107" s="11"/>
      <c r="N107" s="12"/>
      <c r="O107" s="12"/>
      <c r="P107" s="12"/>
      <c r="Q107" s="12"/>
      <c r="R107" s="12"/>
      <c r="S107" s="12"/>
      <c r="T107" s="12"/>
      <c r="U107" s="12"/>
    </row>
    <row r="108" spans="1:21" ht="33.75" customHeight="1" x14ac:dyDescent="0.25">
      <c r="A108" s="11"/>
      <c r="B108" s="11"/>
      <c r="C108" s="14"/>
      <c r="D108" s="11"/>
      <c r="E108" s="11"/>
      <c r="F108" s="11"/>
      <c r="G108" s="11"/>
      <c r="H108" s="11"/>
      <c r="I108" s="11"/>
      <c r="J108" s="11"/>
      <c r="K108" s="11"/>
      <c r="L108" s="11"/>
      <c r="M108" s="11"/>
      <c r="N108" s="12"/>
      <c r="O108" s="12"/>
      <c r="P108" s="12"/>
      <c r="Q108" s="12"/>
      <c r="R108" s="12"/>
      <c r="S108" s="12"/>
      <c r="T108" s="12"/>
      <c r="U108" s="12"/>
    </row>
    <row r="109" spans="1:21" ht="33.75" customHeight="1" x14ac:dyDescent="0.25">
      <c r="A109" s="11"/>
      <c r="B109" s="11"/>
      <c r="C109" s="14"/>
      <c r="D109" s="11"/>
      <c r="E109" s="11"/>
      <c r="F109" s="11"/>
      <c r="G109" s="11"/>
      <c r="H109" s="11"/>
      <c r="I109" s="11"/>
      <c r="J109" s="11"/>
      <c r="K109" s="11"/>
      <c r="L109" s="11"/>
      <c r="M109" s="11"/>
      <c r="N109" s="12"/>
      <c r="O109" s="12"/>
      <c r="P109" s="12"/>
      <c r="Q109" s="12"/>
      <c r="R109" s="12"/>
      <c r="S109" s="12"/>
      <c r="T109" s="12"/>
      <c r="U109" s="12"/>
    </row>
    <row r="110" spans="1:21" ht="33.75" customHeight="1" x14ac:dyDescent="0.25">
      <c r="A110" s="11"/>
      <c r="B110" s="11"/>
      <c r="C110" s="14"/>
      <c r="D110" s="11"/>
      <c r="E110" s="11"/>
      <c r="F110" s="11"/>
      <c r="G110" s="11"/>
      <c r="H110" s="11"/>
      <c r="I110" s="11"/>
      <c r="J110" s="11"/>
      <c r="K110" s="11"/>
      <c r="L110" s="11"/>
      <c r="M110" s="11"/>
      <c r="N110" s="12"/>
      <c r="O110" s="12"/>
      <c r="P110" s="12"/>
      <c r="Q110" s="12"/>
      <c r="R110" s="12"/>
      <c r="S110" s="12"/>
      <c r="T110" s="12"/>
      <c r="U110" s="12"/>
    </row>
    <row r="111" spans="1:21" ht="33.75" customHeight="1" x14ac:dyDescent="0.25">
      <c r="A111" s="11"/>
      <c r="B111" s="11"/>
      <c r="C111" s="14"/>
      <c r="D111" s="11"/>
      <c r="E111" s="11"/>
      <c r="F111" s="11"/>
      <c r="G111" s="11"/>
      <c r="H111" s="11"/>
      <c r="I111" s="11"/>
      <c r="J111" s="11"/>
      <c r="K111" s="11"/>
      <c r="L111" s="11"/>
      <c r="M111" s="11"/>
      <c r="N111" s="12"/>
      <c r="O111" s="12"/>
      <c r="P111" s="12"/>
      <c r="Q111" s="12"/>
      <c r="R111" s="12"/>
      <c r="S111" s="12"/>
      <c r="T111" s="12"/>
      <c r="U111" s="12"/>
    </row>
    <row r="112" spans="1:21" ht="33.75" customHeight="1" x14ac:dyDescent="0.25">
      <c r="A112" s="11"/>
      <c r="B112" s="11"/>
      <c r="C112" s="14"/>
      <c r="D112" s="11"/>
      <c r="E112" s="11"/>
      <c r="F112" s="11"/>
      <c r="G112" s="11"/>
      <c r="H112" s="11"/>
      <c r="I112" s="11"/>
      <c r="J112" s="11"/>
      <c r="K112" s="11"/>
      <c r="L112" s="11"/>
      <c r="M112" s="11"/>
      <c r="N112" s="12"/>
      <c r="O112" s="12"/>
      <c r="P112" s="12"/>
      <c r="Q112" s="12"/>
      <c r="R112" s="12"/>
      <c r="S112" s="12"/>
      <c r="T112" s="12"/>
      <c r="U112" s="12"/>
    </row>
    <row r="113" spans="1:21" ht="33.75" customHeight="1" x14ac:dyDescent="0.25">
      <c r="A113" s="11"/>
      <c r="B113" s="11"/>
      <c r="C113" s="14"/>
      <c r="D113" s="11"/>
      <c r="E113" s="11"/>
      <c r="F113" s="11"/>
      <c r="G113" s="11"/>
      <c r="H113" s="11"/>
      <c r="I113" s="11"/>
      <c r="J113" s="11"/>
      <c r="K113" s="11"/>
      <c r="L113" s="11"/>
      <c r="M113" s="11"/>
      <c r="N113" s="12"/>
      <c r="O113" s="12"/>
      <c r="P113" s="12"/>
      <c r="Q113" s="12"/>
      <c r="R113" s="12"/>
      <c r="S113" s="12"/>
      <c r="T113" s="12"/>
      <c r="U113" s="12"/>
    </row>
    <row r="114" spans="1:21" ht="33.75" customHeight="1" x14ac:dyDescent="0.25">
      <c r="A114" s="11"/>
      <c r="B114" s="11"/>
      <c r="C114" s="14"/>
      <c r="D114" s="11"/>
      <c r="E114" s="11"/>
      <c r="F114" s="11"/>
      <c r="G114" s="11"/>
      <c r="H114" s="11"/>
      <c r="I114" s="11"/>
      <c r="J114" s="11"/>
      <c r="K114" s="11"/>
      <c r="L114" s="11"/>
      <c r="M114" s="11"/>
      <c r="N114" s="12"/>
      <c r="O114" s="12"/>
      <c r="P114" s="12"/>
      <c r="Q114" s="12"/>
      <c r="R114" s="12"/>
      <c r="S114" s="12"/>
      <c r="T114" s="12"/>
      <c r="U114" s="12"/>
    </row>
    <row r="115" spans="1:21" ht="33.75" customHeight="1" x14ac:dyDescent="0.25">
      <c r="A115" s="11"/>
      <c r="B115" s="11"/>
      <c r="C115" s="14"/>
      <c r="D115" s="11"/>
      <c r="E115" s="11"/>
      <c r="F115" s="11"/>
      <c r="G115" s="11"/>
      <c r="H115" s="11"/>
      <c r="I115" s="11"/>
      <c r="J115" s="11"/>
      <c r="K115" s="11"/>
      <c r="L115" s="11"/>
      <c r="M115" s="11"/>
      <c r="N115" s="12"/>
      <c r="O115" s="12"/>
      <c r="P115" s="12"/>
      <c r="Q115" s="12"/>
      <c r="R115" s="12"/>
      <c r="S115" s="12"/>
      <c r="T115" s="12"/>
      <c r="U115" s="12"/>
    </row>
    <row r="116" spans="1:21" ht="33.75" customHeight="1" x14ac:dyDescent="0.25">
      <c r="A116" s="11"/>
      <c r="B116" s="11"/>
      <c r="C116" s="14"/>
      <c r="D116" s="11"/>
      <c r="E116" s="11"/>
      <c r="F116" s="11"/>
      <c r="G116" s="11"/>
      <c r="H116" s="11"/>
      <c r="I116" s="11"/>
      <c r="J116" s="11"/>
      <c r="K116" s="11"/>
      <c r="L116" s="11"/>
      <c r="M116" s="11"/>
      <c r="N116" s="12"/>
      <c r="O116" s="12"/>
      <c r="P116" s="12"/>
      <c r="Q116" s="12"/>
      <c r="R116" s="12"/>
      <c r="S116" s="12"/>
      <c r="T116" s="12"/>
      <c r="U116" s="12"/>
    </row>
    <row r="117" spans="1:21" ht="33.75" customHeight="1" x14ac:dyDescent="0.25">
      <c r="A117" s="11"/>
      <c r="B117" s="11"/>
      <c r="C117" s="14"/>
      <c r="D117" s="11"/>
      <c r="E117" s="11"/>
      <c r="F117" s="11"/>
      <c r="G117" s="11"/>
      <c r="H117" s="11"/>
      <c r="I117" s="11"/>
      <c r="J117" s="11"/>
      <c r="K117" s="11"/>
      <c r="L117" s="11"/>
      <c r="M117" s="11"/>
      <c r="N117" s="12"/>
      <c r="O117" s="12"/>
      <c r="P117" s="12"/>
      <c r="Q117" s="12"/>
      <c r="R117" s="12"/>
      <c r="S117" s="12"/>
      <c r="T117" s="12"/>
      <c r="U117" s="12"/>
    </row>
    <row r="118" spans="1:21" ht="33.75" customHeight="1" x14ac:dyDescent="0.25">
      <c r="A118" s="11"/>
      <c r="B118" s="11"/>
      <c r="C118" s="14"/>
      <c r="D118" s="11"/>
      <c r="E118" s="11"/>
      <c r="F118" s="11"/>
      <c r="G118" s="11"/>
      <c r="H118" s="11"/>
      <c r="I118" s="11"/>
      <c r="J118" s="11"/>
      <c r="K118" s="11"/>
      <c r="L118" s="11"/>
      <c r="M118" s="11"/>
      <c r="N118" s="12"/>
      <c r="O118" s="12"/>
      <c r="P118" s="12"/>
      <c r="Q118" s="12"/>
      <c r="R118" s="12"/>
      <c r="S118" s="12"/>
      <c r="T118" s="12"/>
      <c r="U118" s="12"/>
    </row>
    <row r="119" spans="1:21" ht="33.75" customHeight="1" x14ac:dyDescent="0.25">
      <c r="C119" s="14"/>
      <c r="D119" s="11"/>
      <c r="E119" s="11"/>
      <c r="F119" s="11"/>
      <c r="G119" s="11"/>
      <c r="H119" s="11"/>
      <c r="I119" s="11"/>
      <c r="J119" s="11"/>
      <c r="K119" s="11"/>
      <c r="L119" s="11"/>
      <c r="M119" s="11"/>
      <c r="N119" s="12"/>
    </row>
    <row r="120" spans="1:21" ht="33.75" customHeight="1" x14ac:dyDescent="0.25">
      <c r="C120" s="14"/>
      <c r="D120" s="11"/>
      <c r="E120" s="11"/>
      <c r="F120" s="11"/>
      <c r="G120" s="11"/>
      <c r="H120" s="11"/>
      <c r="I120" s="11"/>
      <c r="J120" s="11"/>
      <c r="K120" s="11"/>
      <c r="L120" s="11"/>
      <c r="M120" s="11"/>
      <c r="N120" s="12"/>
    </row>
    <row r="121" spans="1:21" ht="33.75" customHeight="1" x14ac:dyDescent="0.25">
      <c r="C121" s="14"/>
      <c r="D121" s="11"/>
      <c r="E121" s="11"/>
      <c r="F121" s="11"/>
      <c r="G121" s="11"/>
      <c r="H121" s="11"/>
      <c r="I121" s="11"/>
      <c r="J121" s="11"/>
      <c r="K121" s="11"/>
      <c r="L121" s="11"/>
      <c r="M121" s="11"/>
      <c r="N121" s="12"/>
    </row>
    <row r="122" spans="1:21" ht="33.75" customHeight="1" x14ac:dyDescent="0.25">
      <c r="C122" s="14"/>
      <c r="D122" s="11"/>
      <c r="E122" s="11"/>
      <c r="F122" s="11"/>
      <c r="G122" s="11"/>
      <c r="H122" s="11"/>
      <c r="I122" s="11"/>
      <c r="J122" s="11"/>
      <c r="K122" s="11"/>
      <c r="L122" s="11"/>
      <c r="M122" s="11"/>
      <c r="N122" s="12"/>
    </row>
  </sheetData>
  <mergeCells count="194">
    <mergeCell ref="D37:D38"/>
    <mergeCell ref="C13:C14"/>
    <mergeCell ref="D13:D14"/>
    <mergeCell ref="E57:E58"/>
    <mergeCell ref="E67:E68"/>
    <mergeCell ref="U37:U38"/>
    <mergeCell ref="V19:V20"/>
    <mergeCell ref="T21:T26"/>
    <mergeCell ref="D31:D32"/>
    <mergeCell ref="D33:D34"/>
    <mergeCell ref="U27:U28"/>
    <mergeCell ref="V21:V22"/>
    <mergeCell ref="U33:U34"/>
    <mergeCell ref="U35:U36"/>
    <mergeCell ref="V29:V30"/>
    <mergeCell ref="V31:V32"/>
    <mergeCell ref="C25:C26"/>
    <mergeCell ref="D11:D12"/>
    <mergeCell ref="D17:D18"/>
    <mergeCell ref="E11:E12"/>
    <mergeCell ref="E13:E14"/>
    <mergeCell ref="E15:E16"/>
    <mergeCell ref="E17:E18"/>
    <mergeCell ref="E19:E20"/>
    <mergeCell ref="C31:C32"/>
    <mergeCell ref="A1:C3"/>
    <mergeCell ref="D1:V1"/>
    <mergeCell ref="D2:V2"/>
    <mergeCell ref="C7:C8"/>
    <mergeCell ref="D7:E7"/>
    <mergeCell ref="F7:S7"/>
    <mergeCell ref="A5:C5"/>
    <mergeCell ref="D4:V4"/>
    <mergeCell ref="D5:V5"/>
    <mergeCell ref="A4:C4"/>
    <mergeCell ref="A7:A8"/>
    <mergeCell ref="B7:B8"/>
    <mergeCell ref="D3:U3"/>
    <mergeCell ref="A6:V6"/>
    <mergeCell ref="T7:U7"/>
    <mergeCell ref="V7:V8"/>
    <mergeCell ref="U39:U40"/>
    <mergeCell ref="D39:D40"/>
    <mergeCell ref="D35:D36"/>
    <mergeCell ref="C37:C38"/>
    <mergeCell ref="C39:C40"/>
    <mergeCell ref="C33:C34"/>
    <mergeCell ref="C35:C36"/>
    <mergeCell ref="B9:B20"/>
    <mergeCell ref="E31:E32"/>
    <mergeCell ref="D27:D28"/>
    <mergeCell ref="D29:D30"/>
    <mergeCell ref="E21:E22"/>
    <mergeCell ref="D23:D24"/>
    <mergeCell ref="C9:C10"/>
    <mergeCell ref="U9:U10"/>
    <mergeCell ref="U19:U20"/>
    <mergeCell ref="U15:U16"/>
    <mergeCell ref="T9:T20"/>
    <mergeCell ref="U17:U18"/>
    <mergeCell ref="U11:U12"/>
    <mergeCell ref="U13:U14"/>
    <mergeCell ref="C15:C16"/>
    <mergeCell ref="C19:C20"/>
    <mergeCell ref="D19:D20"/>
    <mergeCell ref="A9:A20"/>
    <mergeCell ref="V17:V18"/>
    <mergeCell ref="A21:A26"/>
    <mergeCell ref="D21:D22"/>
    <mergeCell ref="U21:U22"/>
    <mergeCell ref="U23:U24"/>
    <mergeCell ref="V23:V24"/>
    <mergeCell ref="U25:U26"/>
    <mergeCell ref="V25:V26"/>
    <mergeCell ref="V15:V16"/>
    <mergeCell ref="V9:V10"/>
    <mergeCell ref="V13:V14"/>
    <mergeCell ref="V11:V12"/>
    <mergeCell ref="D15:D16"/>
    <mergeCell ref="E23:E24"/>
    <mergeCell ref="D25:D26"/>
    <mergeCell ref="E25:E26"/>
    <mergeCell ref="C17:C18"/>
    <mergeCell ref="C11:C12"/>
    <mergeCell ref="B21:B26"/>
    <mergeCell ref="C21:C22"/>
    <mergeCell ref="D9:D10"/>
    <mergeCell ref="E9:E10"/>
    <mergeCell ref="C23:C24"/>
    <mergeCell ref="A27:A36"/>
    <mergeCell ref="B27:B36"/>
    <mergeCell ref="T27:T36"/>
    <mergeCell ref="V27:V28"/>
    <mergeCell ref="U29:U30"/>
    <mergeCell ref="E33:E34"/>
    <mergeCell ref="V33:V34"/>
    <mergeCell ref="E35:E36"/>
    <mergeCell ref="V35:V36"/>
    <mergeCell ref="U31:U32"/>
    <mergeCell ref="C27:C28"/>
    <mergeCell ref="C29:C30"/>
    <mergeCell ref="E27:E28"/>
    <mergeCell ref="E29:E30"/>
    <mergeCell ref="A37:A40"/>
    <mergeCell ref="B37:B40"/>
    <mergeCell ref="E37:E38"/>
    <mergeCell ref="T37:T40"/>
    <mergeCell ref="V37:V38"/>
    <mergeCell ref="E39:E40"/>
    <mergeCell ref="V39:V40"/>
    <mergeCell ref="A41:A50"/>
    <mergeCell ref="B41:B50"/>
    <mergeCell ref="C41:C42"/>
    <mergeCell ref="D41:D42"/>
    <mergeCell ref="E41:E42"/>
    <mergeCell ref="T41:T50"/>
    <mergeCell ref="U41:U42"/>
    <mergeCell ref="V41:V42"/>
    <mergeCell ref="C43:C44"/>
    <mergeCell ref="D43:D44"/>
    <mergeCell ref="E43:E44"/>
    <mergeCell ref="U43:U44"/>
    <mergeCell ref="V43:V44"/>
    <mergeCell ref="C45:C46"/>
    <mergeCell ref="D45:D46"/>
    <mergeCell ref="E45:E46"/>
    <mergeCell ref="U45:U46"/>
    <mergeCell ref="V45:V46"/>
    <mergeCell ref="C47:C48"/>
    <mergeCell ref="D47:D48"/>
    <mergeCell ref="E47:E48"/>
    <mergeCell ref="U47:U48"/>
    <mergeCell ref="V47:V48"/>
    <mergeCell ref="C49:C50"/>
    <mergeCell ref="D49:D50"/>
    <mergeCell ref="E49:E50"/>
    <mergeCell ref="U49:U50"/>
    <mergeCell ref="V49:V50"/>
    <mergeCell ref="A51:A60"/>
    <mergeCell ref="B51:B60"/>
    <mergeCell ref="C51:C52"/>
    <mergeCell ref="D51:D52"/>
    <mergeCell ref="E51:E52"/>
    <mergeCell ref="T51:T60"/>
    <mergeCell ref="U51:U52"/>
    <mergeCell ref="V51:V52"/>
    <mergeCell ref="C53:C54"/>
    <mergeCell ref="D53:D54"/>
    <mergeCell ref="E53:E54"/>
    <mergeCell ref="U53:U54"/>
    <mergeCell ref="V53:V54"/>
    <mergeCell ref="C55:C56"/>
    <mergeCell ref="D55:D56"/>
    <mergeCell ref="E55:E56"/>
    <mergeCell ref="U55:U56"/>
    <mergeCell ref="V55:V56"/>
    <mergeCell ref="C57:C58"/>
    <mergeCell ref="D57:D58"/>
    <mergeCell ref="U57:U58"/>
    <mergeCell ref="V57:V58"/>
    <mergeCell ref="C59:C60"/>
    <mergeCell ref="D59:D60"/>
    <mergeCell ref="E59:E60"/>
    <mergeCell ref="U59:U60"/>
    <mergeCell ref="V59:V60"/>
    <mergeCell ref="A61:A68"/>
    <mergeCell ref="B61:B68"/>
    <mergeCell ref="C61:C62"/>
    <mergeCell ref="D61:D62"/>
    <mergeCell ref="E61:E62"/>
    <mergeCell ref="T61:T68"/>
    <mergeCell ref="U61:U62"/>
    <mergeCell ref="V61:V62"/>
    <mergeCell ref="C63:C64"/>
    <mergeCell ref="D63:D64"/>
    <mergeCell ref="E63:E64"/>
    <mergeCell ref="U63:U64"/>
    <mergeCell ref="V63:V64"/>
    <mergeCell ref="C65:C66"/>
    <mergeCell ref="D65:D66"/>
    <mergeCell ref="E65:E66"/>
    <mergeCell ref="U65:U66"/>
    <mergeCell ref="V65:V66"/>
    <mergeCell ref="C67:C68"/>
    <mergeCell ref="D67:D68"/>
    <mergeCell ref="C72:I72"/>
    <mergeCell ref="J72:P72"/>
    <mergeCell ref="C73:I73"/>
    <mergeCell ref="J73:P73"/>
    <mergeCell ref="C74:I74"/>
    <mergeCell ref="J74:P74"/>
    <mergeCell ref="U67:U68"/>
    <mergeCell ref="V67:V68"/>
    <mergeCell ref="A69:S69"/>
  </mergeCells>
  <printOptions horizontalCentered="1" verticalCentered="1"/>
  <pageMargins left="0" right="0" top="0.55118110236220474" bottom="0" header="0.31496062992125984" footer="0"/>
  <pageSetup scale="35" fitToHeight="0" orientation="landscape"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2664B5-C66B-4CC0-900E-8A09E3A3E683}">
  <dimension ref="A1:BC1616"/>
  <sheetViews>
    <sheetView zoomScale="50" zoomScaleNormal="50" workbookViewId="0">
      <selection activeCell="O17" sqref="O17"/>
    </sheetView>
  </sheetViews>
  <sheetFormatPr baseColWidth="10" defaultRowHeight="15" x14ac:dyDescent="0.25"/>
  <cols>
    <col min="2" max="2" width="23" customWidth="1"/>
    <col min="3" max="3" width="25.42578125" customWidth="1"/>
    <col min="4" max="4" width="14.7109375" customWidth="1"/>
    <col min="5" max="5" width="30.140625" customWidth="1"/>
    <col min="6" max="6" width="20.7109375" style="263" customWidth="1"/>
    <col min="7" max="7" width="15.7109375" customWidth="1"/>
    <col min="8" max="8" width="19.140625" customWidth="1"/>
    <col min="9" max="9" width="23.140625" customWidth="1"/>
    <col min="10" max="11" width="15.7109375" customWidth="1"/>
    <col min="12" max="12" width="16.85546875" customWidth="1"/>
    <col min="13" max="13" width="22.5703125" customWidth="1"/>
    <col min="14" max="14" width="15.7109375" customWidth="1"/>
    <col min="15" max="15" width="20.140625" bestFit="1" customWidth="1"/>
    <col min="16" max="17" width="15.7109375" customWidth="1"/>
    <col min="18" max="18" width="5.42578125" customWidth="1"/>
    <col min="19" max="19" width="23.7109375" customWidth="1"/>
    <col min="20" max="24" width="15.7109375" customWidth="1"/>
    <col min="25" max="25" width="0.5703125" customWidth="1"/>
    <col min="26" max="27" width="15.7109375" customWidth="1"/>
    <col min="28" max="28" width="25.140625" customWidth="1"/>
    <col min="29" max="29" width="15.7109375" customWidth="1"/>
    <col min="30" max="30" width="15.7109375" style="52" customWidth="1"/>
    <col min="31" max="31" width="15.7109375" customWidth="1"/>
    <col min="32" max="32" width="23.42578125" customWidth="1"/>
    <col min="33" max="33" width="18.7109375" customWidth="1"/>
    <col min="34" max="35" width="15.7109375" customWidth="1"/>
    <col min="36" max="36" width="34.28515625" customWidth="1"/>
    <col min="37" max="37" width="21.42578125" customWidth="1"/>
    <col min="38" max="38" width="15.7109375" customWidth="1"/>
    <col min="39" max="39" width="18.7109375" customWidth="1"/>
    <col min="40" max="40" width="15.42578125" customWidth="1"/>
    <col min="49" max="49" width="14.7109375" customWidth="1"/>
    <col min="50" max="50" width="22" customWidth="1"/>
    <col min="51" max="51" width="24.28515625" customWidth="1"/>
  </cols>
  <sheetData>
    <row r="1" spans="1:55" s="154" customFormat="1" ht="26.25" x14ac:dyDescent="0.4">
      <c r="A1" s="559"/>
      <c r="B1" s="560"/>
      <c r="C1" s="560"/>
      <c r="D1" s="560"/>
      <c r="E1" s="565" t="s">
        <v>39</v>
      </c>
      <c r="F1" s="565"/>
      <c r="G1" s="565"/>
      <c r="H1" s="565"/>
      <c r="I1" s="565"/>
      <c r="J1" s="565"/>
      <c r="K1" s="565"/>
      <c r="L1" s="565"/>
      <c r="M1" s="565"/>
      <c r="N1" s="565"/>
      <c r="O1" s="565"/>
      <c r="P1" s="565"/>
      <c r="Q1" s="565"/>
      <c r="R1" s="565"/>
      <c r="S1" s="565"/>
      <c r="T1" s="565"/>
      <c r="U1" s="565"/>
      <c r="V1" s="565"/>
      <c r="W1" s="565"/>
      <c r="X1" s="565"/>
      <c r="Y1" s="565"/>
      <c r="Z1" s="565"/>
      <c r="AA1" s="565"/>
      <c r="AB1" s="565"/>
      <c r="AC1" s="565"/>
      <c r="AD1" s="565"/>
      <c r="AE1" s="565"/>
      <c r="AF1" s="565"/>
      <c r="AG1" s="565"/>
      <c r="AH1" s="565"/>
      <c r="AI1" s="565"/>
      <c r="AJ1" s="565"/>
      <c r="AK1" s="565"/>
      <c r="AL1" s="565"/>
      <c r="AM1" s="565"/>
      <c r="AN1" s="565"/>
      <c r="AO1" s="565"/>
      <c r="AP1" s="565"/>
      <c r="AQ1" s="565"/>
      <c r="AR1" s="565"/>
      <c r="AS1" s="565"/>
      <c r="AT1" s="565"/>
      <c r="AU1" s="565"/>
      <c r="AV1" s="565"/>
      <c r="AW1" s="565"/>
      <c r="AX1" s="565"/>
      <c r="AY1" s="565"/>
    </row>
    <row r="2" spans="1:55" s="154" customFormat="1" ht="27" thickBot="1" x14ac:dyDescent="0.45">
      <c r="A2" s="561"/>
      <c r="B2" s="419"/>
      <c r="C2" s="419"/>
      <c r="D2" s="419"/>
      <c r="E2" s="566" t="s">
        <v>263</v>
      </c>
      <c r="F2" s="566"/>
      <c r="G2" s="566"/>
      <c r="H2" s="566"/>
      <c r="I2" s="566"/>
      <c r="J2" s="566"/>
      <c r="K2" s="566"/>
      <c r="L2" s="566"/>
      <c r="M2" s="566"/>
      <c r="N2" s="566"/>
      <c r="O2" s="566"/>
      <c r="P2" s="566"/>
      <c r="Q2" s="566"/>
      <c r="R2" s="566"/>
      <c r="S2" s="566"/>
      <c r="T2" s="566"/>
      <c r="U2" s="566"/>
      <c r="V2" s="566"/>
      <c r="W2" s="566"/>
      <c r="X2" s="566"/>
      <c r="Y2" s="566"/>
      <c r="Z2" s="566"/>
      <c r="AA2" s="566"/>
      <c r="AB2" s="566"/>
      <c r="AC2" s="566"/>
      <c r="AD2" s="566"/>
      <c r="AE2" s="566"/>
      <c r="AF2" s="566"/>
      <c r="AG2" s="566"/>
      <c r="AH2" s="566"/>
      <c r="AI2" s="566"/>
      <c r="AJ2" s="566"/>
      <c r="AK2" s="566"/>
      <c r="AL2" s="566"/>
      <c r="AM2" s="566"/>
      <c r="AN2" s="566"/>
      <c r="AO2" s="566"/>
      <c r="AP2" s="566"/>
      <c r="AQ2" s="566"/>
      <c r="AR2" s="566"/>
      <c r="AS2" s="566"/>
      <c r="AT2" s="566"/>
      <c r="AU2" s="566"/>
      <c r="AV2" s="566"/>
      <c r="AW2" s="566"/>
      <c r="AX2" s="566"/>
      <c r="AY2" s="566"/>
    </row>
    <row r="3" spans="1:55" ht="16.5" thickBot="1" x14ac:dyDescent="0.3">
      <c r="A3" s="561"/>
      <c r="B3" s="419"/>
      <c r="C3" s="419"/>
      <c r="D3" s="419"/>
      <c r="E3" s="567" t="s">
        <v>40</v>
      </c>
      <c r="F3" s="568"/>
      <c r="G3" s="568"/>
      <c r="H3" s="568"/>
      <c r="I3" s="568"/>
      <c r="J3" s="568"/>
      <c r="K3" s="568"/>
      <c r="L3" s="568"/>
      <c r="M3" s="568"/>
      <c r="N3" s="568"/>
      <c r="O3" s="568"/>
      <c r="P3" s="568"/>
      <c r="Q3" s="568"/>
      <c r="R3" s="568"/>
      <c r="S3" s="568"/>
      <c r="T3" s="568"/>
      <c r="U3" s="568"/>
      <c r="V3" s="568"/>
      <c r="W3" s="568"/>
      <c r="X3" s="568"/>
      <c r="Y3" s="568"/>
      <c r="Z3" s="568"/>
      <c r="AA3" s="568"/>
      <c r="AB3" s="568"/>
      <c r="AC3" s="568"/>
      <c r="AD3" s="569"/>
      <c r="AE3" s="570" t="s">
        <v>264</v>
      </c>
      <c r="AF3" s="571"/>
      <c r="AG3" s="571"/>
      <c r="AH3" s="571"/>
      <c r="AI3" s="571"/>
      <c r="AJ3" s="571"/>
      <c r="AK3" s="571"/>
      <c r="AL3" s="571"/>
      <c r="AM3" s="571"/>
      <c r="AN3" s="571"/>
      <c r="AO3" s="571"/>
      <c r="AP3" s="571"/>
      <c r="AQ3" s="571"/>
      <c r="AR3" s="571"/>
      <c r="AS3" s="571"/>
      <c r="AT3" s="571"/>
      <c r="AU3" s="571"/>
      <c r="AV3" s="571"/>
      <c r="AW3" s="571"/>
      <c r="AX3" s="571"/>
      <c r="AY3" s="572"/>
    </row>
    <row r="4" spans="1:55" ht="18.75" thickBot="1" x14ac:dyDescent="0.3">
      <c r="A4" s="562" t="s">
        <v>0</v>
      </c>
      <c r="B4" s="563"/>
      <c r="C4" s="563"/>
      <c r="D4" s="564"/>
      <c r="E4" s="573" t="s">
        <v>325</v>
      </c>
      <c r="F4" s="573"/>
      <c r="G4" s="574"/>
      <c r="H4" s="574"/>
      <c r="I4" s="574"/>
      <c r="J4" s="574"/>
      <c r="K4" s="574"/>
      <c r="L4" s="574"/>
      <c r="M4" s="574"/>
      <c r="N4" s="574"/>
      <c r="O4" s="574"/>
      <c r="P4" s="574"/>
      <c r="Q4" s="574"/>
      <c r="R4" s="574"/>
      <c r="S4" s="574"/>
      <c r="T4" s="574"/>
      <c r="U4" s="574"/>
      <c r="V4" s="574"/>
      <c r="W4" s="574"/>
      <c r="X4" s="574"/>
      <c r="Y4" s="574"/>
      <c r="Z4" s="574"/>
      <c r="AA4" s="574"/>
      <c r="AB4" s="574"/>
      <c r="AC4" s="574"/>
      <c r="AD4" s="574"/>
      <c r="AE4" s="574"/>
      <c r="AF4" s="574"/>
      <c r="AG4" s="574"/>
      <c r="AH4" s="574"/>
      <c r="AI4" s="574"/>
      <c r="AJ4" s="574"/>
      <c r="AK4" s="574"/>
      <c r="AL4" s="574"/>
      <c r="AM4" s="574"/>
      <c r="AN4" s="574"/>
      <c r="AO4" s="574"/>
      <c r="AP4" s="574"/>
      <c r="AQ4" s="574"/>
      <c r="AR4" s="574"/>
      <c r="AS4" s="574"/>
      <c r="AT4" s="574"/>
      <c r="AU4" s="574"/>
      <c r="AV4" s="574"/>
      <c r="AW4" s="574"/>
      <c r="AX4" s="574"/>
      <c r="AY4" s="575"/>
    </row>
    <row r="5" spans="1:55" ht="18.75" thickBot="1" x14ac:dyDescent="0.3">
      <c r="A5" s="576" t="s">
        <v>2</v>
      </c>
      <c r="B5" s="577"/>
      <c r="C5" s="577"/>
      <c r="D5" s="578"/>
      <c r="E5" s="546" t="s">
        <v>326</v>
      </c>
      <c r="F5" s="546"/>
      <c r="G5" s="547"/>
      <c r="H5" s="547"/>
      <c r="I5" s="547"/>
      <c r="J5" s="547"/>
      <c r="K5" s="547"/>
      <c r="L5" s="547"/>
      <c r="M5" s="547"/>
      <c r="N5" s="547"/>
      <c r="O5" s="547"/>
      <c r="P5" s="547"/>
      <c r="Q5" s="547"/>
      <c r="R5" s="547"/>
      <c r="S5" s="547"/>
      <c r="T5" s="547"/>
      <c r="U5" s="547"/>
      <c r="V5" s="547"/>
      <c r="W5" s="547"/>
      <c r="X5" s="547"/>
      <c r="Y5" s="547"/>
      <c r="Z5" s="547"/>
      <c r="AA5" s="547"/>
      <c r="AB5" s="547"/>
      <c r="AC5" s="547"/>
      <c r="AD5" s="547"/>
      <c r="AE5" s="547"/>
      <c r="AF5" s="547"/>
      <c r="AG5" s="547"/>
      <c r="AH5" s="547"/>
      <c r="AI5" s="547"/>
      <c r="AJ5" s="547"/>
      <c r="AK5" s="547"/>
      <c r="AL5" s="547"/>
      <c r="AM5" s="547"/>
      <c r="AN5" s="547"/>
      <c r="AO5" s="547"/>
      <c r="AP5" s="547"/>
      <c r="AQ5" s="547"/>
      <c r="AR5" s="547"/>
      <c r="AS5" s="547"/>
      <c r="AT5" s="547"/>
      <c r="AU5" s="547"/>
      <c r="AV5" s="547"/>
      <c r="AW5" s="547"/>
      <c r="AX5" s="547"/>
      <c r="AY5" s="548"/>
    </row>
    <row r="6" spans="1:55" ht="18.75" thickBot="1" x14ac:dyDescent="0.3">
      <c r="A6" s="579" t="s">
        <v>21</v>
      </c>
      <c r="B6" s="580"/>
      <c r="C6" s="580"/>
      <c r="D6" s="581"/>
      <c r="E6" s="549" t="s">
        <v>600</v>
      </c>
      <c r="F6" s="549"/>
      <c r="G6" s="549"/>
      <c r="H6" s="549"/>
      <c r="I6" s="549"/>
      <c r="J6" s="549"/>
      <c r="K6" s="549"/>
      <c r="L6" s="549"/>
      <c r="M6" s="549"/>
      <c r="N6" s="549"/>
      <c r="O6" s="549"/>
      <c r="P6" s="549"/>
      <c r="Q6" s="549"/>
      <c r="R6" s="550"/>
      <c r="S6" s="550"/>
      <c r="T6" s="550"/>
      <c r="U6" s="550"/>
      <c r="V6" s="550"/>
      <c r="W6" s="550"/>
      <c r="X6" s="550"/>
      <c r="Y6" s="550"/>
      <c r="Z6" s="550"/>
      <c r="AA6" s="550"/>
      <c r="AB6" s="550"/>
      <c r="AC6" s="550"/>
      <c r="AD6" s="550"/>
      <c r="AE6" s="550"/>
      <c r="AF6" s="550"/>
      <c r="AG6" s="550"/>
      <c r="AH6" s="550"/>
      <c r="AI6" s="550"/>
      <c r="AJ6" s="550"/>
      <c r="AK6" s="550"/>
      <c r="AL6" s="550"/>
      <c r="AM6" s="550"/>
      <c r="AN6" s="550"/>
      <c r="AO6" s="550"/>
      <c r="AP6" s="550"/>
      <c r="AQ6" s="550"/>
      <c r="AR6" s="550"/>
      <c r="AS6" s="550"/>
      <c r="AT6" s="550"/>
      <c r="AU6" s="550"/>
      <c r="AV6" s="550"/>
      <c r="AW6" s="550"/>
      <c r="AX6" s="550"/>
      <c r="AY6" s="551"/>
    </row>
    <row r="7" spans="1:55" ht="18.75" thickBot="1" x14ac:dyDescent="0.3">
      <c r="A7" s="552"/>
      <c r="B7" s="553"/>
      <c r="C7" s="553"/>
      <c r="D7" s="553"/>
      <c r="E7" s="553"/>
      <c r="F7" s="553"/>
      <c r="G7" s="553"/>
      <c r="H7" s="553"/>
      <c r="I7" s="553"/>
      <c r="J7" s="553"/>
      <c r="K7" s="553"/>
      <c r="L7" s="553"/>
      <c r="M7" s="553"/>
      <c r="N7" s="553"/>
      <c r="O7" s="553"/>
      <c r="P7" s="553"/>
      <c r="Q7" s="553"/>
      <c r="R7" s="553"/>
      <c r="S7" s="553"/>
      <c r="T7" s="554"/>
      <c r="U7" s="554"/>
      <c r="V7" s="554"/>
      <c r="W7" s="554"/>
      <c r="X7" s="554"/>
      <c r="Y7" s="554"/>
      <c r="Z7" s="554"/>
      <c r="AA7" s="554"/>
      <c r="AB7" s="554"/>
      <c r="AC7" s="554"/>
      <c r="AD7" s="554"/>
      <c r="AE7" s="554"/>
      <c r="AF7" s="554"/>
      <c r="AG7" s="553"/>
      <c r="AH7" s="553"/>
      <c r="AI7" s="553"/>
      <c r="AJ7" s="553"/>
      <c r="AK7" s="553"/>
      <c r="AL7" s="553"/>
      <c r="AM7" s="553"/>
      <c r="AN7" s="553"/>
      <c r="AO7" s="553"/>
      <c r="AP7" s="553"/>
      <c r="AQ7" s="553"/>
      <c r="AR7" s="553"/>
      <c r="AS7" s="553"/>
      <c r="AT7" s="553"/>
      <c r="AU7" s="553"/>
      <c r="AV7" s="553"/>
      <c r="AW7" s="553"/>
      <c r="AX7" s="553"/>
      <c r="AY7" s="555"/>
    </row>
    <row r="8" spans="1:55" s="52" customFormat="1" ht="46.5" customHeight="1" x14ac:dyDescent="0.25">
      <c r="A8" s="544" t="s">
        <v>92</v>
      </c>
      <c r="B8" s="545"/>
      <c r="C8" s="545"/>
      <c r="D8" s="545"/>
      <c r="E8" s="545"/>
      <c r="F8" s="545"/>
      <c r="G8" s="545" t="s">
        <v>98</v>
      </c>
      <c r="H8" s="545"/>
      <c r="I8" s="545"/>
      <c r="J8" s="545"/>
      <c r="K8" s="545"/>
      <c r="L8" s="545"/>
      <c r="M8" s="545"/>
      <c r="N8" s="545"/>
      <c r="O8" s="545"/>
      <c r="P8" s="545"/>
      <c r="Q8" s="545"/>
      <c r="R8" s="545"/>
      <c r="S8" s="545"/>
      <c r="T8" s="556" t="s">
        <v>99</v>
      </c>
      <c r="U8" s="556"/>
      <c r="V8" s="556"/>
      <c r="W8" s="556"/>
      <c r="X8" s="556"/>
      <c r="Y8" s="556"/>
      <c r="Z8" s="556"/>
      <c r="AA8" s="556"/>
      <c r="AB8" s="556"/>
      <c r="AC8" s="556"/>
      <c r="AD8" s="556"/>
      <c r="AE8" s="556"/>
      <c r="AF8" s="556"/>
      <c r="AG8" s="545" t="s">
        <v>100</v>
      </c>
      <c r="AH8" s="545"/>
      <c r="AI8" s="545"/>
      <c r="AJ8" s="545"/>
      <c r="AK8" s="545"/>
      <c r="AL8" s="545" t="s">
        <v>106</v>
      </c>
      <c r="AM8" s="545"/>
      <c r="AN8" s="265"/>
      <c r="AO8" s="545" t="s">
        <v>68</v>
      </c>
      <c r="AP8" s="545"/>
      <c r="AQ8" s="545"/>
      <c r="AR8" s="545"/>
      <c r="AS8" s="545"/>
      <c r="AT8" s="545"/>
      <c r="AU8" s="545"/>
      <c r="AV8" s="545"/>
      <c r="AW8" s="545"/>
      <c r="AX8" s="545"/>
      <c r="AY8" s="557" t="s">
        <v>120</v>
      </c>
      <c r="AZ8" s="177"/>
      <c r="BA8" s="177"/>
      <c r="BB8" s="177"/>
      <c r="BC8" s="177"/>
    </row>
    <row r="9" spans="1:55" s="52" customFormat="1" ht="70.900000000000006" customHeight="1" thickBot="1" x14ac:dyDescent="0.3">
      <c r="A9" s="106" t="s">
        <v>93</v>
      </c>
      <c r="B9" s="105" t="s">
        <v>94</v>
      </c>
      <c r="C9" s="178" t="s">
        <v>95</v>
      </c>
      <c r="D9" s="105" t="s">
        <v>96</v>
      </c>
      <c r="E9" s="105" t="s">
        <v>202</v>
      </c>
      <c r="F9" s="105" t="s">
        <v>97</v>
      </c>
      <c r="G9" s="179" t="s">
        <v>6</v>
      </c>
      <c r="H9" s="179" t="s">
        <v>7</v>
      </c>
      <c r="I9" s="179" t="s">
        <v>8</v>
      </c>
      <c r="J9" s="179" t="s">
        <v>9</v>
      </c>
      <c r="K9" s="179" t="s">
        <v>10</v>
      </c>
      <c r="L9" s="179" t="s">
        <v>11</v>
      </c>
      <c r="M9" s="179" t="s">
        <v>12</v>
      </c>
      <c r="N9" s="179" t="s">
        <v>13</v>
      </c>
      <c r="O9" s="179" t="s">
        <v>14</v>
      </c>
      <c r="P9" s="179" t="s">
        <v>15</v>
      </c>
      <c r="Q9" s="179" t="s">
        <v>16</v>
      </c>
      <c r="R9" s="179" t="s">
        <v>17</v>
      </c>
      <c r="S9" s="105" t="s">
        <v>66</v>
      </c>
      <c r="T9" s="179" t="s">
        <v>6</v>
      </c>
      <c r="U9" s="179" t="s">
        <v>7</v>
      </c>
      <c r="V9" s="179" t="s">
        <v>8</v>
      </c>
      <c r="W9" s="179" t="s">
        <v>9</v>
      </c>
      <c r="X9" s="179" t="s">
        <v>10</v>
      </c>
      <c r="Y9" s="179" t="s">
        <v>11</v>
      </c>
      <c r="Z9" s="179" t="s">
        <v>12</v>
      </c>
      <c r="AA9" s="179" t="s">
        <v>13</v>
      </c>
      <c r="AB9" s="179" t="s">
        <v>14</v>
      </c>
      <c r="AC9" s="179" t="s">
        <v>15</v>
      </c>
      <c r="AD9" s="220" t="s">
        <v>16</v>
      </c>
      <c r="AE9" s="105" t="s">
        <v>17</v>
      </c>
      <c r="AF9" s="105" t="s">
        <v>67</v>
      </c>
      <c r="AG9" s="105" t="s">
        <v>101</v>
      </c>
      <c r="AH9" s="105" t="s">
        <v>102</v>
      </c>
      <c r="AI9" s="105" t="s">
        <v>103</v>
      </c>
      <c r="AJ9" s="105" t="s">
        <v>104</v>
      </c>
      <c r="AK9" s="105" t="s">
        <v>105</v>
      </c>
      <c r="AL9" s="105" t="s">
        <v>107</v>
      </c>
      <c r="AM9" s="105" t="s">
        <v>108</v>
      </c>
      <c r="AN9" s="105" t="s">
        <v>109</v>
      </c>
      <c r="AO9" s="105" t="s">
        <v>110</v>
      </c>
      <c r="AP9" s="105" t="s">
        <v>111</v>
      </c>
      <c r="AQ9" s="105" t="s">
        <v>112</v>
      </c>
      <c r="AR9" s="105" t="s">
        <v>113</v>
      </c>
      <c r="AS9" s="105" t="s">
        <v>114</v>
      </c>
      <c r="AT9" s="105" t="s">
        <v>115</v>
      </c>
      <c r="AU9" s="105" t="s">
        <v>116</v>
      </c>
      <c r="AV9" s="105" t="s">
        <v>117</v>
      </c>
      <c r="AW9" s="105" t="s">
        <v>118</v>
      </c>
      <c r="AX9" s="105" t="s">
        <v>119</v>
      </c>
      <c r="AY9" s="558"/>
      <c r="AZ9" s="177"/>
      <c r="BA9" s="177"/>
      <c r="BB9" s="177"/>
      <c r="BC9" s="177"/>
    </row>
    <row r="10" spans="1:55" ht="49.9" customHeight="1" x14ac:dyDescent="0.25">
      <c r="A10" s="539">
        <v>1</v>
      </c>
      <c r="B10" s="530" t="s">
        <v>327</v>
      </c>
      <c r="C10" s="543" t="s">
        <v>365</v>
      </c>
      <c r="D10" s="155" t="s">
        <v>41</v>
      </c>
      <c r="E10" s="156">
        <v>1</v>
      </c>
      <c r="F10" s="156">
        <f>+[3]INVERSIÓN!BA10</f>
        <v>1</v>
      </c>
      <c r="G10" s="156">
        <v>1</v>
      </c>
      <c r="H10" s="156">
        <v>1</v>
      </c>
      <c r="I10" s="156">
        <v>1</v>
      </c>
      <c r="J10" s="156">
        <v>1</v>
      </c>
      <c r="K10" s="109">
        <v>1</v>
      </c>
      <c r="L10" s="109">
        <v>1</v>
      </c>
      <c r="M10" s="109">
        <v>1</v>
      </c>
      <c r="N10" s="109">
        <f>+[3]INVERSIÓN!AQ10</f>
        <v>1</v>
      </c>
      <c r="O10" s="109">
        <f>+[3]INVERSIÓN!AS10</f>
        <v>1</v>
      </c>
      <c r="P10" s="109"/>
      <c r="Q10" s="109"/>
      <c r="R10" s="109"/>
      <c r="S10" s="157"/>
      <c r="T10" s="109">
        <v>0.86</v>
      </c>
      <c r="U10" s="109">
        <v>0.75</v>
      </c>
      <c r="V10" s="109">
        <v>0.8</v>
      </c>
      <c r="W10" s="109">
        <v>1</v>
      </c>
      <c r="X10" s="109">
        <v>1</v>
      </c>
      <c r="Y10" s="109">
        <v>1</v>
      </c>
      <c r="Z10" s="129">
        <v>1</v>
      </c>
      <c r="AA10" s="129">
        <v>1</v>
      </c>
      <c r="AB10" s="129">
        <v>1</v>
      </c>
      <c r="AC10" s="109"/>
      <c r="AD10" s="109"/>
      <c r="AE10" s="109"/>
      <c r="AF10" s="158"/>
      <c r="AG10" s="530" t="s">
        <v>366</v>
      </c>
      <c r="AH10" s="530" t="s">
        <v>367</v>
      </c>
      <c r="AI10" s="530" t="s">
        <v>367</v>
      </c>
      <c r="AJ10" s="530" t="s">
        <v>368</v>
      </c>
      <c r="AK10" s="530" t="s">
        <v>369</v>
      </c>
      <c r="AL10" s="530" t="s">
        <v>367</v>
      </c>
      <c r="AM10" s="530" t="s">
        <v>367</v>
      </c>
      <c r="AN10" s="530" t="s">
        <v>367</v>
      </c>
      <c r="AO10" s="531">
        <v>3751549</v>
      </c>
      <c r="AP10" s="532">
        <v>4082618</v>
      </c>
      <c r="AQ10" s="530" t="s">
        <v>367</v>
      </c>
      <c r="AR10" s="530" t="s">
        <v>367</v>
      </c>
      <c r="AS10" s="530" t="s">
        <v>367</v>
      </c>
      <c r="AT10" s="530" t="s">
        <v>367</v>
      </c>
      <c r="AU10" s="530" t="s">
        <v>367</v>
      </c>
      <c r="AV10" s="530" t="s">
        <v>367</v>
      </c>
      <c r="AW10" s="530" t="s">
        <v>367</v>
      </c>
      <c r="AX10" s="582">
        <f>+AO10+AP10</f>
        <v>7834167</v>
      </c>
      <c r="AY10" s="583"/>
    </row>
    <row r="11" spans="1:55" s="63" customFormat="1" ht="49.9" customHeight="1" x14ac:dyDescent="0.25">
      <c r="A11" s="539"/>
      <c r="B11" s="530"/>
      <c r="C11" s="543"/>
      <c r="D11" s="269" t="s">
        <v>3</v>
      </c>
      <c r="E11" s="159">
        <v>1564678000</v>
      </c>
      <c r="F11" s="159">
        <f>+[3]INVERSIÓN!BA11</f>
        <v>1534521300</v>
      </c>
      <c r="G11" s="159">
        <v>0</v>
      </c>
      <c r="H11" s="159">
        <v>188232000</v>
      </c>
      <c r="I11" s="159">
        <v>348992000</v>
      </c>
      <c r="J11" s="159">
        <v>127479857</v>
      </c>
      <c r="K11" s="136">
        <v>0</v>
      </c>
      <c r="L11" s="136">
        <v>206631757</v>
      </c>
      <c r="M11" s="136">
        <v>206631757</v>
      </c>
      <c r="N11" s="136">
        <f>+[3]INVERSIÓN!AQ11</f>
        <v>145468477</v>
      </c>
      <c r="O11" s="136">
        <f>INVERSIÓN!BD11</f>
        <v>1534521300</v>
      </c>
      <c r="P11" s="136"/>
      <c r="Q11" s="136"/>
      <c r="R11" s="136"/>
      <c r="S11" s="136"/>
      <c r="T11" s="136">
        <v>0</v>
      </c>
      <c r="U11" s="136">
        <v>188232000</v>
      </c>
      <c r="V11" s="136">
        <v>348992000</v>
      </c>
      <c r="W11" s="136">
        <v>127479857</v>
      </c>
      <c r="X11" s="136">
        <v>0</v>
      </c>
      <c r="Y11" s="136">
        <v>206477896</v>
      </c>
      <c r="Z11" s="130">
        <f>+[3]INVERSIÓN!AP11</f>
        <v>0</v>
      </c>
      <c r="AA11" s="130">
        <f>+[3]INVERSIÓN!AR11</f>
        <v>0</v>
      </c>
      <c r="AB11" s="136">
        <f>INVERSIÓN!BE11</f>
        <v>898822087</v>
      </c>
      <c r="AC11" s="136"/>
      <c r="AD11" s="136"/>
      <c r="AE11" s="136"/>
      <c r="AG11" s="530"/>
      <c r="AH11" s="530"/>
      <c r="AI11" s="530"/>
      <c r="AJ11" s="530"/>
      <c r="AK11" s="530"/>
      <c r="AL11" s="530"/>
      <c r="AM11" s="530"/>
      <c r="AN11" s="530"/>
      <c r="AO11" s="531"/>
      <c r="AP11" s="532"/>
      <c r="AQ11" s="530"/>
      <c r="AR11" s="530"/>
      <c r="AS11" s="530"/>
      <c r="AT11" s="530"/>
      <c r="AU11" s="530"/>
      <c r="AV11" s="530"/>
      <c r="AW11" s="530"/>
      <c r="AX11" s="582"/>
      <c r="AY11" s="583"/>
    </row>
    <row r="12" spans="1:55" ht="49.9" customHeight="1" x14ac:dyDescent="0.25">
      <c r="A12" s="539"/>
      <c r="B12" s="530"/>
      <c r="C12" s="543"/>
      <c r="D12" s="155" t="s">
        <v>42</v>
      </c>
      <c r="E12" s="156">
        <v>0</v>
      </c>
      <c r="F12" s="156">
        <f>+[3]INVERSIÓN!BA13</f>
        <v>0</v>
      </c>
      <c r="G12" s="156">
        <v>0</v>
      </c>
      <c r="H12" s="156">
        <v>0</v>
      </c>
      <c r="I12" s="156">
        <v>0</v>
      </c>
      <c r="J12" s="156">
        <v>0</v>
      </c>
      <c r="K12" s="109">
        <v>0</v>
      </c>
      <c r="L12" s="109">
        <v>0</v>
      </c>
      <c r="M12" s="109">
        <v>0</v>
      </c>
      <c r="N12" s="109">
        <f>+[3]INVERSIÓN!AQ13</f>
        <v>0</v>
      </c>
      <c r="O12" s="109">
        <f>+[3]INVERSIÓN!AS13</f>
        <v>0</v>
      </c>
      <c r="P12" s="109"/>
      <c r="Q12" s="109"/>
      <c r="R12" s="109"/>
      <c r="S12" s="109"/>
      <c r="T12" s="109">
        <v>0</v>
      </c>
      <c r="U12" s="109">
        <v>0</v>
      </c>
      <c r="V12" s="109">
        <v>0</v>
      </c>
      <c r="W12" s="109">
        <v>0</v>
      </c>
      <c r="X12" s="109">
        <v>0</v>
      </c>
      <c r="Y12" s="109">
        <v>0</v>
      </c>
      <c r="Z12" s="129">
        <f>+[3]INVERSIÓN!AP13</f>
        <v>0</v>
      </c>
      <c r="AA12" s="129">
        <f>+[3]INVERSIÓN!AR13</f>
        <v>0</v>
      </c>
      <c r="AB12" s="129">
        <f>+[3]INVERSIÓN!$AT13</f>
        <v>0</v>
      </c>
      <c r="AC12" s="109"/>
      <c r="AD12" s="109"/>
      <c r="AE12" s="109"/>
      <c r="AF12" s="156"/>
      <c r="AG12" s="530"/>
      <c r="AH12" s="530"/>
      <c r="AI12" s="530"/>
      <c r="AJ12" s="530"/>
      <c r="AK12" s="530"/>
      <c r="AL12" s="530"/>
      <c r="AM12" s="530"/>
      <c r="AN12" s="530"/>
      <c r="AO12" s="531"/>
      <c r="AP12" s="532"/>
      <c r="AQ12" s="530"/>
      <c r="AR12" s="530"/>
      <c r="AS12" s="530"/>
      <c r="AT12" s="530"/>
      <c r="AU12" s="530"/>
      <c r="AV12" s="530"/>
      <c r="AW12" s="530"/>
      <c r="AX12" s="582"/>
      <c r="AY12" s="583"/>
    </row>
    <row r="13" spans="1:55" s="63" customFormat="1" ht="49.9" customHeight="1" x14ac:dyDescent="0.25">
      <c r="A13" s="539"/>
      <c r="B13" s="530"/>
      <c r="C13" s="543"/>
      <c r="D13" s="269" t="s">
        <v>4</v>
      </c>
      <c r="E13" s="159">
        <v>349704142</v>
      </c>
      <c r="F13" s="159">
        <f>+[3]INVERSIÓN!BA14</f>
        <v>337734142</v>
      </c>
      <c r="G13" s="159">
        <v>62876122</v>
      </c>
      <c r="H13" s="159">
        <v>54302358</v>
      </c>
      <c r="I13" s="159">
        <v>104432327</v>
      </c>
      <c r="J13" s="159">
        <v>5682842</v>
      </c>
      <c r="K13" s="136">
        <v>80059278</v>
      </c>
      <c r="L13" s="136">
        <v>16097586</v>
      </c>
      <c r="M13" s="136"/>
      <c r="N13" s="136">
        <f>+[3]INVERSIÓN!AQ14</f>
        <v>0</v>
      </c>
      <c r="O13" s="136">
        <f>INVERSIÓN!BD14</f>
        <v>337734142</v>
      </c>
      <c r="P13" s="136"/>
      <c r="Q13" s="136"/>
      <c r="R13" s="136"/>
      <c r="S13" s="136"/>
      <c r="T13" s="136">
        <v>62876122</v>
      </c>
      <c r="U13" s="136">
        <v>54302358</v>
      </c>
      <c r="V13" s="136">
        <v>104432327</v>
      </c>
      <c r="W13" s="136">
        <v>5682842</v>
      </c>
      <c r="X13" s="136">
        <v>80059278</v>
      </c>
      <c r="Y13" s="136">
        <v>19233596</v>
      </c>
      <c r="Z13" s="130">
        <f>+[3]INVERSIÓN!AP14</f>
        <v>0</v>
      </c>
      <c r="AA13" s="130">
        <f>+[3]INVERSIÓN!AR14</f>
        <v>9064999</v>
      </c>
      <c r="AB13" s="130">
        <f>INVERSIÓN!BE14</f>
        <v>336406575</v>
      </c>
      <c r="AC13" s="136"/>
      <c r="AD13" s="136"/>
      <c r="AE13" s="136"/>
      <c r="AF13" s="159"/>
      <c r="AG13" s="530"/>
      <c r="AH13" s="530"/>
      <c r="AI13" s="530"/>
      <c r="AJ13" s="530"/>
      <c r="AK13" s="530"/>
      <c r="AL13" s="530"/>
      <c r="AM13" s="530"/>
      <c r="AN13" s="530"/>
      <c r="AO13" s="531"/>
      <c r="AP13" s="532"/>
      <c r="AQ13" s="530"/>
      <c r="AR13" s="530"/>
      <c r="AS13" s="530"/>
      <c r="AT13" s="530"/>
      <c r="AU13" s="530"/>
      <c r="AV13" s="530"/>
      <c r="AW13" s="530"/>
      <c r="AX13" s="582"/>
      <c r="AY13" s="583"/>
    </row>
    <row r="14" spans="1:55" ht="49.9" customHeight="1" x14ac:dyDescent="0.25">
      <c r="A14" s="539"/>
      <c r="B14" s="530"/>
      <c r="C14" s="543"/>
      <c r="D14" s="155" t="s">
        <v>43</v>
      </c>
      <c r="E14" s="162">
        <f t="shared" ref="E14:O15" si="0">+E10+E12</f>
        <v>1</v>
      </c>
      <c r="F14" s="162">
        <f t="shared" si="0"/>
        <v>1</v>
      </c>
      <c r="G14" s="160">
        <f t="shared" si="0"/>
        <v>1</v>
      </c>
      <c r="H14" s="160">
        <f t="shared" si="0"/>
        <v>1</v>
      </c>
      <c r="I14" s="160">
        <f t="shared" si="0"/>
        <v>1</v>
      </c>
      <c r="J14" s="160">
        <f t="shared" si="0"/>
        <v>1</v>
      </c>
      <c r="K14" s="160">
        <f t="shared" si="0"/>
        <v>1</v>
      </c>
      <c r="L14" s="160">
        <f t="shared" si="0"/>
        <v>1</v>
      </c>
      <c r="M14" s="160">
        <f t="shared" si="0"/>
        <v>1</v>
      </c>
      <c r="N14" s="160">
        <f t="shared" si="0"/>
        <v>1</v>
      </c>
      <c r="O14" s="160">
        <f t="shared" ref="O14" si="1">+O10+O12</f>
        <v>1</v>
      </c>
      <c r="P14" s="160"/>
      <c r="Q14" s="160"/>
      <c r="R14" s="160"/>
      <c r="S14" s="160"/>
      <c r="T14" s="160">
        <f t="shared" ref="T14:AB15" si="2">+T10+T12</f>
        <v>0.86</v>
      </c>
      <c r="U14" s="160">
        <f t="shared" si="2"/>
        <v>0.75</v>
      </c>
      <c r="V14" s="160">
        <f t="shared" si="2"/>
        <v>0.8</v>
      </c>
      <c r="W14" s="160">
        <f t="shared" si="2"/>
        <v>1</v>
      </c>
      <c r="X14" s="160">
        <f t="shared" si="2"/>
        <v>1</v>
      </c>
      <c r="Y14" s="160">
        <f t="shared" si="2"/>
        <v>1</v>
      </c>
      <c r="Z14" s="160">
        <f t="shared" si="2"/>
        <v>1</v>
      </c>
      <c r="AA14" s="160">
        <f t="shared" si="2"/>
        <v>1</v>
      </c>
      <c r="AB14" s="160">
        <f t="shared" si="2"/>
        <v>1</v>
      </c>
      <c r="AC14" s="160"/>
      <c r="AD14" s="160"/>
      <c r="AE14" s="160"/>
      <c r="AF14" s="156"/>
      <c r="AG14" s="530"/>
      <c r="AH14" s="530"/>
      <c r="AI14" s="530"/>
      <c r="AJ14" s="530"/>
      <c r="AK14" s="530"/>
      <c r="AL14" s="530"/>
      <c r="AM14" s="530"/>
      <c r="AN14" s="530"/>
      <c r="AO14" s="531"/>
      <c r="AP14" s="532"/>
      <c r="AQ14" s="530"/>
      <c r="AR14" s="530"/>
      <c r="AS14" s="530"/>
      <c r="AT14" s="530"/>
      <c r="AU14" s="530"/>
      <c r="AV14" s="530"/>
      <c r="AW14" s="530"/>
      <c r="AX14" s="582"/>
      <c r="AY14" s="583"/>
    </row>
    <row r="15" spans="1:55" s="63" customFormat="1" ht="49.9" customHeight="1" x14ac:dyDescent="0.25">
      <c r="A15" s="539"/>
      <c r="B15" s="530"/>
      <c r="C15" s="543"/>
      <c r="D15" s="269" t="s">
        <v>45</v>
      </c>
      <c r="E15" s="163">
        <f t="shared" si="0"/>
        <v>1914382142</v>
      </c>
      <c r="F15" s="163">
        <f>+F11+F13</f>
        <v>1872255442</v>
      </c>
      <c r="G15" s="161">
        <f t="shared" si="0"/>
        <v>62876122</v>
      </c>
      <c r="H15" s="161">
        <f t="shared" si="0"/>
        <v>242534358</v>
      </c>
      <c r="I15" s="161">
        <f t="shared" si="0"/>
        <v>453424327</v>
      </c>
      <c r="J15" s="161">
        <f t="shared" si="0"/>
        <v>133162699</v>
      </c>
      <c r="K15" s="161">
        <f t="shared" si="0"/>
        <v>80059278</v>
      </c>
      <c r="L15" s="161">
        <f t="shared" si="0"/>
        <v>222729343</v>
      </c>
      <c r="M15" s="161">
        <f t="shared" si="0"/>
        <v>206631757</v>
      </c>
      <c r="N15" s="161">
        <f t="shared" si="0"/>
        <v>145468477</v>
      </c>
      <c r="O15" s="161">
        <f t="shared" si="0"/>
        <v>1872255442</v>
      </c>
      <c r="P15" s="161"/>
      <c r="Q15" s="161"/>
      <c r="R15" s="161"/>
      <c r="S15" s="161"/>
      <c r="T15" s="161">
        <f t="shared" si="2"/>
        <v>62876122</v>
      </c>
      <c r="U15" s="161">
        <f t="shared" si="2"/>
        <v>242534358</v>
      </c>
      <c r="V15" s="161">
        <f t="shared" si="2"/>
        <v>453424327</v>
      </c>
      <c r="W15" s="161">
        <f t="shared" si="2"/>
        <v>133162699</v>
      </c>
      <c r="X15" s="161">
        <f t="shared" si="2"/>
        <v>80059278</v>
      </c>
      <c r="Y15" s="161">
        <f t="shared" si="2"/>
        <v>225711492</v>
      </c>
      <c r="Z15" s="161">
        <f t="shared" si="2"/>
        <v>0</v>
      </c>
      <c r="AA15" s="161">
        <f t="shared" si="2"/>
        <v>9064999</v>
      </c>
      <c r="AB15" s="161">
        <f>AB11+AB13</f>
        <v>1235228662</v>
      </c>
      <c r="AC15" s="161"/>
      <c r="AD15" s="161"/>
      <c r="AE15" s="161"/>
      <c r="AF15" s="159"/>
      <c r="AG15" s="530"/>
      <c r="AH15" s="530"/>
      <c r="AI15" s="530"/>
      <c r="AJ15" s="530"/>
      <c r="AK15" s="530"/>
      <c r="AL15" s="530"/>
      <c r="AM15" s="530"/>
      <c r="AN15" s="530"/>
      <c r="AO15" s="531"/>
      <c r="AP15" s="532"/>
      <c r="AQ15" s="530"/>
      <c r="AR15" s="530"/>
      <c r="AS15" s="530"/>
      <c r="AT15" s="530"/>
      <c r="AU15" s="530"/>
      <c r="AV15" s="530"/>
      <c r="AW15" s="530"/>
      <c r="AX15" s="582"/>
      <c r="AY15" s="583"/>
    </row>
    <row r="16" spans="1:55" ht="49.9" customHeight="1" x14ac:dyDescent="0.25">
      <c r="A16" s="539">
        <v>2</v>
      </c>
      <c r="B16" s="530" t="s">
        <v>370</v>
      </c>
      <c r="C16" s="543" t="s">
        <v>528</v>
      </c>
      <c r="D16" s="164" t="s">
        <v>41</v>
      </c>
      <c r="E16" s="266">
        <v>8</v>
      </c>
      <c r="F16" s="266">
        <f>+[3]INVERSIÓN!BA17</f>
        <v>8</v>
      </c>
      <c r="G16" s="266">
        <v>0.2</v>
      </c>
      <c r="H16" s="266">
        <v>0.25</v>
      </c>
      <c r="I16" s="266">
        <v>0.55000000000000004</v>
      </c>
      <c r="J16" s="266">
        <v>0.6</v>
      </c>
      <c r="K16" s="266">
        <v>0.7</v>
      </c>
      <c r="L16" s="266">
        <v>0.7</v>
      </c>
      <c r="M16" s="266">
        <v>0.7</v>
      </c>
      <c r="N16" s="266">
        <f>+[3]INVERSIÓN!AQ17</f>
        <v>0.85</v>
      </c>
      <c r="O16" s="266">
        <v>8</v>
      </c>
      <c r="P16" s="266"/>
      <c r="Q16" s="266"/>
      <c r="R16" s="266"/>
      <c r="S16" s="266"/>
      <c r="T16" s="110">
        <v>0.2</v>
      </c>
      <c r="U16" s="110">
        <v>0.25</v>
      </c>
      <c r="V16" s="110">
        <v>0.55000000000000004</v>
      </c>
      <c r="W16" s="110">
        <v>0.6</v>
      </c>
      <c r="X16" s="110">
        <v>0.7</v>
      </c>
      <c r="Y16" s="110">
        <v>0.7</v>
      </c>
      <c r="Z16" s="110">
        <f>+[3]INVERSIÓN!AP17</f>
        <v>0.75</v>
      </c>
      <c r="AA16" s="110">
        <f>+[3]INVERSIÓN!AR17</f>
        <v>0.85</v>
      </c>
      <c r="AB16" s="266">
        <v>5.7</v>
      </c>
      <c r="AC16" s="110"/>
      <c r="AD16" s="110"/>
      <c r="AE16" s="110"/>
      <c r="AF16" s="266"/>
      <c r="AG16" s="530" t="s">
        <v>366</v>
      </c>
      <c r="AH16" s="530" t="s">
        <v>367</v>
      </c>
      <c r="AI16" s="530" t="s">
        <v>367</v>
      </c>
      <c r="AJ16" s="530" t="s">
        <v>529</v>
      </c>
      <c r="AK16" s="530" t="s">
        <v>369</v>
      </c>
      <c r="AL16" s="530" t="s">
        <v>367</v>
      </c>
      <c r="AM16" s="530" t="s">
        <v>367</v>
      </c>
      <c r="AN16" s="530" t="s">
        <v>367</v>
      </c>
      <c r="AO16" s="531">
        <v>3751549</v>
      </c>
      <c r="AP16" s="532">
        <v>4082618</v>
      </c>
      <c r="AQ16" s="530" t="s">
        <v>367</v>
      </c>
      <c r="AR16" s="530" t="s">
        <v>367</v>
      </c>
      <c r="AS16" s="530" t="s">
        <v>367</v>
      </c>
      <c r="AT16" s="530" t="s">
        <v>367</v>
      </c>
      <c r="AU16" s="530" t="s">
        <v>367</v>
      </c>
      <c r="AV16" s="530" t="s">
        <v>367</v>
      </c>
      <c r="AW16" s="530" t="s">
        <v>367</v>
      </c>
      <c r="AX16" s="582">
        <f>+AO16+AP16</f>
        <v>7834167</v>
      </c>
      <c r="AY16" s="583"/>
    </row>
    <row r="17" spans="1:51" s="63" customFormat="1" ht="49.9" customHeight="1" x14ac:dyDescent="0.25">
      <c r="A17" s="539"/>
      <c r="B17" s="530"/>
      <c r="C17" s="543"/>
      <c r="D17" s="269" t="s">
        <v>3</v>
      </c>
      <c r="E17" s="166">
        <v>1374057000</v>
      </c>
      <c r="F17" s="166">
        <f>+[3]INVERSIÓN!BA18</f>
        <v>1389997314</v>
      </c>
      <c r="G17" s="166">
        <v>0</v>
      </c>
      <c r="H17" s="166">
        <v>582050000</v>
      </c>
      <c r="I17" s="166">
        <v>539567000</v>
      </c>
      <c r="J17" s="166">
        <v>94112000</v>
      </c>
      <c r="K17" s="130">
        <v>0</v>
      </c>
      <c r="L17" s="130">
        <v>0</v>
      </c>
      <c r="M17" s="130">
        <v>0</v>
      </c>
      <c r="N17" s="130">
        <f>+[3]INVERSIÓN!AQ18</f>
        <v>37967600</v>
      </c>
      <c r="O17" s="130">
        <f>INVERSIÓN!BD18</f>
        <v>1389997314</v>
      </c>
      <c r="P17" s="130"/>
      <c r="Q17" s="136"/>
      <c r="R17" s="136"/>
      <c r="S17" s="136"/>
      <c r="T17" s="130">
        <v>0</v>
      </c>
      <c r="U17" s="130">
        <v>582050000</v>
      </c>
      <c r="V17" s="130">
        <v>539567000</v>
      </c>
      <c r="W17" s="130">
        <v>94112000</v>
      </c>
      <c r="X17" s="130">
        <v>0</v>
      </c>
      <c r="Y17" s="130">
        <v>0</v>
      </c>
      <c r="Z17" s="130">
        <f>+[3]INVERSIÓN!AP18</f>
        <v>24890000</v>
      </c>
      <c r="AA17" s="130">
        <f>+[3]INVERSIÓN!AR18</f>
        <v>0</v>
      </c>
      <c r="AB17" s="159">
        <f>INVERSIÓN!BE18</f>
        <v>1256382667</v>
      </c>
      <c r="AC17" s="136"/>
      <c r="AD17" s="136"/>
      <c r="AE17" s="136"/>
      <c r="AG17" s="530"/>
      <c r="AH17" s="530"/>
      <c r="AI17" s="530"/>
      <c r="AJ17" s="530"/>
      <c r="AK17" s="530"/>
      <c r="AL17" s="530"/>
      <c r="AM17" s="530"/>
      <c r="AN17" s="530"/>
      <c r="AO17" s="531"/>
      <c r="AP17" s="532"/>
      <c r="AQ17" s="530"/>
      <c r="AR17" s="530"/>
      <c r="AS17" s="530"/>
      <c r="AT17" s="530"/>
      <c r="AU17" s="530"/>
      <c r="AV17" s="530"/>
      <c r="AW17" s="530"/>
      <c r="AX17" s="582"/>
      <c r="AY17" s="583"/>
    </row>
    <row r="18" spans="1:51" ht="49.9" customHeight="1" x14ac:dyDescent="0.25">
      <c r="A18" s="539"/>
      <c r="B18" s="530"/>
      <c r="C18" s="543"/>
      <c r="D18" s="164" t="s">
        <v>42</v>
      </c>
      <c r="E18" s="266">
        <v>0</v>
      </c>
      <c r="F18" s="266">
        <f>+[3]INVERSIÓN!BA20</f>
        <v>0</v>
      </c>
      <c r="G18" s="266">
        <v>0</v>
      </c>
      <c r="H18" s="266">
        <v>0</v>
      </c>
      <c r="I18" s="266">
        <v>0</v>
      </c>
      <c r="J18" s="266">
        <v>0</v>
      </c>
      <c r="K18" s="266">
        <v>0</v>
      </c>
      <c r="L18" s="266">
        <v>0</v>
      </c>
      <c r="M18" s="266">
        <v>0</v>
      </c>
      <c r="N18" s="266">
        <f>+[3]INVERSIÓN!AQ20</f>
        <v>0</v>
      </c>
      <c r="O18" s="266">
        <f>+[3]INVERSIÓN!AS20</f>
        <v>0</v>
      </c>
      <c r="P18" s="266"/>
      <c r="Q18" s="266"/>
      <c r="R18" s="266"/>
      <c r="S18" s="167"/>
      <c r="T18" s="110">
        <v>0</v>
      </c>
      <c r="U18" s="110">
        <v>0</v>
      </c>
      <c r="V18" s="110">
        <v>0</v>
      </c>
      <c r="W18" s="110">
        <v>0</v>
      </c>
      <c r="X18" s="110">
        <v>0</v>
      </c>
      <c r="Y18" s="110">
        <v>0</v>
      </c>
      <c r="Z18" s="110">
        <f>+[3]INVERSIÓN!AP20</f>
        <v>0</v>
      </c>
      <c r="AA18" s="110">
        <f>+[3]INVERSIÓN!AR20</f>
        <v>0</v>
      </c>
      <c r="AB18" s="266">
        <f>+[3]INVERSIÓN!AT20</f>
        <v>0</v>
      </c>
      <c r="AC18" s="110"/>
      <c r="AD18" s="110"/>
      <c r="AE18" s="110"/>
      <c r="AF18" s="167"/>
      <c r="AG18" s="530"/>
      <c r="AH18" s="530"/>
      <c r="AI18" s="530"/>
      <c r="AJ18" s="530"/>
      <c r="AK18" s="530"/>
      <c r="AL18" s="530"/>
      <c r="AM18" s="530"/>
      <c r="AN18" s="530"/>
      <c r="AO18" s="531"/>
      <c r="AP18" s="532"/>
      <c r="AQ18" s="530"/>
      <c r="AR18" s="530"/>
      <c r="AS18" s="530"/>
      <c r="AT18" s="530"/>
      <c r="AU18" s="530"/>
      <c r="AV18" s="530"/>
      <c r="AW18" s="530"/>
      <c r="AX18" s="582"/>
      <c r="AY18" s="583"/>
    </row>
    <row r="19" spans="1:51" s="63" customFormat="1" ht="49.9" customHeight="1" x14ac:dyDescent="0.25">
      <c r="A19" s="539"/>
      <c r="B19" s="530"/>
      <c r="C19" s="543"/>
      <c r="D19" s="269" t="s">
        <v>4</v>
      </c>
      <c r="E19" s="166">
        <v>220512384</v>
      </c>
      <c r="F19" s="166">
        <f>+[3]INVERSIÓN!BA21</f>
        <v>220512384</v>
      </c>
      <c r="G19" s="166">
        <v>62045867</v>
      </c>
      <c r="H19" s="166">
        <v>68053533</v>
      </c>
      <c r="I19" s="166">
        <v>10948200</v>
      </c>
      <c r="J19" s="166">
        <v>8101667</v>
      </c>
      <c r="K19" s="136">
        <v>15903967</v>
      </c>
      <c r="L19" s="136">
        <v>5571367</v>
      </c>
      <c r="M19" s="136"/>
      <c r="N19" s="130">
        <f>+[3]INVERSIÓN!AQ21</f>
        <v>49887783</v>
      </c>
      <c r="O19" s="266">
        <f>INVERSIÓN!BD21</f>
        <v>220512384</v>
      </c>
      <c r="P19" s="130"/>
      <c r="Q19" s="136"/>
      <c r="R19" s="136"/>
      <c r="S19" s="161"/>
      <c r="T19" s="130">
        <v>62045867</v>
      </c>
      <c r="U19" s="130">
        <v>68053533</v>
      </c>
      <c r="V19" s="130">
        <v>10948200</v>
      </c>
      <c r="W19" s="130">
        <v>8101667</v>
      </c>
      <c r="X19" s="136">
        <v>15903967</v>
      </c>
      <c r="Y19" s="136">
        <v>5571367</v>
      </c>
      <c r="Z19" s="136">
        <f>+[3]INVERSIÓN!AP21</f>
        <v>0</v>
      </c>
      <c r="AA19" s="136">
        <f>+[3]INVERSIÓN!AR21</f>
        <v>0</v>
      </c>
      <c r="AB19" s="110">
        <f>INVERSIÓN!BE21</f>
        <v>170624601</v>
      </c>
      <c r="AC19" s="136"/>
      <c r="AD19" s="136"/>
      <c r="AE19" s="136"/>
      <c r="AF19" s="163"/>
      <c r="AG19" s="530"/>
      <c r="AH19" s="530"/>
      <c r="AI19" s="530"/>
      <c r="AJ19" s="530"/>
      <c r="AK19" s="530"/>
      <c r="AL19" s="530"/>
      <c r="AM19" s="530"/>
      <c r="AN19" s="530"/>
      <c r="AO19" s="531"/>
      <c r="AP19" s="532"/>
      <c r="AQ19" s="530"/>
      <c r="AR19" s="530"/>
      <c r="AS19" s="530"/>
      <c r="AT19" s="530"/>
      <c r="AU19" s="530"/>
      <c r="AV19" s="530"/>
      <c r="AW19" s="530"/>
      <c r="AX19" s="582"/>
      <c r="AY19" s="583"/>
    </row>
    <row r="20" spans="1:51" ht="49.9" customHeight="1" x14ac:dyDescent="0.25">
      <c r="A20" s="539"/>
      <c r="B20" s="530"/>
      <c r="C20" s="543"/>
      <c r="D20" s="164" t="s">
        <v>43</v>
      </c>
      <c r="E20" s="168">
        <f t="shared" ref="E20:N21" si="3">+E16+E18</f>
        <v>8</v>
      </c>
      <c r="F20" s="168">
        <f t="shared" si="3"/>
        <v>8</v>
      </c>
      <c r="G20" s="169">
        <f t="shared" si="3"/>
        <v>0.2</v>
      </c>
      <c r="H20" s="169">
        <f t="shared" si="3"/>
        <v>0.25</v>
      </c>
      <c r="I20" s="169">
        <f t="shared" si="3"/>
        <v>0.55000000000000004</v>
      </c>
      <c r="J20" s="169">
        <f t="shared" si="3"/>
        <v>0.6</v>
      </c>
      <c r="K20" s="169">
        <f t="shared" si="3"/>
        <v>0.7</v>
      </c>
      <c r="L20" s="169">
        <f t="shared" si="3"/>
        <v>0.7</v>
      </c>
      <c r="M20" s="169">
        <f t="shared" si="3"/>
        <v>0.7</v>
      </c>
      <c r="N20" s="169">
        <f t="shared" si="3"/>
        <v>0.85</v>
      </c>
      <c r="O20" s="169">
        <f>O16+O18</f>
        <v>8</v>
      </c>
      <c r="P20" s="169"/>
      <c r="Q20" s="169"/>
      <c r="R20" s="169"/>
      <c r="S20" s="169"/>
      <c r="T20" s="169">
        <f t="shared" ref="T20:AA21" si="4">+T16+T18</f>
        <v>0.2</v>
      </c>
      <c r="U20" s="169">
        <f t="shared" si="4"/>
        <v>0.25</v>
      </c>
      <c r="V20" s="169">
        <f t="shared" si="4"/>
        <v>0.55000000000000004</v>
      </c>
      <c r="W20" s="169">
        <f t="shared" si="4"/>
        <v>0.6</v>
      </c>
      <c r="X20" s="169">
        <f t="shared" si="4"/>
        <v>0.7</v>
      </c>
      <c r="Y20" s="169">
        <f t="shared" si="4"/>
        <v>0.7</v>
      </c>
      <c r="Z20" s="169">
        <f t="shared" si="4"/>
        <v>0.75</v>
      </c>
      <c r="AA20" s="169">
        <f t="shared" si="4"/>
        <v>0.85</v>
      </c>
      <c r="AB20" s="169">
        <f t="shared" ref="AB20" si="5">+AB16+AB18</f>
        <v>5.7</v>
      </c>
      <c r="AC20" s="169"/>
      <c r="AD20" s="169"/>
      <c r="AE20" s="169"/>
      <c r="AF20" s="167"/>
      <c r="AG20" s="530"/>
      <c r="AH20" s="530"/>
      <c r="AI20" s="530"/>
      <c r="AJ20" s="530"/>
      <c r="AK20" s="530"/>
      <c r="AL20" s="530"/>
      <c r="AM20" s="530"/>
      <c r="AN20" s="530"/>
      <c r="AO20" s="531"/>
      <c r="AP20" s="532"/>
      <c r="AQ20" s="530"/>
      <c r="AR20" s="530"/>
      <c r="AS20" s="530"/>
      <c r="AT20" s="530"/>
      <c r="AU20" s="530"/>
      <c r="AV20" s="530"/>
      <c r="AW20" s="530"/>
      <c r="AX20" s="582"/>
      <c r="AY20" s="583"/>
    </row>
    <row r="21" spans="1:51" s="64" customFormat="1" ht="49.9" customHeight="1" x14ac:dyDescent="0.25">
      <c r="A21" s="539"/>
      <c r="B21" s="530"/>
      <c r="C21" s="543"/>
      <c r="D21" s="269" t="s">
        <v>45</v>
      </c>
      <c r="E21" s="163">
        <f t="shared" si="3"/>
        <v>1594569384</v>
      </c>
      <c r="F21" s="163">
        <f t="shared" si="3"/>
        <v>1610509698</v>
      </c>
      <c r="G21" s="161">
        <f t="shared" si="3"/>
        <v>62045867</v>
      </c>
      <c r="H21" s="161">
        <f t="shared" si="3"/>
        <v>650103533</v>
      </c>
      <c r="I21" s="161">
        <f t="shared" si="3"/>
        <v>550515200</v>
      </c>
      <c r="J21" s="161">
        <f t="shared" si="3"/>
        <v>102213667</v>
      </c>
      <c r="K21" s="161">
        <f t="shared" si="3"/>
        <v>15903967</v>
      </c>
      <c r="L21" s="161">
        <f t="shared" si="3"/>
        <v>5571367</v>
      </c>
      <c r="M21" s="161">
        <f t="shared" si="3"/>
        <v>0</v>
      </c>
      <c r="N21" s="161">
        <f t="shared" si="3"/>
        <v>87855383</v>
      </c>
      <c r="O21" s="161">
        <f>O17+O19</f>
        <v>1610509698</v>
      </c>
      <c r="P21" s="161"/>
      <c r="Q21" s="161"/>
      <c r="R21" s="161"/>
      <c r="S21" s="161"/>
      <c r="T21" s="161">
        <f t="shared" si="4"/>
        <v>62045867</v>
      </c>
      <c r="U21" s="161">
        <f t="shared" si="4"/>
        <v>650103533</v>
      </c>
      <c r="V21" s="161">
        <f t="shared" si="4"/>
        <v>550515200</v>
      </c>
      <c r="W21" s="161">
        <f t="shared" si="4"/>
        <v>102213667</v>
      </c>
      <c r="X21" s="161">
        <f t="shared" si="4"/>
        <v>15903967</v>
      </c>
      <c r="Y21" s="161">
        <f t="shared" si="4"/>
        <v>5571367</v>
      </c>
      <c r="Z21" s="161">
        <f t="shared" si="4"/>
        <v>24890000</v>
      </c>
      <c r="AA21" s="161">
        <f t="shared" si="4"/>
        <v>0</v>
      </c>
      <c r="AB21" s="161">
        <f>AB17+AB19</f>
        <v>1427007268</v>
      </c>
      <c r="AC21" s="161"/>
      <c r="AD21" s="161"/>
      <c r="AE21" s="161"/>
      <c r="AF21" s="166"/>
      <c r="AG21" s="530"/>
      <c r="AH21" s="530"/>
      <c r="AI21" s="530"/>
      <c r="AJ21" s="530"/>
      <c r="AK21" s="530"/>
      <c r="AL21" s="530"/>
      <c r="AM21" s="530"/>
      <c r="AN21" s="530"/>
      <c r="AO21" s="531"/>
      <c r="AP21" s="532"/>
      <c r="AQ21" s="530"/>
      <c r="AR21" s="530"/>
      <c r="AS21" s="530"/>
      <c r="AT21" s="530"/>
      <c r="AU21" s="530"/>
      <c r="AV21" s="530"/>
      <c r="AW21" s="530"/>
      <c r="AX21" s="582"/>
      <c r="AY21" s="583"/>
    </row>
    <row r="22" spans="1:51" ht="45.75" customHeight="1" x14ac:dyDescent="0.25">
      <c r="A22" s="584">
        <v>3</v>
      </c>
      <c r="B22" s="540" t="s">
        <v>371</v>
      </c>
      <c r="C22" s="540" t="s">
        <v>598</v>
      </c>
      <c r="D22" s="164" t="s">
        <v>41</v>
      </c>
      <c r="E22" s="170">
        <v>2</v>
      </c>
      <c r="F22" s="170">
        <f>+[3]INVERSIÓN!BA24*0.25</f>
        <v>0.49999999999999989</v>
      </c>
      <c r="G22" s="266">
        <v>0.17</v>
      </c>
      <c r="H22" s="266">
        <v>0.17</v>
      </c>
      <c r="I22" s="266">
        <v>0.17</v>
      </c>
      <c r="J22" s="266">
        <v>0.17</v>
      </c>
      <c r="K22" s="266">
        <v>0.14000000000000001</v>
      </c>
      <c r="L22" s="266">
        <v>0.04</v>
      </c>
      <c r="M22" s="266">
        <v>0.04</v>
      </c>
      <c r="N22" s="266">
        <f>+[3]INVERSIÓN!AQ24*0.25</f>
        <v>4.2500000000000003E-2</v>
      </c>
      <c r="O22" s="266">
        <v>2</v>
      </c>
      <c r="P22" s="266"/>
      <c r="Q22" s="266"/>
      <c r="R22" s="266"/>
      <c r="S22" s="266"/>
      <c r="T22" s="110">
        <v>0.15</v>
      </c>
      <c r="U22" s="110">
        <v>0.11</v>
      </c>
      <c r="V22" s="110">
        <v>0.1</v>
      </c>
      <c r="W22" s="110">
        <v>0.15</v>
      </c>
      <c r="X22" s="110">
        <v>0.14000000000000001</v>
      </c>
      <c r="Y22" s="110">
        <v>0.09</v>
      </c>
      <c r="Z22" s="110">
        <f>+[3]INVERSIÓN!AP24*0.25</f>
        <v>6.5000000000000002E-2</v>
      </c>
      <c r="AA22" s="110">
        <f>+[3]INVERSIÓN!AR24*0.25</f>
        <v>3.2500000000000001E-2</v>
      </c>
      <c r="AB22" s="110">
        <v>1.56</v>
      </c>
      <c r="AC22" s="110"/>
      <c r="AD22" s="110"/>
      <c r="AE22" s="110"/>
      <c r="AF22" s="266"/>
      <c r="AG22" s="530" t="s">
        <v>366</v>
      </c>
      <c r="AH22" s="530" t="s">
        <v>367</v>
      </c>
      <c r="AI22" s="530" t="s">
        <v>367</v>
      </c>
      <c r="AJ22" s="530" t="s">
        <v>369</v>
      </c>
      <c r="AK22" s="530" t="s">
        <v>369</v>
      </c>
      <c r="AL22" s="530" t="s">
        <v>367</v>
      </c>
      <c r="AM22" s="530" t="s">
        <v>367</v>
      </c>
      <c r="AN22" s="530" t="s">
        <v>367</v>
      </c>
      <c r="AO22" s="531">
        <v>3751549</v>
      </c>
      <c r="AP22" s="532">
        <v>4082618</v>
      </c>
      <c r="AQ22" s="530" t="s">
        <v>367</v>
      </c>
      <c r="AR22" s="530" t="s">
        <v>367</v>
      </c>
      <c r="AS22" s="530" t="s">
        <v>367</v>
      </c>
      <c r="AT22" s="530" t="s">
        <v>367</v>
      </c>
      <c r="AU22" s="530" t="s">
        <v>367</v>
      </c>
      <c r="AV22" s="530" t="s">
        <v>367</v>
      </c>
      <c r="AW22" s="530" t="s">
        <v>367</v>
      </c>
      <c r="AX22" s="582">
        <f>+AO22+AP22</f>
        <v>7834167</v>
      </c>
      <c r="AY22" s="583"/>
    </row>
    <row r="23" spans="1:51" s="35" customFormat="1" ht="45.75" customHeight="1" x14ac:dyDescent="0.25">
      <c r="A23" s="585"/>
      <c r="B23" s="541"/>
      <c r="C23" s="541"/>
      <c r="D23" s="269" t="s">
        <v>3</v>
      </c>
      <c r="E23" s="159">
        <v>2973776000</v>
      </c>
      <c r="F23" s="159">
        <f>+[3]INVERSIÓN!BA25*0.25</f>
        <v>732725079</v>
      </c>
      <c r="G23" s="159">
        <v>0</v>
      </c>
      <c r="H23" s="140">
        <v>408790000</v>
      </c>
      <c r="I23" s="140">
        <v>1385154150</v>
      </c>
      <c r="J23" s="140">
        <v>557630000</v>
      </c>
      <c r="K23" s="136"/>
      <c r="L23" s="136">
        <v>63630206.640000001</v>
      </c>
      <c r="M23" s="136">
        <v>63630206.640000001</v>
      </c>
      <c r="N23" s="130">
        <f>+[3]INVERSIÓN!AQ25*0.25</f>
        <v>15636650</v>
      </c>
      <c r="O23" s="130">
        <f>INVERSIÓN!BD25</f>
        <v>2930900316</v>
      </c>
      <c r="P23" s="130"/>
      <c r="Q23" s="136"/>
      <c r="R23" s="136"/>
      <c r="S23" s="130"/>
      <c r="T23" s="136">
        <v>0</v>
      </c>
      <c r="U23" s="136">
        <v>408790000</v>
      </c>
      <c r="V23" s="136">
        <v>1385154150</v>
      </c>
      <c r="W23" s="136">
        <v>148840000</v>
      </c>
      <c r="X23" s="136">
        <v>5000000</v>
      </c>
      <c r="Y23" s="136">
        <v>63630206.640000001</v>
      </c>
      <c r="Z23" s="136">
        <f>+[3]INVERSIÓN!AP25*0.25</f>
        <v>0</v>
      </c>
      <c r="AA23" s="136">
        <f>+[3]INVERSIÓN!AR25*0.25</f>
        <v>0</v>
      </c>
      <c r="AB23" s="262">
        <f>INVERSIÓN!BE25</f>
        <v>2205742548</v>
      </c>
      <c r="AC23" s="136"/>
      <c r="AD23" s="136"/>
      <c r="AE23" s="136"/>
      <c r="AG23" s="530"/>
      <c r="AH23" s="530"/>
      <c r="AI23" s="530"/>
      <c r="AJ23" s="530"/>
      <c r="AK23" s="530"/>
      <c r="AL23" s="530"/>
      <c r="AM23" s="530"/>
      <c r="AN23" s="530"/>
      <c r="AO23" s="531"/>
      <c r="AP23" s="532"/>
      <c r="AQ23" s="530"/>
      <c r="AR23" s="530"/>
      <c r="AS23" s="530"/>
      <c r="AT23" s="530"/>
      <c r="AU23" s="530"/>
      <c r="AV23" s="530"/>
      <c r="AW23" s="530"/>
      <c r="AX23" s="582"/>
      <c r="AY23" s="583"/>
    </row>
    <row r="24" spans="1:51" ht="45.75" customHeight="1" x14ac:dyDescent="0.25">
      <c r="A24" s="585"/>
      <c r="B24" s="541"/>
      <c r="C24" s="541"/>
      <c r="D24" s="164" t="s">
        <v>42</v>
      </c>
      <c r="E24" s="170">
        <v>0</v>
      </c>
      <c r="F24" s="170">
        <f>+[3]INVERSIÓN!BA27*0.25</f>
        <v>0</v>
      </c>
      <c r="G24" s="266">
        <v>0</v>
      </c>
      <c r="H24" s="266">
        <v>0</v>
      </c>
      <c r="I24" s="266">
        <v>0</v>
      </c>
      <c r="J24" s="266">
        <v>0</v>
      </c>
      <c r="K24" s="266">
        <v>0</v>
      </c>
      <c r="L24" s="266">
        <v>0</v>
      </c>
      <c r="M24" s="266">
        <v>0</v>
      </c>
      <c r="N24" s="266">
        <f>+[3]INVERSIÓN!AQ27*0.25</f>
        <v>0</v>
      </c>
      <c r="O24" s="266">
        <f>+[3]INVERSIÓN!AS27*0.25</f>
        <v>0</v>
      </c>
      <c r="P24" s="266"/>
      <c r="Q24" s="266"/>
      <c r="R24" s="266"/>
      <c r="S24" s="266"/>
      <c r="T24" s="266">
        <v>0</v>
      </c>
      <c r="U24" s="266">
        <v>0</v>
      </c>
      <c r="V24" s="266">
        <v>0</v>
      </c>
      <c r="W24" s="266">
        <v>0</v>
      </c>
      <c r="X24" s="266">
        <v>0</v>
      </c>
      <c r="Y24" s="266">
        <v>0</v>
      </c>
      <c r="Z24" s="266">
        <f>+[3]INVERSIÓN!AP27*0.25</f>
        <v>0</v>
      </c>
      <c r="AA24" s="266">
        <f>+[3]INVERSIÓN!AR27*0.25</f>
        <v>0</v>
      </c>
      <c r="AB24" s="266">
        <f>+[3]INVERSIÓN!AT27*0.25</f>
        <v>0</v>
      </c>
      <c r="AC24" s="110"/>
      <c r="AD24" s="110"/>
      <c r="AE24" s="110"/>
      <c r="AF24" s="170"/>
      <c r="AG24" s="530"/>
      <c r="AH24" s="530"/>
      <c r="AI24" s="530"/>
      <c r="AJ24" s="530"/>
      <c r="AK24" s="530"/>
      <c r="AL24" s="530"/>
      <c r="AM24" s="530"/>
      <c r="AN24" s="530"/>
      <c r="AO24" s="531"/>
      <c r="AP24" s="532"/>
      <c r="AQ24" s="530"/>
      <c r="AR24" s="530"/>
      <c r="AS24" s="530"/>
      <c r="AT24" s="530"/>
      <c r="AU24" s="530"/>
      <c r="AV24" s="530"/>
      <c r="AW24" s="530"/>
      <c r="AX24" s="582"/>
      <c r="AY24" s="583"/>
    </row>
    <row r="25" spans="1:51" ht="45.75" customHeight="1" x14ac:dyDescent="0.25">
      <c r="A25" s="585"/>
      <c r="B25" s="541"/>
      <c r="C25" s="541"/>
      <c r="D25" s="269" t="s">
        <v>4</v>
      </c>
      <c r="E25" s="159">
        <v>592742679</v>
      </c>
      <c r="F25" s="159">
        <f>+[3]INVERSIÓN!BA28*0.25</f>
        <v>148185669.75</v>
      </c>
      <c r="G25" s="159">
        <v>91072667</v>
      </c>
      <c r="H25" s="159">
        <v>114404900</v>
      </c>
      <c r="I25" s="159">
        <v>43650195</v>
      </c>
      <c r="J25" s="159">
        <v>52211433</v>
      </c>
      <c r="K25" s="136">
        <v>38507889</v>
      </c>
      <c r="L25" s="136">
        <v>92916500</v>
      </c>
      <c r="M25" s="136">
        <v>63971107</v>
      </c>
      <c r="N25" s="130">
        <f>+[3]INVERSIÓN!AQ28*0.25</f>
        <v>4085789.25</v>
      </c>
      <c r="O25" s="130">
        <f>INVERSIÓN!BD28</f>
        <v>592742679</v>
      </c>
      <c r="P25" s="130"/>
      <c r="Q25" s="136"/>
      <c r="R25" s="136"/>
      <c r="S25" s="130"/>
      <c r="T25" s="136">
        <v>91072667</v>
      </c>
      <c r="U25" s="136">
        <v>114404900</v>
      </c>
      <c r="V25" s="136">
        <v>43650195</v>
      </c>
      <c r="W25" s="136">
        <v>52211433</v>
      </c>
      <c r="X25" s="136">
        <v>38507889</v>
      </c>
      <c r="Y25" s="136">
        <v>91626500</v>
      </c>
      <c r="Z25" s="136">
        <f>+[3]INVERSIÓN!AP28*0.25</f>
        <v>0</v>
      </c>
      <c r="AA25" s="136">
        <f>+[3]INVERSIÓN!AR28*0.25</f>
        <v>25124140</v>
      </c>
      <c r="AB25" s="136">
        <f>INVERSIÓN!BE28</f>
        <v>532779344</v>
      </c>
      <c r="AC25" s="136"/>
      <c r="AD25" s="136"/>
      <c r="AE25" s="136"/>
      <c r="AF25" s="159"/>
      <c r="AG25" s="530"/>
      <c r="AH25" s="530"/>
      <c r="AI25" s="530"/>
      <c r="AJ25" s="530"/>
      <c r="AK25" s="530"/>
      <c r="AL25" s="530"/>
      <c r="AM25" s="530"/>
      <c r="AN25" s="530"/>
      <c r="AO25" s="531"/>
      <c r="AP25" s="532"/>
      <c r="AQ25" s="530"/>
      <c r="AR25" s="530"/>
      <c r="AS25" s="530"/>
      <c r="AT25" s="530"/>
      <c r="AU25" s="530"/>
      <c r="AV25" s="530"/>
      <c r="AW25" s="530"/>
      <c r="AX25" s="582"/>
      <c r="AY25" s="583"/>
    </row>
    <row r="26" spans="1:51" ht="45.75" customHeight="1" x14ac:dyDescent="0.25">
      <c r="A26" s="585"/>
      <c r="B26" s="541"/>
      <c r="C26" s="541"/>
      <c r="D26" s="164" t="s">
        <v>43</v>
      </c>
      <c r="E26" s="168">
        <f t="shared" ref="E26:N27" si="6">+E22+E24</f>
        <v>2</v>
      </c>
      <c r="F26" s="168">
        <f t="shared" si="6"/>
        <v>0.49999999999999989</v>
      </c>
      <c r="G26" s="169">
        <f t="shared" si="6"/>
        <v>0.17</v>
      </c>
      <c r="H26" s="169">
        <f t="shared" si="6"/>
        <v>0.17</v>
      </c>
      <c r="I26" s="169">
        <f t="shared" si="6"/>
        <v>0.17</v>
      </c>
      <c r="J26" s="169">
        <f t="shared" si="6"/>
        <v>0.17</v>
      </c>
      <c r="K26" s="169">
        <f t="shared" si="6"/>
        <v>0.14000000000000001</v>
      </c>
      <c r="L26" s="169">
        <f t="shared" si="6"/>
        <v>0.04</v>
      </c>
      <c r="M26" s="169">
        <f t="shared" si="6"/>
        <v>0.04</v>
      </c>
      <c r="N26" s="169">
        <f t="shared" si="6"/>
        <v>4.2500000000000003E-2</v>
      </c>
      <c r="O26" s="169">
        <f t="shared" ref="O26:O27" si="7">+O22+O24</f>
        <v>2</v>
      </c>
      <c r="P26" s="169"/>
      <c r="Q26" s="169"/>
      <c r="R26" s="169"/>
      <c r="S26" s="169"/>
      <c r="T26" s="169">
        <f t="shared" ref="T26:AA27" si="8">+T22+T24</f>
        <v>0.15</v>
      </c>
      <c r="U26" s="169">
        <f t="shared" si="8"/>
        <v>0.11</v>
      </c>
      <c r="V26" s="169">
        <f t="shared" si="8"/>
        <v>0.1</v>
      </c>
      <c r="W26" s="169">
        <f t="shared" si="8"/>
        <v>0.15</v>
      </c>
      <c r="X26" s="169">
        <f t="shared" si="8"/>
        <v>0.14000000000000001</v>
      </c>
      <c r="Y26" s="169">
        <f t="shared" si="8"/>
        <v>0.09</v>
      </c>
      <c r="Z26" s="169">
        <f t="shared" si="8"/>
        <v>6.5000000000000002E-2</v>
      </c>
      <c r="AA26" s="169">
        <f t="shared" si="8"/>
        <v>3.2500000000000001E-2</v>
      </c>
      <c r="AB26" s="169">
        <f t="shared" ref="AB26" si="9">+AB22+AB24</f>
        <v>1.56</v>
      </c>
      <c r="AC26" s="169"/>
      <c r="AD26" s="169"/>
      <c r="AE26" s="169"/>
      <c r="AF26" s="167"/>
      <c r="AG26" s="530"/>
      <c r="AH26" s="530"/>
      <c r="AI26" s="530"/>
      <c r="AJ26" s="530"/>
      <c r="AK26" s="530"/>
      <c r="AL26" s="530"/>
      <c r="AM26" s="530"/>
      <c r="AN26" s="530"/>
      <c r="AO26" s="531"/>
      <c r="AP26" s="532"/>
      <c r="AQ26" s="530"/>
      <c r="AR26" s="530"/>
      <c r="AS26" s="530"/>
      <c r="AT26" s="530"/>
      <c r="AU26" s="530"/>
      <c r="AV26" s="530"/>
      <c r="AW26" s="530"/>
      <c r="AX26" s="582"/>
      <c r="AY26" s="583"/>
    </row>
    <row r="27" spans="1:51" ht="45.75" customHeight="1" x14ac:dyDescent="0.25">
      <c r="A27" s="585"/>
      <c r="B27" s="541"/>
      <c r="C27" s="541"/>
      <c r="D27" s="269" t="s">
        <v>45</v>
      </c>
      <c r="E27" s="163">
        <f t="shared" si="6"/>
        <v>3566518679</v>
      </c>
      <c r="F27" s="163">
        <f t="shared" si="6"/>
        <v>880910748.75</v>
      </c>
      <c r="G27" s="161">
        <f t="shared" si="6"/>
        <v>91072667</v>
      </c>
      <c r="H27" s="161">
        <f t="shared" si="6"/>
        <v>523194900</v>
      </c>
      <c r="I27" s="161">
        <f t="shared" si="6"/>
        <v>1428804345</v>
      </c>
      <c r="J27" s="161">
        <f t="shared" si="6"/>
        <v>609841433</v>
      </c>
      <c r="K27" s="161">
        <f t="shared" si="6"/>
        <v>38507889</v>
      </c>
      <c r="L27" s="161">
        <f t="shared" si="6"/>
        <v>156546706.63999999</v>
      </c>
      <c r="M27" s="161">
        <f t="shared" si="6"/>
        <v>127601313.64</v>
      </c>
      <c r="N27" s="161">
        <f t="shared" si="6"/>
        <v>19722439.25</v>
      </c>
      <c r="O27" s="161">
        <f t="shared" si="7"/>
        <v>3523642995</v>
      </c>
      <c r="P27" s="161"/>
      <c r="Q27" s="161"/>
      <c r="R27" s="161"/>
      <c r="S27" s="161"/>
      <c r="T27" s="161">
        <f t="shared" si="8"/>
        <v>91072667</v>
      </c>
      <c r="U27" s="161">
        <f t="shared" si="8"/>
        <v>523194900</v>
      </c>
      <c r="V27" s="161">
        <f t="shared" si="8"/>
        <v>1428804345</v>
      </c>
      <c r="W27" s="161">
        <f t="shared" si="8"/>
        <v>201051433</v>
      </c>
      <c r="X27" s="161">
        <f t="shared" si="8"/>
        <v>43507889</v>
      </c>
      <c r="Y27" s="161">
        <f t="shared" si="8"/>
        <v>155256706.63999999</v>
      </c>
      <c r="Z27" s="161">
        <f t="shared" si="8"/>
        <v>0</v>
      </c>
      <c r="AA27" s="161">
        <f t="shared" si="8"/>
        <v>25124140</v>
      </c>
      <c r="AB27" s="161">
        <f>AB23+AB25</f>
        <v>2738521892</v>
      </c>
      <c r="AC27" s="161"/>
      <c r="AD27" s="161"/>
      <c r="AE27" s="161"/>
      <c r="AF27" s="166"/>
      <c r="AG27" s="530"/>
      <c r="AH27" s="530"/>
      <c r="AI27" s="530"/>
      <c r="AJ27" s="530"/>
      <c r="AK27" s="530"/>
      <c r="AL27" s="530"/>
      <c r="AM27" s="530"/>
      <c r="AN27" s="530"/>
      <c r="AO27" s="531"/>
      <c r="AP27" s="532"/>
      <c r="AQ27" s="530"/>
      <c r="AR27" s="530"/>
      <c r="AS27" s="530"/>
      <c r="AT27" s="530"/>
      <c r="AU27" s="530"/>
      <c r="AV27" s="530"/>
      <c r="AW27" s="530"/>
      <c r="AX27" s="582"/>
      <c r="AY27" s="583"/>
    </row>
    <row r="28" spans="1:51" ht="45.75" customHeight="1" x14ac:dyDescent="0.25">
      <c r="A28" s="585">
        <v>4</v>
      </c>
      <c r="B28" s="540" t="s">
        <v>372</v>
      </c>
      <c r="C28" s="543" t="s">
        <v>599</v>
      </c>
      <c r="D28" s="164" t="s">
        <v>41</v>
      </c>
      <c r="E28" s="266">
        <v>893</v>
      </c>
      <c r="F28" s="266">
        <f>+[3]INVERSIÓN!BA31</f>
        <v>893</v>
      </c>
      <c r="G28" s="266">
        <v>15</v>
      </c>
      <c r="H28" s="266">
        <v>18</v>
      </c>
      <c r="I28" s="266">
        <v>90</v>
      </c>
      <c r="J28" s="266">
        <v>97</v>
      </c>
      <c r="K28" s="266">
        <v>97</v>
      </c>
      <c r="L28" s="266">
        <v>97</v>
      </c>
      <c r="M28" s="266">
        <v>97</v>
      </c>
      <c r="N28" s="266">
        <v>97</v>
      </c>
      <c r="O28" s="266">
        <v>893</v>
      </c>
      <c r="P28" s="266"/>
      <c r="Q28" s="266"/>
      <c r="R28" s="266"/>
      <c r="S28" s="266"/>
      <c r="T28" s="266">
        <v>36</v>
      </c>
      <c r="U28" s="266">
        <v>16</v>
      </c>
      <c r="V28" s="266">
        <v>104</v>
      </c>
      <c r="W28" s="266">
        <v>116</v>
      </c>
      <c r="X28" s="266">
        <v>76</v>
      </c>
      <c r="Y28" s="266">
        <v>24</v>
      </c>
      <c r="Z28" s="110">
        <v>22</v>
      </c>
      <c r="AA28" s="266">
        <v>13</v>
      </c>
      <c r="AB28" s="266">
        <v>757</v>
      </c>
      <c r="AC28" s="110">
        <v>94</v>
      </c>
      <c r="AD28" s="110">
        <v>115</v>
      </c>
      <c r="AE28" s="110">
        <v>94</v>
      </c>
      <c r="AF28" s="266"/>
      <c r="AG28" s="530" t="s">
        <v>366</v>
      </c>
      <c r="AH28" s="530" t="s">
        <v>367</v>
      </c>
      <c r="AI28" s="530" t="s">
        <v>367</v>
      </c>
      <c r="AJ28" s="530" t="s">
        <v>369</v>
      </c>
      <c r="AK28" s="530" t="s">
        <v>369</v>
      </c>
      <c r="AL28" s="530" t="s">
        <v>367</v>
      </c>
      <c r="AM28" s="530" t="s">
        <v>367</v>
      </c>
      <c r="AN28" s="530" t="s">
        <v>367</v>
      </c>
      <c r="AO28" s="531">
        <v>3721767</v>
      </c>
      <c r="AP28" s="532">
        <v>4082893</v>
      </c>
      <c r="AQ28" s="530" t="s">
        <v>367</v>
      </c>
      <c r="AR28" s="530" t="s">
        <v>367</v>
      </c>
      <c r="AS28" s="530" t="s">
        <v>367</v>
      </c>
      <c r="AT28" s="530" t="s">
        <v>367</v>
      </c>
      <c r="AU28" s="530" t="s">
        <v>367</v>
      </c>
      <c r="AV28" s="530" t="s">
        <v>367</v>
      </c>
      <c r="AW28" s="530" t="s">
        <v>367</v>
      </c>
      <c r="AX28" s="582">
        <f>+AO28+AP28</f>
        <v>7804660</v>
      </c>
      <c r="AY28" s="583"/>
    </row>
    <row r="29" spans="1:51" ht="45.75" customHeight="1" x14ac:dyDescent="0.25">
      <c r="A29" s="585"/>
      <c r="B29" s="541"/>
      <c r="C29" s="543"/>
      <c r="D29" s="269" t="s">
        <v>3</v>
      </c>
      <c r="E29" s="166">
        <v>1480481000</v>
      </c>
      <c r="F29" s="166">
        <f>+[3]INVERSIÓN!BA32</f>
        <v>1587481000.0000005</v>
      </c>
      <c r="G29" s="166">
        <v>0</v>
      </c>
      <c r="H29" s="166">
        <v>740287000</v>
      </c>
      <c r="I29" s="166">
        <v>261288000</v>
      </c>
      <c r="J29" s="166">
        <v>0</v>
      </c>
      <c r="K29" s="130">
        <v>0</v>
      </c>
      <c r="L29" s="130">
        <v>150666666.66666666</v>
      </c>
      <c r="M29" s="130">
        <v>150666666.66666666</v>
      </c>
      <c r="N29" s="130">
        <v>156047866.66666701</v>
      </c>
      <c r="O29" s="130">
        <f>INVERSIÓN!BD32</f>
        <v>1587481000.0000007</v>
      </c>
      <c r="P29" s="130"/>
      <c r="Q29" s="136"/>
      <c r="R29" s="136"/>
      <c r="S29" s="136"/>
      <c r="T29" s="130">
        <v>0</v>
      </c>
      <c r="U29" s="130">
        <v>740287000</v>
      </c>
      <c r="V29" s="130">
        <v>261288000</v>
      </c>
      <c r="W29" s="130">
        <v>0</v>
      </c>
      <c r="X29" s="130">
        <v>0</v>
      </c>
      <c r="Y29" s="130">
        <v>31304347.826086957</v>
      </c>
      <c r="Z29" s="130">
        <v>0</v>
      </c>
      <c r="AA29" s="130">
        <v>0</v>
      </c>
      <c r="AB29" s="159">
        <f>INVERSIÓN!BE32</f>
        <v>1151575000</v>
      </c>
      <c r="AC29" s="136"/>
      <c r="AD29" s="136"/>
      <c r="AE29" s="136"/>
      <c r="AG29" s="530"/>
      <c r="AH29" s="530"/>
      <c r="AI29" s="530"/>
      <c r="AJ29" s="530"/>
      <c r="AK29" s="530"/>
      <c r="AL29" s="530"/>
      <c r="AM29" s="530"/>
      <c r="AN29" s="530"/>
      <c r="AO29" s="531"/>
      <c r="AP29" s="532"/>
      <c r="AQ29" s="530"/>
      <c r="AR29" s="530"/>
      <c r="AS29" s="530"/>
      <c r="AT29" s="530"/>
      <c r="AU29" s="530"/>
      <c r="AV29" s="530"/>
      <c r="AW29" s="530"/>
      <c r="AX29" s="582"/>
      <c r="AY29" s="583"/>
    </row>
    <row r="30" spans="1:51" ht="45.75" customHeight="1" x14ac:dyDescent="0.25">
      <c r="A30" s="585"/>
      <c r="B30" s="541"/>
      <c r="C30" s="543"/>
      <c r="D30" s="164" t="s">
        <v>42</v>
      </c>
      <c r="E30" s="266">
        <v>0</v>
      </c>
      <c r="F30" s="266">
        <f>+[3]INVERSIÓN!BA34</f>
        <v>0</v>
      </c>
      <c r="G30" s="170">
        <v>0</v>
      </c>
      <c r="H30" s="170">
        <v>0</v>
      </c>
      <c r="I30" s="170">
        <v>0</v>
      </c>
      <c r="J30" s="170">
        <v>0</v>
      </c>
      <c r="K30" s="170">
        <v>0</v>
      </c>
      <c r="L30" s="170">
        <v>0</v>
      </c>
      <c r="M30" s="170">
        <v>0</v>
      </c>
      <c r="N30" s="170">
        <v>0</v>
      </c>
      <c r="O30" s="170">
        <f>+[3]INVERSIÓN!AS34</f>
        <v>0</v>
      </c>
      <c r="P30" s="266"/>
      <c r="Q30" s="266"/>
      <c r="R30" s="266"/>
      <c r="S30" s="167"/>
      <c r="T30" s="266">
        <v>0</v>
      </c>
      <c r="U30" s="266">
        <v>0</v>
      </c>
      <c r="V30" s="266">
        <v>0</v>
      </c>
      <c r="W30" s="266">
        <v>0</v>
      </c>
      <c r="X30" s="266">
        <v>0</v>
      </c>
      <c r="Y30" s="266">
        <v>0</v>
      </c>
      <c r="Z30" s="165">
        <v>0</v>
      </c>
      <c r="AA30" s="170">
        <v>0</v>
      </c>
      <c r="AB30" s="170">
        <v>0</v>
      </c>
      <c r="AC30" s="110"/>
      <c r="AD30" s="110"/>
      <c r="AE30" s="110"/>
      <c r="AF30" s="167"/>
      <c r="AG30" s="530"/>
      <c r="AH30" s="530"/>
      <c r="AI30" s="530"/>
      <c r="AJ30" s="530"/>
      <c r="AK30" s="530"/>
      <c r="AL30" s="530"/>
      <c r="AM30" s="530"/>
      <c r="AN30" s="530"/>
      <c r="AO30" s="531"/>
      <c r="AP30" s="532"/>
      <c r="AQ30" s="530"/>
      <c r="AR30" s="530"/>
      <c r="AS30" s="530"/>
      <c r="AT30" s="530"/>
      <c r="AU30" s="530"/>
      <c r="AV30" s="530"/>
      <c r="AW30" s="530"/>
      <c r="AX30" s="582"/>
      <c r="AY30" s="583"/>
    </row>
    <row r="31" spans="1:51" ht="45.75" customHeight="1" x14ac:dyDescent="0.25">
      <c r="A31" s="585"/>
      <c r="B31" s="541"/>
      <c r="C31" s="543"/>
      <c r="D31" s="269" t="s">
        <v>4</v>
      </c>
      <c r="E31" s="166">
        <v>131226434</v>
      </c>
      <c r="F31" s="166">
        <f>+[3]INVERSIÓN!BA35</f>
        <v>131226434</v>
      </c>
      <c r="G31" s="159">
        <v>69771834</v>
      </c>
      <c r="H31" s="159">
        <v>42432466</v>
      </c>
      <c r="I31" s="159">
        <v>19022134</v>
      </c>
      <c r="J31" s="159">
        <v>0</v>
      </c>
      <c r="K31" s="136">
        <v>0</v>
      </c>
      <c r="L31" s="136">
        <v>0</v>
      </c>
      <c r="M31" s="136">
        <v>0</v>
      </c>
      <c r="N31" s="136">
        <v>0</v>
      </c>
      <c r="O31" s="136">
        <f>INVERSIÓN!BD35</f>
        <v>131226434</v>
      </c>
      <c r="P31" s="130"/>
      <c r="Q31" s="136"/>
      <c r="R31" s="136"/>
      <c r="S31" s="161"/>
      <c r="T31" s="130">
        <v>69771834</v>
      </c>
      <c r="U31" s="130">
        <v>42432466</v>
      </c>
      <c r="V31" s="130">
        <v>19022134</v>
      </c>
      <c r="W31" s="130">
        <v>0</v>
      </c>
      <c r="X31" s="130">
        <v>0</v>
      </c>
      <c r="Y31" s="130">
        <v>0</v>
      </c>
      <c r="Z31" s="130">
        <v>0</v>
      </c>
      <c r="AA31" s="136">
        <v>0</v>
      </c>
      <c r="AB31" s="136">
        <f>INVERSIÓN!BE35</f>
        <v>131226434</v>
      </c>
      <c r="AC31" s="136"/>
      <c r="AD31" s="136"/>
      <c r="AE31" s="136"/>
      <c r="AF31" s="163"/>
      <c r="AG31" s="530"/>
      <c r="AH31" s="530"/>
      <c r="AI31" s="530"/>
      <c r="AJ31" s="530"/>
      <c r="AK31" s="530"/>
      <c r="AL31" s="530"/>
      <c r="AM31" s="530"/>
      <c r="AN31" s="530"/>
      <c r="AO31" s="531"/>
      <c r="AP31" s="532"/>
      <c r="AQ31" s="530"/>
      <c r="AR31" s="530"/>
      <c r="AS31" s="530"/>
      <c r="AT31" s="530"/>
      <c r="AU31" s="530"/>
      <c r="AV31" s="530"/>
      <c r="AW31" s="530"/>
      <c r="AX31" s="582"/>
      <c r="AY31" s="583"/>
    </row>
    <row r="32" spans="1:51" ht="45.75" customHeight="1" x14ac:dyDescent="0.25">
      <c r="A32" s="585"/>
      <c r="B32" s="541"/>
      <c r="C32" s="543"/>
      <c r="D32" s="164" t="s">
        <v>43</v>
      </c>
      <c r="E32" s="168">
        <f t="shared" ref="E32:N33" si="10">+E28+E30</f>
        <v>893</v>
      </c>
      <c r="F32" s="168">
        <f t="shared" si="10"/>
        <v>893</v>
      </c>
      <c r="G32" s="169">
        <f t="shared" si="10"/>
        <v>15</v>
      </c>
      <c r="H32" s="169">
        <f t="shared" si="10"/>
        <v>18</v>
      </c>
      <c r="I32" s="169">
        <f t="shared" si="10"/>
        <v>90</v>
      </c>
      <c r="J32" s="169">
        <f t="shared" si="10"/>
        <v>97</v>
      </c>
      <c r="K32" s="169">
        <f t="shared" si="10"/>
        <v>97</v>
      </c>
      <c r="L32" s="169">
        <f t="shared" si="10"/>
        <v>97</v>
      </c>
      <c r="M32" s="169">
        <f t="shared" si="10"/>
        <v>97</v>
      </c>
      <c r="N32" s="169">
        <f t="shared" si="10"/>
        <v>97</v>
      </c>
      <c r="O32" s="169">
        <f t="shared" ref="O32:O33" si="11">+O28+O30</f>
        <v>893</v>
      </c>
      <c r="P32" s="169"/>
      <c r="Q32" s="169"/>
      <c r="R32" s="169"/>
      <c r="S32" s="169"/>
      <c r="T32" s="169">
        <f t="shared" ref="T32:AA33" si="12">+T28+T30</f>
        <v>36</v>
      </c>
      <c r="U32" s="169">
        <f t="shared" si="12"/>
        <v>16</v>
      </c>
      <c r="V32" s="169">
        <f t="shared" si="12"/>
        <v>104</v>
      </c>
      <c r="W32" s="169">
        <f t="shared" si="12"/>
        <v>116</v>
      </c>
      <c r="X32" s="169">
        <f t="shared" si="12"/>
        <v>76</v>
      </c>
      <c r="Y32" s="169">
        <f t="shared" si="12"/>
        <v>24</v>
      </c>
      <c r="Z32" s="169">
        <f t="shared" si="12"/>
        <v>22</v>
      </c>
      <c r="AA32" s="169">
        <f t="shared" si="12"/>
        <v>13</v>
      </c>
      <c r="AB32" s="169">
        <f t="shared" ref="AB32" si="13">+AB28+AB30</f>
        <v>757</v>
      </c>
      <c r="AC32" s="169"/>
      <c r="AD32" s="169"/>
      <c r="AE32" s="169"/>
      <c r="AF32" s="167"/>
      <c r="AG32" s="530"/>
      <c r="AH32" s="530"/>
      <c r="AI32" s="530"/>
      <c r="AJ32" s="530"/>
      <c r="AK32" s="530"/>
      <c r="AL32" s="530"/>
      <c r="AM32" s="530"/>
      <c r="AN32" s="530"/>
      <c r="AO32" s="531"/>
      <c r="AP32" s="532"/>
      <c r="AQ32" s="530"/>
      <c r="AR32" s="530"/>
      <c r="AS32" s="530"/>
      <c r="AT32" s="530"/>
      <c r="AU32" s="530"/>
      <c r="AV32" s="530"/>
      <c r="AW32" s="530"/>
      <c r="AX32" s="582"/>
      <c r="AY32" s="583"/>
    </row>
    <row r="33" spans="1:51" ht="45.75" customHeight="1" x14ac:dyDescent="0.25">
      <c r="A33" s="586"/>
      <c r="B33" s="542"/>
      <c r="C33" s="543"/>
      <c r="D33" s="269" t="s">
        <v>45</v>
      </c>
      <c r="E33" s="163">
        <f t="shared" si="10"/>
        <v>1611707434</v>
      </c>
      <c r="F33" s="163">
        <f t="shared" si="10"/>
        <v>1718707434.0000005</v>
      </c>
      <c r="G33" s="161">
        <f t="shared" si="10"/>
        <v>69771834</v>
      </c>
      <c r="H33" s="161">
        <f t="shared" si="10"/>
        <v>782719466</v>
      </c>
      <c r="I33" s="161">
        <f t="shared" si="10"/>
        <v>280310134</v>
      </c>
      <c r="J33" s="161">
        <f t="shared" si="10"/>
        <v>0</v>
      </c>
      <c r="K33" s="161">
        <f t="shared" si="10"/>
        <v>0</v>
      </c>
      <c r="L33" s="161">
        <f t="shared" si="10"/>
        <v>150666666.66666666</v>
      </c>
      <c r="M33" s="161">
        <f t="shared" si="10"/>
        <v>150666666.66666666</v>
      </c>
      <c r="N33" s="161">
        <f t="shared" si="10"/>
        <v>156047866.66666701</v>
      </c>
      <c r="O33" s="161">
        <f t="shared" si="11"/>
        <v>1718707434.0000007</v>
      </c>
      <c r="P33" s="161"/>
      <c r="Q33" s="161"/>
      <c r="R33" s="161"/>
      <c r="S33" s="161"/>
      <c r="T33" s="161"/>
      <c r="U33" s="161">
        <v>740287000</v>
      </c>
      <c r="V33" s="161">
        <v>261288000</v>
      </c>
      <c r="W33" s="161">
        <f>+W29+W31</f>
        <v>0</v>
      </c>
      <c r="X33" s="161">
        <f>+X29+X31</f>
        <v>0</v>
      </c>
      <c r="Y33" s="161">
        <f>+Y29+Y31</f>
        <v>31304347.826086957</v>
      </c>
      <c r="Z33" s="161">
        <f>+Z29+Z31</f>
        <v>0</v>
      </c>
      <c r="AA33" s="161">
        <f t="shared" si="12"/>
        <v>0</v>
      </c>
      <c r="AB33" s="161">
        <f>AB29+AB31</f>
        <v>1282801434</v>
      </c>
      <c r="AC33" s="161"/>
      <c r="AD33" s="161"/>
      <c r="AE33" s="161"/>
      <c r="AF33" s="166"/>
      <c r="AG33" s="530"/>
      <c r="AH33" s="530"/>
      <c r="AI33" s="530"/>
      <c r="AJ33" s="530"/>
      <c r="AK33" s="530"/>
      <c r="AL33" s="530"/>
      <c r="AM33" s="530"/>
      <c r="AN33" s="530"/>
      <c r="AO33" s="531"/>
      <c r="AP33" s="532"/>
      <c r="AQ33" s="530"/>
      <c r="AR33" s="530"/>
      <c r="AS33" s="530"/>
      <c r="AT33" s="530"/>
      <c r="AU33" s="530"/>
      <c r="AV33" s="530"/>
      <c r="AW33" s="530"/>
      <c r="AX33" s="582"/>
      <c r="AY33" s="583"/>
    </row>
    <row r="34" spans="1:51" ht="49.9" customHeight="1" x14ac:dyDescent="0.25">
      <c r="A34" s="539">
        <v>5</v>
      </c>
      <c r="B34" s="530" t="s">
        <v>347</v>
      </c>
      <c r="C34" s="543" t="s">
        <v>530</v>
      </c>
      <c r="D34" s="155" t="s">
        <v>41</v>
      </c>
      <c r="E34" s="156">
        <v>1</v>
      </c>
      <c r="F34" s="156">
        <f>+[3]INVERSIÓN!BA38</f>
        <v>1</v>
      </c>
      <c r="G34" s="109">
        <v>1</v>
      </c>
      <c r="H34" s="109">
        <v>1</v>
      </c>
      <c r="I34" s="109">
        <v>1</v>
      </c>
      <c r="J34" s="109">
        <v>1</v>
      </c>
      <c r="K34" s="109">
        <v>1</v>
      </c>
      <c r="L34" s="109">
        <v>1</v>
      </c>
      <c r="M34" s="109">
        <v>1</v>
      </c>
      <c r="N34" s="109">
        <f>+[3]INVERSIÓN!AQ38</f>
        <v>1</v>
      </c>
      <c r="O34" s="109">
        <f>+[3]INVERSIÓN!AS38</f>
        <v>1</v>
      </c>
      <c r="P34" s="129"/>
      <c r="Q34" s="109"/>
      <c r="R34" s="109"/>
      <c r="S34" s="129"/>
      <c r="T34" s="109">
        <v>1</v>
      </c>
      <c r="U34" s="109">
        <v>1</v>
      </c>
      <c r="V34" s="109">
        <v>1</v>
      </c>
      <c r="W34" s="109">
        <v>1</v>
      </c>
      <c r="X34" s="109">
        <v>1</v>
      </c>
      <c r="Y34" s="109">
        <v>1</v>
      </c>
      <c r="Z34" s="109">
        <f>+[3]INVERSIÓN!AP38</f>
        <v>1</v>
      </c>
      <c r="AA34" s="109">
        <f>+[3]INVERSIÓN!AR38</f>
        <v>1</v>
      </c>
      <c r="AB34" s="109">
        <f>+[3]INVERSIÓN!AT38</f>
        <v>1</v>
      </c>
      <c r="AC34" s="109"/>
      <c r="AD34" s="109"/>
      <c r="AE34" s="109"/>
      <c r="AF34" s="171"/>
      <c r="AG34" s="530" t="s">
        <v>366</v>
      </c>
      <c r="AH34" s="530" t="s">
        <v>367</v>
      </c>
      <c r="AI34" s="530" t="s">
        <v>367</v>
      </c>
      <c r="AJ34" s="530" t="s">
        <v>374</v>
      </c>
      <c r="AK34" s="530" t="s">
        <v>369</v>
      </c>
      <c r="AL34" s="530" t="s">
        <v>367</v>
      </c>
      <c r="AM34" s="530" t="s">
        <v>367</v>
      </c>
      <c r="AN34" s="530" t="s">
        <v>367</v>
      </c>
      <c r="AO34" s="533">
        <v>3751549</v>
      </c>
      <c r="AP34" s="536">
        <v>4082618</v>
      </c>
      <c r="AQ34" s="530" t="s">
        <v>367</v>
      </c>
      <c r="AR34" s="530" t="s">
        <v>367</v>
      </c>
      <c r="AS34" s="530" t="s">
        <v>367</v>
      </c>
      <c r="AT34" s="530" t="s">
        <v>367</v>
      </c>
      <c r="AU34" s="530" t="s">
        <v>367</v>
      </c>
      <c r="AV34" s="530" t="s">
        <v>367</v>
      </c>
      <c r="AW34" s="530" t="s">
        <v>367</v>
      </c>
      <c r="AX34" s="582">
        <f>+AO34+AP34</f>
        <v>7834167</v>
      </c>
      <c r="AY34" s="583"/>
    </row>
    <row r="35" spans="1:51" ht="49.9" customHeight="1" x14ac:dyDescent="0.25">
      <c r="A35" s="539"/>
      <c r="B35" s="530"/>
      <c r="C35" s="543"/>
      <c r="D35" s="269" t="s">
        <v>3</v>
      </c>
      <c r="E35" s="159">
        <v>689070000</v>
      </c>
      <c r="F35" s="159">
        <f>+[3]INVERSIÓN!BA39</f>
        <v>749390000</v>
      </c>
      <c r="G35" s="166">
        <v>0</v>
      </c>
      <c r="H35" s="166">
        <v>34584000</v>
      </c>
      <c r="I35" s="166">
        <v>308422000</v>
      </c>
      <c r="J35" s="166">
        <v>1738634</v>
      </c>
      <c r="K35" s="130">
        <v>14241944</v>
      </c>
      <c r="L35" s="130">
        <v>0</v>
      </c>
      <c r="M35" s="130">
        <v>0</v>
      </c>
      <c r="N35" s="136">
        <f>+[3]INVERSIÓN!AQ39</f>
        <v>87584607.333333299</v>
      </c>
      <c r="O35" s="136">
        <f>INVERSIÓN!BD39</f>
        <v>749389999.99999988</v>
      </c>
      <c r="P35" s="130"/>
      <c r="Q35" s="136"/>
      <c r="R35" s="136"/>
      <c r="S35" s="130"/>
      <c r="T35" s="130">
        <v>0</v>
      </c>
      <c r="U35" s="130">
        <v>34584000</v>
      </c>
      <c r="V35" s="130">
        <v>308422000</v>
      </c>
      <c r="W35" s="130">
        <v>1738634</v>
      </c>
      <c r="X35" s="130">
        <v>9241944</v>
      </c>
      <c r="Y35" s="130">
        <v>101779714</v>
      </c>
      <c r="Z35" s="130">
        <f>+[3]INVERSIÓN!AP39</f>
        <v>0</v>
      </c>
      <c r="AA35" s="130">
        <f>+[3]INVERSIÓN!AR39</f>
        <v>36764000</v>
      </c>
      <c r="AB35" s="159">
        <f>INVERSIÓN!BE39</f>
        <v>492530292</v>
      </c>
      <c r="AC35" s="136"/>
      <c r="AD35" s="136"/>
      <c r="AE35" s="136"/>
      <c r="AG35" s="530"/>
      <c r="AH35" s="530"/>
      <c r="AI35" s="530"/>
      <c r="AJ35" s="530"/>
      <c r="AK35" s="530"/>
      <c r="AL35" s="530"/>
      <c r="AM35" s="530"/>
      <c r="AN35" s="530"/>
      <c r="AO35" s="534"/>
      <c r="AP35" s="537"/>
      <c r="AQ35" s="530"/>
      <c r="AR35" s="530"/>
      <c r="AS35" s="530"/>
      <c r="AT35" s="530"/>
      <c r="AU35" s="530"/>
      <c r="AV35" s="530"/>
      <c r="AW35" s="530"/>
      <c r="AX35" s="582"/>
      <c r="AY35" s="583"/>
    </row>
    <row r="36" spans="1:51" ht="49.9" customHeight="1" x14ac:dyDescent="0.25">
      <c r="A36" s="539"/>
      <c r="B36" s="530"/>
      <c r="C36" s="543"/>
      <c r="D36" s="155" t="s">
        <v>42</v>
      </c>
      <c r="E36" s="156">
        <v>0</v>
      </c>
      <c r="F36" s="156">
        <f>+[3]INVERSIÓN!BA41</f>
        <v>0</v>
      </c>
      <c r="G36" s="171">
        <v>0</v>
      </c>
      <c r="H36" s="171">
        <v>0</v>
      </c>
      <c r="I36" s="171">
        <v>0</v>
      </c>
      <c r="J36" s="171">
        <v>0</v>
      </c>
      <c r="K36" s="129">
        <v>0</v>
      </c>
      <c r="L36" s="129">
        <v>0</v>
      </c>
      <c r="M36" s="129">
        <v>0</v>
      </c>
      <c r="N36" s="109">
        <f>+[3]INVERSIÓN!AQ41</f>
        <v>0</v>
      </c>
      <c r="O36" s="109">
        <f>+[3]INVERSIÓN!AS41</f>
        <v>0</v>
      </c>
      <c r="P36" s="129"/>
      <c r="Q36" s="109"/>
      <c r="R36" s="109"/>
      <c r="S36" s="129"/>
      <c r="T36" s="129">
        <v>0</v>
      </c>
      <c r="U36" s="129">
        <v>0</v>
      </c>
      <c r="V36" s="129">
        <v>0</v>
      </c>
      <c r="W36" s="129">
        <v>0</v>
      </c>
      <c r="X36" s="129">
        <v>0</v>
      </c>
      <c r="Y36" s="129">
        <v>0</v>
      </c>
      <c r="Z36" s="129">
        <f>+[3]INVERSIÓN!AP41</f>
        <v>0</v>
      </c>
      <c r="AA36" s="129">
        <f>+[3]INVERSIÓN!AR41</f>
        <v>0</v>
      </c>
      <c r="AB36" s="129">
        <f>+[3]INVERSIÓN!AT41</f>
        <v>0</v>
      </c>
      <c r="AC36" s="109"/>
      <c r="AD36" s="109"/>
      <c r="AE36" s="109"/>
      <c r="AF36" s="156"/>
      <c r="AG36" s="530"/>
      <c r="AH36" s="530"/>
      <c r="AI36" s="530"/>
      <c r="AJ36" s="530"/>
      <c r="AK36" s="530"/>
      <c r="AL36" s="530"/>
      <c r="AM36" s="530"/>
      <c r="AN36" s="530"/>
      <c r="AO36" s="534"/>
      <c r="AP36" s="537"/>
      <c r="AQ36" s="530"/>
      <c r="AR36" s="530"/>
      <c r="AS36" s="530"/>
      <c r="AT36" s="530"/>
      <c r="AU36" s="530"/>
      <c r="AV36" s="530"/>
      <c r="AW36" s="530"/>
      <c r="AX36" s="582"/>
      <c r="AY36" s="583"/>
    </row>
    <row r="37" spans="1:51" ht="49.9" customHeight="1" x14ac:dyDescent="0.25">
      <c r="A37" s="539"/>
      <c r="B37" s="530"/>
      <c r="C37" s="543"/>
      <c r="D37" s="269" t="s">
        <v>4</v>
      </c>
      <c r="E37" s="159">
        <v>84042144</v>
      </c>
      <c r="F37" s="159">
        <f>+[3]INVERSIÓN!BA42</f>
        <v>84042144</v>
      </c>
      <c r="G37" s="166">
        <v>15431000</v>
      </c>
      <c r="H37" s="166">
        <v>26156334</v>
      </c>
      <c r="I37" s="166">
        <v>10660833</v>
      </c>
      <c r="J37" s="166">
        <v>15349934</v>
      </c>
      <c r="K37" s="130">
        <v>1480833</v>
      </c>
      <c r="L37" s="130">
        <v>2673933</v>
      </c>
      <c r="M37" s="130"/>
      <c r="N37" s="136">
        <f>+[3]INVERSIÓN!AQ42</f>
        <v>11094200</v>
      </c>
      <c r="O37" s="136">
        <f>INVERSIÓN!BD42</f>
        <v>84042144</v>
      </c>
      <c r="P37" s="130"/>
      <c r="Q37" s="130"/>
      <c r="R37" s="130"/>
      <c r="S37" s="130"/>
      <c r="T37" s="130">
        <v>15431000</v>
      </c>
      <c r="U37" s="130">
        <v>26156334</v>
      </c>
      <c r="V37" s="130">
        <v>10660833</v>
      </c>
      <c r="W37" s="130">
        <v>15349934</v>
      </c>
      <c r="X37" s="130">
        <v>1480833</v>
      </c>
      <c r="Y37" s="130">
        <v>4986645</v>
      </c>
      <c r="Z37" s="130">
        <f>+[3]INVERSIÓN!AP42</f>
        <v>0</v>
      </c>
      <c r="AA37" s="130">
        <f>+[3]INVERSIÓN!AR42</f>
        <v>2650000</v>
      </c>
      <c r="AB37" s="130">
        <f>INVERSIÓN!BE42</f>
        <v>76715579</v>
      </c>
      <c r="AC37" s="136"/>
      <c r="AD37" s="136"/>
      <c r="AE37" s="136"/>
      <c r="AF37" s="159"/>
      <c r="AG37" s="530"/>
      <c r="AH37" s="530"/>
      <c r="AI37" s="530"/>
      <c r="AJ37" s="530"/>
      <c r="AK37" s="530"/>
      <c r="AL37" s="530"/>
      <c r="AM37" s="530"/>
      <c r="AN37" s="530"/>
      <c r="AO37" s="534"/>
      <c r="AP37" s="537"/>
      <c r="AQ37" s="530"/>
      <c r="AR37" s="530"/>
      <c r="AS37" s="530"/>
      <c r="AT37" s="530"/>
      <c r="AU37" s="530"/>
      <c r="AV37" s="530"/>
      <c r="AW37" s="530"/>
      <c r="AX37" s="582"/>
      <c r="AY37" s="583"/>
    </row>
    <row r="38" spans="1:51" ht="49.9" customHeight="1" x14ac:dyDescent="0.25">
      <c r="A38" s="539"/>
      <c r="B38" s="530"/>
      <c r="C38" s="543"/>
      <c r="D38" s="155" t="s">
        <v>43</v>
      </c>
      <c r="E38" s="162">
        <f t="shared" ref="E38:N39" si="14">+E34+E36</f>
        <v>1</v>
      </c>
      <c r="F38" s="162">
        <f t="shared" si="14"/>
        <v>1</v>
      </c>
      <c r="G38" s="160">
        <f t="shared" si="14"/>
        <v>1</v>
      </c>
      <c r="H38" s="160">
        <f t="shared" si="14"/>
        <v>1</v>
      </c>
      <c r="I38" s="160">
        <f t="shared" si="14"/>
        <v>1</v>
      </c>
      <c r="J38" s="160">
        <f t="shared" si="14"/>
        <v>1</v>
      </c>
      <c r="K38" s="160">
        <f t="shared" si="14"/>
        <v>1</v>
      </c>
      <c r="L38" s="160">
        <f t="shared" si="14"/>
        <v>1</v>
      </c>
      <c r="M38" s="160">
        <f t="shared" si="14"/>
        <v>1</v>
      </c>
      <c r="N38" s="160">
        <f t="shared" si="14"/>
        <v>1</v>
      </c>
      <c r="O38" s="160">
        <f t="shared" ref="O38:O39" si="15">+O34+O36</f>
        <v>1</v>
      </c>
      <c r="P38" s="160"/>
      <c r="Q38" s="160"/>
      <c r="R38" s="160"/>
      <c r="S38" s="160"/>
      <c r="T38" s="160">
        <f t="shared" ref="T38:AA39" si="16">+T34+T36</f>
        <v>1</v>
      </c>
      <c r="U38" s="160">
        <f t="shared" si="16"/>
        <v>1</v>
      </c>
      <c r="V38" s="160">
        <f t="shared" si="16"/>
        <v>1</v>
      </c>
      <c r="W38" s="160">
        <f t="shared" si="16"/>
        <v>1</v>
      </c>
      <c r="X38" s="160">
        <f t="shared" si="16"/>
        <v>1</v>
      </c>
      <c r="Y38" s="160">
        <f t="shared" si="16"/>
        <v>1</v>
      </c>
      <c r="Z38" s="160">
        <f t="shared" si="16"/>
        <v>1</v>
      </c>
      <c r="AA38" s="160">
        <f t="shared" si="16"/>
        <v>1</v>
      </c>
      <c r="AB38" s="160">
        <f t="shared" ref="AB38" si="17">+AB34+AB36</f>
        <v>1</v>
      </c>
      <c r="AC38" s="160"/>
      <c r="AD38" s="160"/>
      <c r="AE38" s="160"/>
      <c r="AF38" s="162"/>
      <c r="AG38" s="530"/>
      <c r="AH38" s="530"/>
      <c r="AI38" s="530"/>
      <c r="AJ38" s="530"/>
      <c r="AK38" s="530"/>
      <c r="AL38" s="530"/>
      <c r="AM38" s="530"/>
      <c r="AN38" s="530"/>
      <c r="AO38" s="534"/>
      <c r="AP38" s="537"/>
      <c r="AQ38" s="530"/>
      <c r="AR38" s="530"/>
      <c r="AS38" s="530"/>
      <c r="AT38" s="530"/>
      <c r="AU38" s="530"/>
      <c r="AV38" s="530"/>
      <c r="AW38" s="530"/>
      <c r="AX38" s="582"/>
      <c r="AY38" s="583"/>
    </row>
    <row r="39" spans="1:51" ht="49.9" customHeight="1" x14ac:dyDescent="0.25">
      <c r="A39" s="539"/>
      <c r="B39" s="530"/>
      <c r="C39" s="543"/>
      <c r="D39" s="269" t="s">
        <v>45</v>
      </c>
      <c r="E39" s="163">
        <f t="shared" si="14"/>
        <v>773112144</v>
      </c>
      <c r="F39" s="163">
        <f t="shared" si="14"/>
        <v>833432144</v>
      </c>
      <c r="G39" s="161">
        <f t="shared" si="14"/>
        <v>15431000</v>
      </c>
      <c r="H39" s="161">
        <f t="shared" si="14"/>
        <v>60740334</v>
      </c>
      <c r="I39" s="161">
        <f t="shared" si="14"/>
        <v>319082833</v>
      </c>
      <c r="J39" s="161">
        <f t="shared" si="14"/>
        <v>17088568</v>
      </c>
      <c r="K39" s="161">
        <f t="shared" si="14"/>
        <v>15722777</v>
      </c>
      <c r="L39" s="161">
        <f t="shared" si="14"/>
        <v>2673933</v>
      </c>
      <c r="M39" s="161">
        <f t="shared" si="14"/>
        <v>0</v>
      </c>
      <c r="N39" s="161">
        <f t="shared" si="14"/>
        <v>98678807.333333299</v>
      </c>
      <c r="O39" s="161">
        <f t="shared" si="15"/>
        <v>833432143.99999988</v>
      </c>
      <c r="P39" s="161"/>
      <c r="Q39" s="161"/>
      <c r="R39" s="161"/>
      <c r="S39" s="161"/>
      <c r="T39" s="161">
        <f t="shared" si="16"/>
        <v>15431000</v>
      </c>
      <c r="U39" s="161">
        <f t="shared" si="16"/>
        <v>60740334</v>
      </c>
      <c r="V39" s="161">
        <f t="shared" si="16"/>
        <v>319082833</v>
      </c>
      <c r="W39" s="161">
        <f t="shared" si="16"/>
        <v>17088568</v>
      </c>
      <c r="X39" s="161">
        <f t="shared" si="16"/>
        <v>10722777</v>
      </c>
      <c r="Y39" s="161">
        <f t="shared" si="16"/>
        <v>106766359</v>
      </c>
      <c r="Z39" s="161">
        <f t="shared" si="16"/>
        <v>0</v>
      </c>
      <c r="AA39" s="161">
        <f t="shared" si="16"/>
        <v>39414000</v>
      </c>
      <c r="AB39" s="161">
        <f>AB35+AB37</f>
        <v>569245871</v>
      </c>
      <c r="AC39" s="161"/>
      <c r="AD39" s="161"/>
      <c r="AE39" s="161"/>
      <c r="AF39" s="166"/>
      <c r="AG39" s="530"/>
      <c r="AH39" s="530"/>
      <c r="AI39" s="530"/>
      <c r="AJ39" s="530"/>
      <c r="AK39" s="530"/>
      <c r="AL39" s="530"/>
      <c r="AM39" s="530"/>
      <c r="AN39" s="530"/>
      <c r="AO39" s="535"/>
      <c r="AP39" s="538"/>
      <c r="AQ39" s="530"/>
      <c r="AR39" s="530"/>
      <c r="AS39" s="530"/>
      <c r="AT39" s="530"/>
      <c r="AU39" s="530"/>
      <c r="AV39" s="530"/>
      <c r="AW39" s="530"/>
      <c r="AX39" s="582"/>
      <c r="AY39" s="583"/>
    </row>
    <row r="40" spans="1:51" ht="49.9" customHeight="1" x14ac:dyDescent="0.25">
      <c r="A40" s="539">
        <v>6</v>
      </c>
      <c r="B40" s="530" t="s">
        <v>353</v>
      </c>
      <c r="C40" s="543" t="s">
        <v>373</v>
      </c>
      <c r="D40" s="164" t="s">
        <v>41</v>
      </c>
      <c r="E40" s="170">
        <v>4707</v>
      </c>
      <c r="F40" s="170">
        <f>+[3]INVERSIÓN!BA45</f>
        <v>4707</v>
      </c>
      <c r="G40" s="266">
        <v>51</v>
      </c>
      <c r="H40" s="266">
        <v>66</v>
      </c>
      <c r="I40" s="266">
        <v>66</v>
      </c>
      <c r="J40" s="266">
        <v>473</v>
      </c>
      <c r="K40" s="266">
        <v>2050</v>
      </c>
      <c r="L40" s="266">
        <v>295</v>
      </c>
      <c r="M40" s="266">
        <v>295</v>
      </c>
      <c r="N40" s="266">
        <f>+[3]INVERSIÓN!AQ45</f>
        <v>295</v>
      </c>
      <c r="O40" s="266">
        <v>4707</v>
      </c>
      <c r="P40" s="266"/>
      <c r="Q40" s="266"/>
      <c r="R40" s="266"/>
      <c r="S40" s="266"/>
      <c r="T40" s="110">
        <v>278</v>
      </c>
      <c r="U40" s="110">
        <v>211</v>
      </c>
      <c r="V40" s="110">
        <v>837</v>
      </c>
      <c r="W40" s="110">
        <v>488</v>
      </c>
      <c r="X40" s="110">
        <v>892</v>
      </c>
      <c r="Y40" s="110">
        <v>798</v>
      </c>
      <c r="Z40" s="110">
        <f>+[3]INVERSIÓN!AP45</f>
        <v>265</v>
      </c>
      <c r="AA40" s="110">
        <f>+[3]INVERSIÓN!AR45</f>
        <v>203</v>
      </c>
      <c r="AB40" s="266">
        <v>4266</v>
      </c>
      <c r="AC40" s="110"/>
      <c r="AD40" s="110"/>
      <c r="AE40" s="110"/>
      <c r="AF40" s="47"/>
      <c r="AG40" s="530" t="s">
        <v>531</v>
      </c>
      <c r="AH40" s="530" t="s">
        <v>367</v>
      </c>
      <c r="AI40" s="530" t="s">
        <v>367</v>
      </c>
      <c r="AJ40" s="530" t="s">
        <v>531</v>
      </c>
      <c r="AK40" s="530" t="s">
        <v>369</v>
      </c>
      <c r="AL40" s="530" t="s">
        <v>367</v>
      </c>
      <c r="AM40" s="530" t="s">
        <v>367</v>
      </c>
      <c r="AN40" s="530" t="s">
        <v>367</v>
      </c>
      <c r="AO40" s="531">
        <v>1636823</v>
      </c>
      <c r="AP40" s="532">
        <v>1816010</v>
      </c>
      <c r="AQ40" s="530" t="s">
        <v>367</v>
      </c>
      <c r="AR40" s="530" t="s">
        <v>367</v>
      </c>
      <c r="AS40" s="530" t="s">
        <v>367</v>
      </c>
      <c r="AT40" s="530" t="s">
        <v>367</v>
      </c>
      <c r="AU40" s="530" t="s">
        <v>367</v>
      </c>
      <c r="AV40" s="530" t="s">
        <v>367</v>
      </c>
      <c r="AW40" s="530" t="s">
        <v>367</v>
      </c>
      <c r="AX40" s="582">
        <f>+AO40+AP40</f>
        <v>3452833</v>
      </c>
      <c r="AY40" s="583"/>
    </row>
    <row r="41" spans="1:51" ht="49.9" customHeight="1" x14ac:dyDescent="0.25">
      <c r="A41" s="539"/>
      <c r="B41" s="530"/>
      <c r="C41" s="543"/>
      <c r="D41" s="269" t="s">
        <v>3</v>
      </c>
      <c r="E41" s="159">
        <v>1294148000</v>
      </c>
      <c r="F41" s="159">
        <f>+[3]INVERSIÓN!BA46</f>
        <v>1294148000</v>
      </c>
      <c r="G41" s="166">
        <v>0</v>
      </c>
      <c r="H41" s="166">
        <v>385283000</v>
      </c>
      <c r="I41" s="166">
        <v>752696000</v>
      </c>
      <c r="J41" s="166">
        <v>0</v>
      </c>
      <c r="K41" s="130">
        <v>24066000</v>
      </c>
      <c r="L41" s="130">
        <v>0</v>
      </c>
      <c r="M41" s="130">
        <v>0</v>
      </c>
      <c r="N41" s="130">
        <f>+[3]INVERSIÓN!AQ46</f>
        <v>44034333.333333336</v>
      </c>
      <c r="O41" s="130">
        <f>INVERSIÓN!BD46</f>
        <v>1294147999.9999998</v>
      </c>
      <c r="P41" s="130"/>
      <c r="Q41" s="136"/>
      <c r="R41" s="136"/>
      <c r="S41" s="130"/>
      <c r="T41" s="130">
        <v>0</v>
      </c>
      <c r="U41" s="130">
        <v>385283000</v>
      </c>
      <c r="V41" s="130">
        <v>752696000</v>
      </c>
      <c r="W41" s="130">
        <v>0</v>
      </c>
      <c r="X41" s="130">
        <v>24066000</v>
      </c>
      <c r="Y41" s="130">
        <v>0</v>
      </c>
      <c r="Z41" s="130">
        <f>+[3]INVERSIÓN!AP46</f>
        <v>0</v>
      </c>
      <c r="AA41" s="130">
        <f>+[3]INVERSIÓN!AR46</f>
        <v>0</v>
      </c>
      <c r="AB41" s="159">
        <f>INVERSIÓN!BE46</f>
        <v>1186640500</v>
      </c>
      <c r="AC41" s="136"/>
      <c r="AD41" s="136"/>
      <c r="AE41" s="136"/>
      <c r="AF41" s="47"/>
      <c r="AG41" s="530"/>
      <c r="AH41" s="530"/>
      <c r="AI41" s="530"/>
      <c r="AJ41" s="530"/>
      <c r="AK41" s="530"/>
      <c r="AL41" s="530"/>
      <c r="AM41" s="530"/>
      <c r="AN41" s="530"/>
      <c r="AO41" s="531"/>
      <c r="AP41" s="532"/>
      <c r="AQ41" s="530"/>
      <c r="AR41" s="530"/>
      <c r="AS41" s="530"/>
      <c r="AT41" s="530"/>
      <c r="AU41" s="530"/>
      <c r="AV41" s="530"/>
      <c r="AW41" s="530"/>
      <c r="AX41" s="582"/>
      <c r="AY41" s="583"/>
    </row>
    <row r="42" spans="1:51" ht="49.9" customHeight="1" x14ac:dyDescent="0.25">
      <c r="A42" s="539"/>
      <c r="B42" s="530"/>
      <c r="C42" s="543"/>
      <c r="D42" s="164" t="s">
        <v>42</v>
      </c>
      <c r="E42" s="170">
        <v>0</v>
      </c>
      <c r="F42" s="170">
        <f>+[3]INVERSIÓN!BA48</f>
        <v>0</v>
      </c>
      <c r="G42" s="266">
        <v>0</v>
      </c>
      <c r="H42" s="266">
        <v>0</v>
      </c>
      <c r="I42" s="266">
        <v>0</v>
      </c>
      <c r="J42" s="266">
        <v>0</v>
      </c>
      <c r="K42" s="266">
        <v>0</v>
      </c>
      <c r="L42" s="266">
        <v>0</v>
      </c>
      <c r="M42" s="266">
        <v>0</v>
      </c>
      <c r="N42" s="266">
        <f>+[3]INVERSIÓN!AQ48</f>
        <v>0</v>
      </c>
      <c r="O42" s="266">
        <f>+[3]INVERSIÓN!AS48</f>
        <v>0</v>
      </c>
      <c r="P42" s="266"/>
      <c r="Q42" s="266"/>
      <c r="R42" s="266"/>
      <c r="S42" s="266"/>
      <c r="T42" s="110">
        <v>0</v>
      </c>
      <c r="U42" s="110">
        <v>0</v>
      </c>
      <c r="V42" s="110">
        <v>0</v>
      </c>
      <c r="W42" s="110">
        <v>0</v>
      </c>
      <c r="X42" s="110">
        <v>0</v>
      </c>
      <c r="Y42" s="110">
        <v>0</v>
      </c>
      <c r="Z42" s="110">
        <f>+[3]INVERSIÓN!AP48</f>
        <v>0</v>
      </c>
      <c r="AA42" s="110">
        <f>+[3]INVERSIÓN!AR48</f>
        <v>0</v>
      </c>
      <c r="AB42" s="110">
        <f>+[3]INVERSIÓN!AT48</f>
        <v>0</v>
      </c>
      <c r="AC42" s="110"/>
      <c r="AD42" s="110"/>
      <c r="AE42" s="110"/>
      <c r="AF42" s="170"/>
      <c r="AG42" s="530"/>
      <c r="AH42" s="530"/>
      <c r="AI42" s="530"/>
      <c r="AJ42" s="530"/>
      <c r="AK42" s="530"/>
      <c r="AL42" s="530"/>
      <c r="AM42" s="530"/>
      <c r="AN42" s="530"/>
      <c r="AO42" s="531"/>
      <c r="AP42" s="532"/>
      <c r="AQ42" s="530"/>
      <c r="AR42" s="530"/>
      <c r="AS42" s="530"/>
      <c r="AT42" s="530"/>
      <c r="AU42" s="530"/>
      <c r="AV42" s="530"/>
      <c r="AW42" s="530"/>
      <c r="AX42" s="582"/>
      <c r="AY42" s="583"/>
    </row>
    <row r="43" spans="1:51" ht="49.9" customHeight="1" x14ac:dyDescent="0.25">
      <c r="A43" s="539"/>
      <c r="B43" s="530"/>
      <c r="C43" s="543"/>
      <c r="D43" s="269" t="s">
        <v>4</v>
      </c>
      <c r="E43" s="130">
        <v>282323662</v>
      </c>
      <c r="F43" s="166">
        <f>+[3]INVERSIÓN!BA49</f>
        <v>274333630</v>
      </c>
      <c r="G43" s="166">
        <v>62610500</v>
      </c>
      <c r="H43" s="166">
        <v>113705833</v>
      </c>
      <c r="I43" s="166">
        <v>41010499</v>
      </c>
      <c r="J43" s="166">
        <v>24710465</v>
      </c>
      <c r="K43" s="130">
        <v>3094000</v>
      </c>
      <c r="L43" s="130">
        <v>14803433</v>
      </c>
      <c r="M43" s="130"/>
      <c r="N43" s="130">
        <f>+[3]INVERSIÓN!AQ49</f>
        <v>3761399</v>
      </c>
      <c r="O43" s="130">
        <f>INVERSIÓN!BD49</f>
        <v>274333630</v>
      </c>
      <c r="P43" s="130"/>
      <c r="Q43" s="136"/>
      <c r="R43" s="136"/>
      <c r="S43" s="130"/>
      <c r="T43" s="130">
        <v>62610500</v>
      </c>
      <c r="U43" s="130">
        <v>113705833</v>
      </c>
      <c r="V43" s="130">
        <v>41010499</v>
      </c>
      <c r="W43" s="130">
        <v>24710465</v>
      </c>
      <c r="X43" s="130">
        <v>3094000</v>
      </c>
      <c r="Y43" s="130">
        <v>14803433</v>
      </c>
      <c r="Z43" s="130">
        <f>+[3]INVERSIÓN!AP49</f>
        <v>0</v>
      </c>
      <c r="AA43" s="130">
        <f>+[3]INVERSIÓN!AR49</f>
        <v>0</v>
      </c>
      <c r="AB43" s="130">
        <f>INVERSIÓN!BE49</f>
        <v>259934730</v>
      </c>
      <c r="AC43" s="136"/>
      <c r="AD43" s="136"/>
      <c r="AE43" s="136"/>
      <c r="AF43" s="159"/>
      <c r="AG43" s="530"/>
      <c r="AH43" s="530"/>
      <c r="AI43" s="530"/>
      <c r="AJ43" s="530"/>
      <c r="AK43" s="530"/>
      <c r="AL43" s="530"/>
      <c r="AM43" s="530"/>
      <c r="AN43" s="530"/>
      <c r="AO43" s="531"/>
      <c r="AP43" s="532"/>
      <c r="AQ43" s="530"/>
      <c r="AR43" s="530"/>
      <c r="AS43" s="530"/>
      <c r="AT43" s="530"/>
      <c r="AU43" s="530"/>
      <c r="AV43" s="530"/>
      <c r="AW43" s="530"/>
      <c r="AX43" s="582"/>
      <c r="AY43" s="583"/>
    </row>
    <row r="44" spans="1:51" ht="49.9" customHeight="1" x14ac:dyDescent="0.25">
      <c r="A44" s="539"/>
      <c r="B44" s="530"/>
      <c r="C44" s="543"/>
      <c r="D44" s="164" t="s">
        <v>43</v>
      </c>
      <c r="E44" s="168">
        <f t="shared" ref="E44:N45" si="18">+E40+E42</f>
        <v>4707</v>
      </c>
      <c r="F44" s="168">
        <f t="shared" si="18"/>
        <v>4707</v>
      </c>
      <c r="G44" s="169">
        <f t="shared" si="18"/>
        <v>51</v>
      </c>
      <c r="H44" s="169">
        <f t="shared" si="18"/>
        <v>66</v>
      </c>
      <c r="I44" s="169">
        <f t="shared" si="18"/>
        <v>66</v>
      </c>
      <c r="J44" s="169">
        <f t="shared" si="18"/>
        <v>473</v>
      </c>
      <c r="K44" s="169">
        <f t="shared" si="18"/>
        <v>2050</v>
      </c>
      <c r="L44" s="169">
        <f t="shared" si="18"/>
        <v>295</v>
      </c>
      <c r="M44" s="169">
        <f t="shared" si="18"/>
        <v>295</v>
      </c>
      <c r="N44" s="169">
        <f t="shared" si="18"/>
        <v>295</v>
      </c>
      <c r="O44" s="169">
        <f t="shared" ref="O44:O45" si="19">+O40+O42</f>
        <v>4707</v>
      </c>
      <c r="P44" s="169"/>
      <c r="Q44" s="169"/>
      <c r="R44" s="169"/>
      <c r="S44" s="169"/>
      <c r="T44" s="169">
        <f t="shared" ref="T44:AA45" si="20">+T40+T42</f>
        <v>278</v>
      </c>
      <c r="U44" s="169">
        <f t="shared" si="20"/>
        <v>211</v>
      </c>
      <c r="V44" s="169">
        <f t="shared" si="20"/>
        <v>837</v>
      </c>
      <c r="W44" s="169">
        <f t="shared" si="20"/>
        <v>488</v>
      </c>
      <c r="X44" s="169">
        <f t="shared" si="20"/>
        <v>892</v>
      </c>
      <c r="Y44" s="169">
        <f t="shared" si="20"/>
        <v>798</v>
      </c>
      <c r="Z44" s="169">
        <f t="shared" si="20"/>
        <v>265</v>
      </c>
      <c r="AA44" s="169">
        <f t="shared" si="20"/>
        <v>203</v>
      </c>
      <c r="AB44" s="169">
        <f>AB40+AB42</f>
        <v>4266</v>
      </c>
      <c r="AC44" s="169"/>
      <c r="AD44" s="169"/>
      <c r="AE44" s="169"/>
      <c r="AF44" s="167"/>
      <c r="AG44" s="530"/>
      <c r="AH44" s="530"/>
      <c r="AI44" s="530"/>
      <c r="AJ44" s="530"/>
      <c r="AK44" s="530"/>
      <c r="AL44" s="530"/>
      <c r="AM44" s="530"/>
      <c r="AN44" s="530"/>
      <c r="AO44" s="531"/>
      <c r="AP44" s="532"/>
      <c r="AQ44" s="530"/>
      <c r="AR44" s="530"/>
      <c r="AS44" s="530"/>
      <c r="AT44" s="530"/>
      <c r="AU44" s="530"/>
      <c r="AV44" s="530"/>
      <c r="AW44" s="530"/>
      <c r="AX44" s="582"/>
      <c r="AY44" s="583"/>
    </row>
    <row r="45" spans="1:51" ht="49.9" customHeight="1" x14ac:dyDescent="0.25">
      <c r="A45" s="539"/>
      <c r="B45" s="530"/>
      <c r="C45" s="543"/>
      <c r="D45" s="269" t="s">
        <v>45</v>
      </c>
      <c r="E45" s="163">
        <f t="shared" si="18"/>
        <v>1576471662</v>
      </c>
      <c r="F45" s="163">
        <f t="shared" si="18"/>
        <v>1568481630</v>
      </c>
      <c r="G45" s="161">
        <f t="shared" si="18"/>
        <v>62610500</v>
      </c>
      <c r="H45" s="161">
        <f t="shared" si="18"/>
        <v>498988833</v>
      </c>
      <c r="I45" s="161">
        <f t="shared" si="18"/>
        <v>793706499</v>
      </c>
      <c r="J45" s="161">
        <f t="shared" si="18"/>
        <v>24710465</v>
      </c>
      <c r="K45" s="161">
        <f t="shared" si="18"/>
        <v>27160000</v>
      </c>
      <c r="L45" s="161">
        <f t="shared" si="18"/>
        <v>14803433</v>
      </c>
      <c r="M45" s="161">
        <f t="shared" si="18"/>
        <v>0</v>
      </c>
      <c r="N45" s="161">
        <f t="shared" si="18"/>
        <v>47795732.333333336</v>
      </c>
      <c r="O45" s="161">
        <f t="shared" si="19"/>
        <v>1568481629.9999998</v>
      </c>
      <c r="P45" s="161"/>
      <c r="Q45" s="161"/>
      <c r="R45" s="161"/>
      <c r="S45" s="161"/>
      <c r="T45" s="161">
        <f t="shared" si="20"/>
        <v>62610500</v>
      </c>
      <c r="U45" s="161">
        <f t="shared" si="20"/>
        <v>498988833</v>
      </c>
      <c r="V45" s="161">
        <f t="shared" si="20"/>
        <v>793706499</v>
      </c>
      <c r="W45" s="161">
        <f t="shared" si="20"/>
        <v>24710465</v>
      </c>
      <c r="X45" s="161">
        <f t="shared" si="20"/>
        <v>27160000</v>
      </c>
      <c r="Y45" s="161">
        <f t="shared" si="20"/>
        <v>14803433</v>
      </c>
      <c r="Z45" s="161">
        <f t="shared" si="20"/>
        <v>0</v>
      </c>
      <c r="AA45" s="161">
        <f t="shared" si="20"/>
        <v>0</v>
      </c>
      <c r="AB45" s="161">
        <f>AB41+AB43</f>
        <v>1446575230</v>
      </c>
      <c r="AC45" s="161"/>
      <c r="AD45" s="161"/>
      <c r="AE45" s="161"/>
      <c r="AF45" s="166"/>
      <c r="AG45" s="530"/>
      <c r="AH45" s="530"/>
      <c r="AI45" s="530"/>
      <c r="AJ45" s="530"/>
      <c r="AK45" s="530"/>
      <c r="AL45" s="530"/>
      <c r="AM45" s="530"/>
      <c r="AN45" s="530"/>
      <c r="AO45" s="531"/>
      <c r="AP45" s="532"/>
      <c r="AQ45" s="530"/>
      <c r="AR45" s="530"/>
      <c r="AS45" s="530"/>
      <c r="AT45" s="530"/>
      <c r="AU45" s="530"/>
      <c r="AV45" s="530"/>
      <c r="AW45" s="530"/>
      <c r="AX45" s="582"/>
      <c r="AY45" s="583"/>
    </row>
    <row r="46" spans="1:51" ht="49.9" customHeight="1" x14ac:dyDescent="0.25">
      <c r="A46" s="539">
        <v>7</v>
      </c>
      <c r="B46" s="530" t="s">
        <v>359</v>
      </c>
      <c r="C46" s="543" t="s">
        <v>375</v>
      </c>
      <c r="D46" s="155" t="s">
        <v>41</v>
      </c>
      <c r="E46" s="156">
        <v>1</v>
      </c>
      <c r="F46" s="156">
        <f>+[3]INVERSIÓN!BA52</f>
        <v>1</v>
      </c>
      <c r="G46" s="109">
        <v>1</v>
      </c>
      <c r="H46" s="109">
        <v>1</v>
      </c>
      <c r="I46" s="109">
        <v>1</v>
      </c>
      <c r="J46" s="109">
        <v>1</v>
      </c>
      <c r="K46" s="109">
        <v>1</v>
      </c>
      <c r="L46" s="109">
        <v>1</v>
      </c>
      <c r="M46" s="109">
        <v>1</v>
      </c>
      <c r="N46" s="109">
        <f>+[3]INVERSIÓN!AQ52</f>
        <v>1</v>
      </c>
      <c r="O46" s="109">
        <f>+[3]INVERSIÓN!AS52</f>
        <v>1</v>
      </c>
      <c r="P46" s="129"/>
      <c r="Q46" s="109"/>
      <c r="R46" s="109"/>
      <c r="S46" s="129"/>
      <c r="T46" s="109">
        <v>1</v>
      </c>
      <c r="U46" s="109">
        <v>1</v>
      </c>
      <c r="V46" s="109">
        <v>1</v>
      </c>
      <c r="W46" s="109">
        <v>0.64</v>
      </c>
      <c r="X46" s="109">
        <v>0.877</v>
      </c>
      <c r="Y46" s="109">
        <v>0.91600000000000004</v>
      </c>
      <c r="Z46" s="109">
        <f>+[3]INVERSIÓN!AP52</f>
        <v>1</v>
      </c>
      <c r="AA46" s="109">
        <f>+[3]INVERSIÓN!AR52</f>
        <v>0.91300000000000003</v>
      </c>
      <c r="AB46" s="109">
        <f>+[3]INVERSIÓN!AT52</f>
        <v>1</v>
      </c>
      <c r="AC46" s="109"/>
      <c r="AD46" s="109"/>
      <c r="AE46" s="109"/>
      <c r="AF46" s="171"/>
      <c r="AG46" s="530" t="s">
        <v>366</v>
      </c>
      <c r="AH46" s="530" t="s">
        <v>367</v>
      </c>
      <c r="AI46" s="530" t="s">
        <v>367</v>
      </c>
      <c r="AJ46" s="530" t="s">
        <v>369</v>
      </c>
      <c r="AK46" s="530" t="s">
        <v>369</v>
      </c>
      <c r="AL46" s="530" t="s">
        <v>367</v>
      </c>
      <c r="AM46" s="530" t="s">
        <v>367</v>
      </c>
      <c r="AN46" s="530" t="s">
        <v>367</v>
      </c>
      <c r="AO46" s="533">
        <v>3751549</v>
      </c>
      <c r="AP46" s="536">
        <v>4082618</v>
      </c>
      <c r="AQ46" s="530" t="s">
        <v>367</v>
      </c>
      <c r="AR46" s="530" t="s">
        <v>367</v>
      </c>
      <c r="AS46" s="530" t="s">
        <v>367</v>
      </c>
      <c r="AT46" s="530" t="s">
        <v>367</v>
      </c>
      <c r="AU46" s="530" t="s">
        <v>367</v>
      </c>
      <c r="AV46" s="530" t="s">
        <v>367</v>
      </c>
      <c r="AW46" s="530" t="s">
        <v>367</v>
      </c>
      <c r="AX46" s="582">
        <f>+AO46+AP46</f>
        <v>7834167</v>
      </c>
      <c r="AY46" s="583"/>
    </row>
    <row r="47" spans="1:51" ht="49.9" customHeight="1" x14ac:dyDescent="0.25">
      <c r="A47" s="539"/>
      <c r="B47" s="530"/>
      <c r="C47" s="543"/>
      <c r="D47" s="269" t="s">
        <v>3</v>
      </c>
      <c r="E47" s="159">
        <v>691670000</v>
      </c>
      <c r="F47" s="159">
        <f>+[3]INVERSIÓN!BA53</f>
        <v>557942070</v>
      </c>
      <c r="G47" s="166">
        <v>0</v>
      </c>
      <c r="H47" s="166">
        <v>326043000</v>
      </c>
      <c r="I47" s="166">
        <v>89595000</v>
      </c>
      <c r="J47" s="166">
        <v>100480000</v>
      </c>
      <c r="K47" s="130">
        <v>0</v>
      </c>
      <c r="L47" s="130">
        <v>0</v>
      </c>
      <c r="M47" s="130">
        <v>0</v>
      </c>
      <c r="N47" s="136">
        <f>+[3]INVERSIÓN!AQ53</f>
        <v>36785066.666666672</v>
      </c>
      <c r="O47" s="136">
        <f>INVERSIÓN!BD53</f>
        <v>557942070</v>
      </c>
      <c r="P47" s="130"/>
      <c r="Q47" s="136"/>
      <c r="R47" s="136"/>
      <c r="S47" s="136"/>
      <c r="T47" s="130">
        <v>0</v>
      </c>
      <c r="U47" s="130">
        <v>326043000</v>
      </c>
      <c r="V47" s="130">
        <v>89595000</v>
      </c>
      <c r="W47" s="130">
        <v>100480000</v>
      </c>
      <c r="X47" s="130">
        <v>0</v>
      </c>
      <c r="Y47" s="130">
        <v>0</v>
      </c>
      <c r="Z47" s="130">
        <f>+[3]INVERSIÓN!AP53</f>
        <v>0</v>
      </c>
      <c r="AA47" s="130">
        <f>+[3]INVERSIÓN!AR53</f>
        <v>0</v>
      </c>
      <c r="AB47" s="159">
        <f>INVERSIÓN!BE53</f>
        <v>516118000</v>
      </c>
      <c r="AC47" s="136"/>
      <c r="AD47" s="136"/>
      <c r="AE47" s="136"/>
      <c r="AG47" s="530"/>
      <c r="AH47" s="530"/>
      <c r="AI47" s="530"/>
      <c r="AJ47" s="530"/>
      <c r="AK47" s="530"/>
      <c r="AL47" s="530"/>
      <c r="AM47" s="530"/>
      <c r="AN47" s="530"/>
      <c r="AO47" s="534"/>
      <c r="AP47" s="537"/>
      <c r="AQ47" s="530"/>
      <c r="AR47" s="530"/>
      <c r="AS47" s="530"/>
      <c r="AT47" s="530"/>
      <c r="AU47" s="530"/>
      <c r="AV47" s="530"/>
      <c r="AW47" s="530"/>
      <c r="AX47" s="582"/>
      <c r="AY47" s="583"/>
    </row>
    <row r="48" spans="1:51" ht="49.9" customHeight="1" x14ac:dyDescent="0.25">
      <c r="A48" s="539"/>
      <c r="B48" s="530"/>
      <c r="C48" s="543"/>
      <c r="D48" s="155" t="s">
        <v>42</v>
      </c>
      <c r="E48" s="156">
        <v>0</v>
      </c>
      <c r="F48" s="156">
        <f>+[3]INVERSIÓN!BA55</f>
        <v>0</v>
      </c>
      <c r="G48" s="171">
        <v>0</v>
      </c>
      <c r="H48" s="171">
        <v>0</v>
      </c>
      <c r="I48" s="171">
        <v>0</v>
      </c>
      <c r="J48" s="171">
        <v>0</v>
      </c>
      <c r="K48" s="129">
        <v>0</v>
      </c>
      <c r="L48" s="129">
        <v>0</v>
      </c>
      <c r="M48" s="129">
        <v>0</v>
      </c>
      <c r="N48" s="109">
        <f>+[3]INVERSIÓN!AQ55</f>
        <v>0</v>
      </c>
      <c r="O48" s="109">
        <f>+[3]INVERSIÓN!AS55</f>
        <v>0</v>
      </c>
      <c r="P48" s="129"/>
      <c r="Q48" s="109"/>
      <c r="R48" s="109"/>
      <c r="S48" s="109"/>
      <c r="T48" s="109">
        <v>0</v>
      </c>
      <c r="U48" s="109">
        <v>0</v>
      </c>
      <c r="V48" s="109">
        <v>0</v>
      </c>
      <c r="W48" s="109">
        <v>0</v>
      </c>
      <c r="X48" s="109">
        <v>0</v>
      </c>
      <c r="Y48" s="109">
        <v>0</v>
      </c>
      <c r="Z48" s="109">
        <f>+[3]INVERSIÓN!AP55</f>
        <v>0</v>
      </c>
      <c r="AA48" s="109">
        <f>+[3]INVERSIÓN!AR55</f>
        <v>0</v>
      </c>
      <c r="AB48" s="109">
        <f>+[3]INVERSIÓN!AT55</f>
        <v>0</v>
      </c>
      <c r="AC48" s="109"/>
      <c r="AD48" s="109"/>
      <c r="AE48" s="109"/>
      <c r="AF48" s="156"/>
      <c r="AG48" s="530"/>
      <c r="AH48" s="530"/>
      <c r="AI48" s="530"/>
      <c r="AJ48" s="530"/>
      <c r="AK48" s="530"/>
      <c r="AL48" s="530"/>
      <c r="AM48" s="530"/>
      <c r="AN48" s="530"/>
      <c r="AO48" s="534"/>
      <c r="AP48" s="537"/>
      <c r="AQ48" s="530"/>
      <c r="AR48" s="530"/>
      <c r="AS48" s="530"/>
      <c r="AT48" s="530"/>
      <c r="AU48" s="530"/>
      <c r="AV48" s="530"/>
      <c r="AW48" s="530"/>
      <c r="AX48" s="582"/>
      <c r="AY48" s="583"/>
    </row>
    <row r="49" spans="1:51" ht="49.9" customHeight="1" x14ac:dyDescent="0.25">
      <c r="A49" s="539"/>
      <c r="B49" s="530"/>
      <c r="C49" s="543"/>
      <c r="D49" s="269" t="s">
        <v>4</v>
      </c>
      <c r="E49" s="159">
        <v>131174135</v>
      </c>
      <c r="F49" s="159">
        <f>+[3]INVERSIÓN!BA56</f>
        <v>131174135</v>
      </c>
      <c r="G49" s="166">
        <v>56494567</v>
      </c>
      <c r="H49" s="166">
        <v>56557034</v>
      </c>
      <c r="I49" s="166">
        <v>7384000</v>
      </c>
      <c r="J49" s="166">
        <v>3121667</v>
      </c>
      <c r="K49" s="130">
        <v>3746000</v>
      </c>
      <c r="L49" s="130">
        <v>3870867</v>
      </c>
      <c r="M49" s="130"/>
      <c r="N49" s="136">
        <f>+[3]INVERSIÓN!AQ56</f>
        <v>0</v>
      </c>
      <c r="O49" s="136">
        <f>INVERSIÓN!G56</f>
        <v>131174135</v>
      </c>
      <c r="P49" s="130"/>
      <c r="Q49" s="130"/>
      <c r="R49" s="130"/>
      <c r="S49" s="130"/>
      <c r="T49" s="130">
        <v>56494567</v>
      </c>
      <c r="U49" s="130">
        <v>56557034</v>
      </c>
      <c r="V49" s="130">
        <v>7384000</v>
      </c>
      <c r="W49" s="130">
        <v>3121667</v>
      </c>
      <c r="X49" s="130">
        <v>3746000</v>
      </c>
      <c r="Y49" s="130">
        <v>3870867</v>
      </c>
      <c r="Z49" s="130">
        <f>+[3]INVERSIÓN!AP56</f>
        <v>0</v>
      </c>
      <c r="AA49" s="130">
        <f>+[3]INVERSIÓN!AR56</f>
        <v>0</v>
      </c>
      <c r="AB49" s="130">
        <f>INVERSIÓN!BE56</f>
        <v>131174135</v>
      </c>
      <c r="AC49" s="136"/>
      <c r="AD49" s="136"/>
      <c r="AE49" s="136"/>
      <c r="AF49" s="159"/>
      <c r="AG49" s="530"/>
      <c r="AH49" s="530"/>
      <c r="AI49" s="530"/>
      <c r="AJ49" s="530"/>
      <c r="AK49" s="530"/>
      <c r="AL49" s="530"/>
      <c r="AM49" s="530"/>
      <c r="AN49" s="530"/>
      <c r="AO49" s="534"/>
      <c r="AP49" s="537"/>
      <c r="AQ49" s="530"/>
      <c r="AR49" s="530"/>
      <c r="AS49" s="530"/>
      <c r="AT49" s="530"/>
      <c r="AU49" s="530"/>
      <c r="AV49" s="530"/>
      <c r="AW49" s="530"/>
      <c r="AX49" s="582"/>
      <c r="AY49" s="583"/>
    </row>
    <row r="50" spans="1:51" ht="49.9" customHeight="1" x14ac:dyDescent="0.25">
      <c r="A50" s="539"/>
      <c r="B50" s="530"/>
      <c r="C50" s="543"/>
      <c r="D50" s="172" t="s">
        <v>43</v>
      </c>
      <c r="E50" s="162">
        <f t="shared" ref="E50:N51" si="21">+E46+E48</f>
        <v>1</v>
      </c>
      <c r="F50" s="162">
        <f t="shared" si="21"/>
        <v>1</v>
      </c>
      <c r="G50" s="160">
        <f t="shared" si="21"/>
        <v>1</v>
      </c>
      <c r="H50" s="160">
        <f t="shared" si="21"/>
        <v>1</v>
      </c>
      <c r="I50" s="160">
        <f t="shared" si="21"/>
        <v>1</v>
      </c>
      <c r="J50" s="160">
        <f t="shared" si="21"/>
        <v>1</v>
      </c>
      <c r="K50" s="160">
        <f t="shared" si="21"/>
        <v>1</v>
      </c>
      <c r="L50" s="160">
        <f t="shared" si="21"/>
        <v>1</v>
      </c>
      <c r="M50" s="160">
        <f t="shared" si="21"/>
        <v>1</v>
      </c>
      <c r="N50" s="160">
        <f t="shared" si="21"/>
        <v>1</v>
      </c>
      <c r="O50" s="160">
        <f t="shared" ref="O50:O51" si="22">+O46+O48</f>
        <v>1</v>
      </c>
      <c r="P50" s="160"/>
      <c r="Q50" s="160"/>
      <c r="R50" s="160"/>
      <c r="S50" s="160"/>
      <c r="T50" s="160">
        <f t="shared" ref="T50:AA51" si="23">+T46+T48</f>
        <v>1</v>
      </c>
      <c r="U50" s="160">
        <f t="shared" si="23"/>
        <v>1</v>
      </c>
      <c r="V50" s="160">
        <f t="shared" si="23"/>
        <v>1</v>
      </c>
      <c r="W50" s="160">
        <f t="shared" si="23"/>
        <v>0.64</v>
      </c>
      <c r="X50" s="160">
        <f t="shared" si="23"/>
        <v>0.877</v>
      </c>
      <c r="Y50" s="160">
        <f t="shared" si="23"/>
        <v>0.91600000000000004</v>
      </c>
      <c r="Z50" s="160">
        <f t="shared" si="23"/>
        <v>1</v>
      </c>
      <c r="AA50" s="160">
        <f t="shared" si="23"/>
        <v>0.91300000000000003</v>
      </c>
      <c r="AB50" s="160">
        <f t="shared" ref="AB50" si="24">+AB46+AB48</f>
        <v>1</v>
      </c>
      <c r="AC50" s="160"/>
      <c r="AD50" s="160"/>
      <c r="AE50" s="160"/>
      <c r="AF50" s="162"/>
      <c r="AG50" s="530"/>
      <c r="AH50" s="530"/>
      <c r="AI50" s="530"/>
      <c r="AJ50" s="530"/>
      <c r="AK50" s="530"/>
      <c r="AL50" s="530"/>
      <c r="AM50" s="530"/>
      <c r="AN50" s="530"/>
      <c r="AO50" s="534"/>
      <c r="AP50" s="537"/>
      <c r="AQ50" s="530"/>
      <c r="AR50" s="530"/>
      <c r="AS50" s="530"/>
      <c r="AT50" s="530"/>
      <c r="AU50" s="530"/>
      <c r="AV50" s="530"/>
      <c r="AW50" s="530"/>
      <c r="AX50" s="582"/>
      <c r="AY50" s="583"/>
    </row>
    <row r="51" spans="1:51" ht="38.25" x14ac:dyDescent="0.25">
      <c r="A51" s="539"/>
      <c r="B51" s="530"/>
      <c r="C51" s="543"/>
      <c r="D51" s="270" t="s">
        <v>45</v>
      </c>
      <c r="E51" s="163">
        <f t="shared" si="21"/>
        <v>822844135</v>
      </c>
      <c r="F51" s="163">
        <f t="shared" si="21"/>
        <v>689116205</v>
      </c>
      <c r="G51" s="161">
        <f t="shared" si="21"/>
        <v>56494567</v>
      </c>
      <c r="H51" s="161">
        <f t="shared" si="21"/>
        <v>382600034</v>
      </c>
      <c r="I51" s="161">
        <f t="shared" si="21"/>
        <v>96979000</v>
      </c>
      <c r="J51" s="161">
        <f t="shared" si="21"/>
        <v>103601667</v>
      </c>
      <c r="K51" s="161">
        <f t="shared" si="21"/>
        <v>3746000</v>
      </c>
      <c r="L51" s="161">
        <f t="shared" si="21"/>
        <v>3870867</v>
      </c>
      <c r="M51" s="161">
        <f t="shared" si="21"/>
        <v>0</v>
      </c>
      <c r="N51" s="161">
        <f t="shared" si="21"/>
        <v>36785066.666666672</v>
      </c>
      <c r="O51" s="161">
        <f t="shared" si="22"/>
        <v>689116205</v>
      </c>
      <c r="P51" s="161"/>
      <c r="Q51" s="161"/>
      <c r="R51" s="161"/>
      <c r="S51" s="161"/>
      <c r="T51" s="161">
        <f t="shared" si="23"/>
        <v>56494567</v>
      </c>
      <c r="U51" s="161">
        <f t="shared" si="23"/>
        <v>382600034</v>
      </c>
      <c r="V51" s="161">
        <f t="shared" si="23"/>
        <v>96979000</v>
      </c>
      <c r="W51" s="161">
        <f t="shared" si="23"/>
        <v>103601667</v>
      </c>
      <c r="X51" s="161">
        <f t="shared" si="23"/>
        <v>3746000</v>
      </c>
      <c r="Y51" s="161">
        <f t="shared" si="23"/>
        <v>3870867</v>
      </c>
      <c r="Z51" s="161">
        <f t="shared" si="23"/>
        <v>0</v>
      </c>
      <c r="AA51" s="161">
        <f t="shared" si="23"/>
        <v>0</v>
      </c>
      <c r="AB51" s="161">
        <f>AB47+AB49</f>
        <v>647292135</v>
      </c>
      <c r="AC51" s="161"/>
      <c r="AD51" s="161"/>
      <c r="AE51" s="161"/>
      <c r="AF51" s="173"/>
      <c r="AG51" s="530"/>
      <c r="AH51" s="530"/>
      <c r="AI51" s="530"/>
      <c r="AJ51" s="530"/>
      <c r="AK51" s="530"/>
      <c r="AL51" s="530"/>
      <c r="AM51" s="530"/>
      <c r="AN51" s="530"/>
      <c r="AO51" s="535"/>
      <c r="AP51" s="538"/>
      <c r="AQ51" s="530"/>
      <c r="AR51" s="530"/>
      <c r="AS51" s="530"/>
      <c r="AT51" s="530"/>
      <c r="AU51" s="530"/>
      <c r="AV51" s="530"/>
      <c r="AW51" s="530"/>
      <c r="AX51" s="582"/>
      <c r="AY51" s="583"/>
    </row>
    <row r="52" spans="1:51" ht="24" x14ac:dyDescent="0.25">
      <c r="A52" s="587" t="s">
        <v>22</v>
      </c>
      <c r="B52" s="588"/>
      <c r="C52" s="588"/>
      <c r="D52" s="174" t="s">
        <v>34</v>
      </c>
      <c r="E52" s="175">
        <f>+E11+E17+E23+E29+E35+E41+E47</f>
        <v>10067880000</v>
      </c>
      <c r="F52" s="175">
        <f>+F11+F17+F23+F29+F35+F41+F47</f>
        <v>7846204763</v>
      </c>
      <c r="G52" s="175">
        <f t="shared" ref="G52:O52" si="25">+G11+G17+G23+G29+G35+G41+G47</f>
        <v>0</v>
      </c>
      <c r="H52" s="175">
        <f t="shared" si="25"/>
        <v>2665269000</v>
      </c>
      <c r="I52" s="175">
        <f t="shared" si="25"/>
        <v>3685714150</v>
      </c>
      <c r="J52" s="175">
        <f t="shared" si="25"/>
        <v>881440491</v>
      </c>
      <c r="K52" s="175">
        <f t="shared" si="25"/>
        <v>38307944</v>
      </c>
      <c r="L52" s="175">
        <f t="shared" si="25"/>
        <v>420928630.30666661</v>
      </c>
      <c r="M52" s="175">
        <f t="shared" si="25"/>
        <v>420928630.30666661</v>
      </c>
      <c r="N52" s="175">
        <f t="shared" si="25"/>
        <v>523524601.0000003</v>
      </c>
      <c r="O52" s="175">
        <f t="shared" si="25"/>
        <v>10044380000</v>
      </c>
      <c r="P52" s="390">
        <f t="shared" ref="P52:AB52" si="26">P11+P17+P23+P29+P35+P41+P47</f>
        <v>0</v>
      </c>
      <c r="Q52" s="390">
        <f t="shared" si="26"/>
        <v>0</v>
      </c>
      <c r="R52" s="390">
        <f t="shared" si="26"/>
        <v>0</v>
      </c>
      <c r="S52" s="390">
        <f t="shared" si="26"/>
        <v>0</v>
      </c>
      <c r="T52" s="390">
        <f t="shared" si="26"/>
        <v>0</v>
      </c>
      <c r="U52" s="390">
        <f t="shared" si="26"/>
        <v>2665269000</v>
      </c>
      <c r="V52" s="390">
        <f t="shared" si="26"/>
        <v>3685714150</v>
      </c>
      <c r="W52" s="390">
        <f t="shared" si="26"/>
        <v>472650491</v>
      </c>
      <c r="X52" s="390">
        <f t="shared" si="26"/>
        <v>38307944</v>
      </c>
      <c r="Y52" s="390">
        <f t="shared" si="26"/>
        <v>403192164.46608692</v>
      </c>
      <c r="Z52" s="390">
        <f t="shared" si="26"/>
        <v>24890000</v>
      </c>
      <c r="AA52" s="390">
        <f t="shared" si="26"/>
        <v>36764000</v>
      </c>
      <c r="AB52" s="390">
        <f t="shared" si="26"/>
        <v>7707811094</v>
      </c>
      <c r="AC52" s="175">
        <f>+AC11+AC17+AC23+AC29+AC35+AC41+AC47</f>
        <v>0</v>
      </c>
      <c r="AD52" s="175">
        <f>+AD11+AD17+AD23+AD29+AD35+AD41+AD47</f>
        <v>0</v>
      </c>
      <c r="AE52" s="175">
        <f>+AE11+AE17+AE23+AE29+AE35+AE41+AE47</f>
        <v>0</v>
      </c>
      <c r="AF52" s="390"/>
      <c r="AG52" s="591"/>
      <c r="AH52" s="592"/>
      <c r="AI52" s="592"/>
      <c r="AJ52" s="592"/>
      <c r="AK52" s="592"/>
      <c r="AL52" s="592"/>
      <c r="AM52" s="592"/>
      <c r="AN52" s="592"/>
      <c r="AO52" s="592"/>
      <c r="AP52" s="592"/>
      <c r="AQ52" s="592"/>
      <c r="AR52" s="592"/>
      <c r="AS52" s="592"/>
      <c r="AT52" s="592"/>
      <c r="AU52" s="592"/>
      <c r="AV52" s="592"/>
      <c r="AW52" s="592"/>
      <c r="AX52" s="592"/>
      <c r="AY52" s="593"/>
    </row>
    <row r="53" spans="1:51" ht="24" x14ac:dyDescent="0.25">
      <c r="A53" s="587"/>
      <c r="B53" s="588"/>
      <c r="C53" s="588"/>
      <c r="D53" s="174" t="s">
        <v>33</v>
      </c>
      <c r="E53" s="175">
        <f>+E13+E19+E25+E31+E37+E43+E49</f>
        <v>1791725580</v>
      </c>
      <c r="F53" s="175">
        <f>+F13+F19+F25+F31+F37+F43+F49</f>
        <v>1327208538.75</v>
      </c>
      <c r="G53" s="175">
        <f t="shared" ref="G53:O53" si="27">+G13+G19+G25+G31+G37+G43+G49</f>
        <v>420302557</v>
      </c>
      <c r="H53" s="175">
        <f t="shared" si="27"/>
        <v>475612458</v>
      </c>
      <c r="I53" s="175">
        <f t="shared" si="27"/>
        <v>237108188</v>
      </c>
      <c r="J53" s="175">
        <f t="shared" si="27"/>
        <v>109178008</v>
      </c>
      <c r="K53" s="175">
        <f t="shared" si="27"/>
        <v>142791967</v>
      </c>
      <c r="L53" s="175">
        <f t="shared" si="27"/>
        <v>135933686</v>
      </c>
      <c r="M53" s="175">
        <f t="shared" si="27"/>
        <v>63971107</v>
      </c>
      <c r="N53" s="175">
        <f t="shared" si="27"/>
        <v>68829171.25</v>
      </c>
      <c r="O53" s="175">
        <f t="shared" si="27"/>
        <v>1771765548</v>
      </c>
      <c r="P53" s="390">
        <f t="shared" ref="P53:AB53" si="28">P49+P43+P37+P31+P25+P19+P13</f>
        <v>0</v>
      </c>
      <c r="Q53" s="390">
        <f t="shared" si="28"/>
        <v>0</v>
      </c>
      <c r="R53" s="390">
        <f t="shared" si="28"/>
        <v>0</v>
      </c>
      <c r="S53" s="390">
        <f t="shared" si="28"/>
        <v>0</v>
      </c>
      <c r="T53" s="390">
        <f t="shared" si="28"/>
        <v>420302557</v>
      </c>
      <c r="U53" s="390">
        <f t="shared" si="28"/>
        <v>475612458</v>
      </c>
      <c r="V53" s="390">
        <f t="shared" si="28"/>
        <v>237108188</v>
      </c>
      <c r="W53" s="390">
        <f t="shared" si="28"/>
        <v>109178008</v>
      </c>
      <c r="X53" s="390">
        <f t="shared" si="28"/>
        <v>142791967</v>
      </c>
      <c r="Y53" s="390">
        <f t="shared" si="28"/>
        <v>140092408</v>
      </c>
      <c r="Z53" s="390">
        <f t="shared" si="28"/>
        <v>0</v>
      </c>
      <c r="AA53" s="390">
        <f t="shared" si="28"/>
        <v>36839139</v>
      </c>
      <c r="AB53" s="390">
        <f t="shared" si="28"/>
        <v>1638861398</v>
      </c>
      <c r="AC53" s="175">
        <f>+AC13+AC19+AC25+AC31+AC37+AC43+AC49</f>
        <v>0</v>
      </c>
      <c r="AD53" s="175">
        <f>+AD12+AD18+AD24+AD30+AD36+AD42+AD48</f>
        <v>0</v>
      </c>
      <c r="AE53" s="175">
        <f>+AE13+AE19+AE25+AE31+AE37+AE43+AE49</f>
        <v>0</v>
      </c>
      <c r="AF53" s="390"/>
      <c r="AG53" s="594"/>
      <c r="AH53" s="595"/>
      <c r="AI53" s="595"/>
      <c r="AJ53" s="595"/>
      <c r="AK53" s="595"/>
      <c r="AL53" s="595"/>
      <c r="AM53" s="595"/>
      <c r="AN53" s="595"/>
      <c r="AO53" s="595"/>
      <c r="AP53" s="595"/>
      <c r="AQ53" s="595"/>
      <c r="AR53" s="595"/>
      <c r="AS53" s="595"/>
      <c r="AT53" s="595"/>
      <c r="AU53" s="595"/>
      <c r="AV53" s="595"/>
      <c r="AW53" s="595"/>
      <c r="AX53" s="595"/>
      <c r="AY53" s="596"/>
    </row>
    <row r="54" spans="1:51" ht="24.75" thickBot="1" x14ac:dyDescent="0.3">
      <c r="A54" s="589"/>
      <c r="B54" s="590"/>
      <c r="C54" s="590"/>
      <c r="D54" s="176" t="s">
        <v>32</v>
      </c>
      <c r="E54" s="175">
        <f t="shared" ref="E54" si="29">+E52+E53</f>
        <v>11859605580</v>
      </c>
      <c r="F54" s="175">
        <f t="shared" ref="F54:O54" si="30">+F52+F53</f>
        <v>9173413301.75</v>
      </c>
      <c r="G54" s="175">
        <f t="shared" si="30"/>
        <v>420302557</v>
      </c>
      <c r="H54" s="175">
        <f t="shared" si="30"/>
        <v>3140881458</v>
      </c>
      <c r="I54" s="175">
        <f t="shared" si="30"/>
        <v>3922822338</v>
      </c>
      <c r="J54" s="175">
        <f t="shared" si="30"/>
        <v>990618499</v>
      </c>
      <c r="K54" s="175">
        <f t="shared" si="30"/>
        <v>181099911</v>
      </c>
      <c r="L54" s="175">
        <f t="shared" si="30"/>
        <v>556862316.30666661</v>
      </c>
      <c r="M54" s="175">
        <f t="shared" si="30"/>
        <v>484899737.30666661</v>
      </c>
      <c r="N54" s="175">
        <f t="shared" si="30"/>
        <v>592353772.25000024</v>
      </c>
      <c r="O54" s="175">
        <f t="shared" si="30"/>
        <v>11816145548</v>
      </c>
      <c r="P54" s="390">
        <f t="shared" ref="P54:AB54" si="31">+P52+P53</f>
        <v>0</v>
      </c>
      <c r="Q54" s="390">
        <f t="shared" si="31"/>
        <v>0</v>
      </c>
      <c r="R54" s="390">
        <f t="shared" si="31"/>
        <v>0</v>
      </c>
      <c r="S54" s="390">
        <f t="shared" si="31"/>
        <v>0</v>
      </c>
      <c r="T54" s="390">
        <f t="shared" si="31"/>
        <v>420302557</v>
      </c>
      <c r="U54" s="390">
        <f t="shared" si="31"/>
        <v>3140881458</v>
      </c>
      <c r="V54" s="390">
        <f t="shared" si="31"/>
        <v>3922822338</v>
      </c>
      <c r="W54" s="390">
        <f t="shared" si="31"/>
        <v>581828499</v>
      </c>
      <c r="X54" s="390">
        <f t="shared" si="31"/>
        <v>181099911</v>
      </c>
      <c r="Y54" s="390">
        <f t="shared" si="31"/>
        <v>543284572.46608686</v>
      </c>
      <c r="Z54" s="390">
        <f t="shared" si="31"/>
        <v>24890000</v>
      </c>
      <c r="AA54" s="390">
        <f t="shared" si="31"/>
        <v>73603139</v>
      </c>
      <c r="AB54" s="390">
        <f t="shared" si="31"/>
        <v>9346672492</v>
      </c>
      <c r="AC54" s="175">
        <f t="shared" ref="AC54:AE54" si="32">+AC52+AC53</f>
        <v>0</v>
      </c>
      <c r="AD54" s="175">
        <f t="shared" si="32"/>
        <v>0</v>
      </c>
      <c r="AE54" s="175">
        <f t="shared" si="32"/>
        <v>0</v>
      </c>
      <c r="AF54" s="390"/>
      <c r="AG54" s="597"/>
      <c r="AH54" s="598"/>
      <c r="AI54" s="598"/>
      <c r="AJ54" s="598"/>
      <c r="AK54" s="598"/>
      <c r="AL54" s="598"/>
      <c r="AM54" s="598"/>
      <c r="AN54" s="598"/>
      <c r="AO54" s="598"/>
      <c r="AP54" s="598"/>
      <c r="AQ54" s="598"/>
      <c r="AR54" s="598"/>
      <c r="AS54" s="598"/>
      <c r="AT54" s="598"/>
      <c r="AU54" s="598"/>
      <c r="AV54" s="598"/>
      <c r="AW54" s="598"/>
      <c r="AX54" s="598"/>
      <c r="AY54" s="599"/>
    </row>
    <row r="55" spans="1:51" x14ac:dyDescent="0.25">
      <c r="A55" s="27"/>
      <c r="B55" s="27"/>
      <c r="C55" s="27"/>
      <c r="D55" s="27"/>
      <c r="E55" s="28"/>
      <c r="F55" s="65"/>
      <c r="G55" s="28"/>
      <c r="H55" s="28"/>
      <c r="I55" s="28"/>
      <c r="J55" s="28"/>
      <c r="K55" s="28"/>
      <c r="L55" s="28"/>
      <c r="M55" s="28"/>
      <c r="N55" s="28"/>
      <c r="O55" s="28"/>
      <c r="P55" s="28"/>
      <c r="Q55" s="28"/>
      <c r="R55" s="28"/>
      <c r="S55" s="28"/>
      <c r="T55" s="28"/>
      <c r="U55" s="28"/>
      <c r="V55" s="28"/>
      <c r="W55" s="28"/>
      <c r="X55" s="28"/>
      <c r="Y55" s="28"/>
      <c r="Z55" s="28"/>
      <c r="AA55" s="28"/>
      <c r="AB55" s="28"/>
      <c r="AC55" s="28"/>
      <c r="AD55" s="53"/>
      <c r="AE55" s="27"/>
      <c r="AF55" s="27"/>
      <c r="AG55" s="27"/>
      <c r="AH55" s="27"/>
      <c r="AI55" s="27"/>
      <c r="AJ55" s="27"/>
      <c r="AK55" s="27"/>
      <c r="AL55" s="27"/>
      <c r="AM55" s="27"/>
      <c r="AN55" s="27"/>
      <c r="AO55" s="27"/>
      <c r="AP55" s="44"/>
      <c r="AQ55" s="44"/>
      <c r="AR55" s="27"/>
      <c r="AS55" s="27"/>
      <c r="AT55" s="27"/>
      <c r="AU55" s="27"/>
      <c r="AV55" s="27"/>
      <c r="AW55" s="27"/>
      <c r="AX55" s="44"/>
    </row>
    <row r="56" spans="1:51" s="7" customFormat="1" ht="33.75" customHeight="1" x14ac:dyDescent="0.25">
      <c r="A56" s="11"/>
      <c r="B56" s="393" t="s">
        <v>35</v>
      </c>
      <c r="C56"/>
      <c r="D56"/>
      <c r="E56"/>
      <c r="F56"/>
      <c r="G56"/>
      <c r="H56"/>
      <c r="I56"/>
      <c r="J56"/>
      <c r="K56"/>
      <c r="L56"/>
      <c r="M56"/>
      <c r="N56"/>
      <c r="O56"/>
      <c r="P56"/>
      <c r="Q56" s="12"/>
      <c r="R56" s="12"/>
      <c r="S56" s="12"/>
      <c r="T56" s="12"/>
      <c r="U56" s="12"/>
      <c r="V56" s="56"/>
      <c r="W56" s="11"/>
      <c r="X56" s="11"/>
    </row>
    <row r="57" spans="1:51" s="7" customFormat="1" ht="33.75" customHeight="1" x14ac:dyDescent="0.25">
      <c r="A57" s="11"/>
      <c r="B57" s="391" t="s">
        <v>36</v>
      </c>
      <c r="C57" s="407" t="s">
        <v>37</v>
      </c>
      <c r="D57" s="407"/>
      <c r="E57" s="407"/>
      <c r="F57" s="407"/>
      <c r="G57" s="407"/>
      <c r="H57" s="407"/>
      <c r="I57" s="407"/>
      <c r="J57" s="420" t="s">
        <v>38</v>
      </c>
      <c r="K57" s="420"/>
      <c r="L57" s="420"/>
      <c r="M57" s="420"/>
      <c r="N57" s="420"/>
      <c r="O57" s="420"/>
      <c r="P57" s="420"/>
      <c r="Q57" s="12"/>
      <c r="R57" s="12"/>
      <c r="S57" s="12"/>
      <c r="T57" s="12"/>
      <c r="U57" s="12"/>
      <c r="V57" s="56"/>
      <c r="W57" s="11"/>
      <c r="X57" s="11"/>
    </row>
    <row r="58" spans="1:51" s="7" customFormat="1" ht="33.75" customHeight="1" x14ac:dyDescent="0.25">
      <c r="A58" s="11"/>
      <c r="B58" s="392">
        <v>13</v>
      </c>
      <c r="C58" s="466" t="s">
        <v>91</v>
      </c>
      <c r="D58" s="466"/>
      <c r="E58" s="466"/>
      <c r="F58" s="466"/>
      <c r="G58" s="466"/>
      <c r="H58" s="466"/>
      <c r="I58" s="466"/>
      <c r="J58" s="467" t="s">
        <v>82</v>
      </c>
      <c r="K58" s="467"/>
      <c r="L58" s="467"/>
      <c r="M58" s="467"/>
      <c r="N58" s="467"/>
      <c r="O58" s="467"/>
      <c r="P58" s="467"/>
      <c r="Q58" s="12"/>
      <c r="R58" s="12"/>
      <c r="S58" s="12"/>
      <c r="T58" s="12"/>
      <c r="U58" s="12"/>
      <c r="V58" s="56"/>
      <c r="W58" s="11"/>
      <c r="X58" s="11"/>
    </row>
    <row r="59" spans="1:51" s="7" customFormat="1" ht="33.75" customHeight="1" x14ac:dyDescent="0.25">
      <c r="A59" s="11"/>
      <c r="B59" s="392">
        <v>14</v>
      </c>
      <c r="C59" s="466" t="s">
        <v>603</v>
      </c>
      <c r="D59" s="466"/>
      <c r="E59" s="466"/>
      <c r="F59" s="466"/>
      <c r="G59" s="466"/>
      <c r="H59" s="466"/>
      <c r="I59" s="466"/>
      <c r="J59" s="467" t="s">
        <v>602</v>
      </c>
      <c r="K59" s="467"/>
      <c r="L59" s="467"/>
      <c r="M59" s="467"/>
      <c r="N59" s="467"/>
      <c r="O59" s="467"/>
      <c r="P59" s="467"/>
      <c r="Q59" s="12"/>
      <c r="R59" s="12"/>
      <c r="S59" s="12"/>
      <c r="T59" s="12"/>
      <c r="U59" s="12"/>
      <c r="V59" s="56"/>
      <c r="W59" s="11"/>
      <c r="X59" s="11"/>
    </row>
    <row r="60" spans="1:51" s="7" customFormat="1" ht="33.75" customHeight="1" x14ac:dyDescent="0.25">
      <c r="A60" s="11"/>
      <c r="B60" s="11"/>
      <c r="C60" s="14"/>
      <c r="D60" s="11"/>
      <c r="E60" s="11"/>
      <c r="F60" s="11"/>
      <c r="G60" s="11"/>
      <c r="H60" s="11"/>
      <c r="I60" s="11"/>
      <c r="J60" s="11"/>
      <c r="K60" s="11"/>
      <c r="L60" s="11"/>
      <c r="M60" s="11"/>
      <c r="N60" s="12"/>
      <c r="O60" s="12"/>
      <c r="P60" s="12"/>
      <c r="Q60" s="12"/>
      <c r="R60" s="12"/>
      <c r="S60" s="12"/>
      <c r="T60" s="12"/>
      <c r="U60" s="12"/>
      <c r="V60" s="56"/>
      <c r="W60" s="11"/>
      <c r="X60" s="11"/>
    </row>
    <row r="61" spans="1:51" s="7" customFormat="1" ht="33.75" customHeight="1" x14ac:dyDescent="0.25">
      <c r="A61" s="11"/>
      <c r="B61" s="11"/>
      <c r="C61" s="14"/>
      <c r="D61" s="11"/>
      <c r="E61" s="11"/>
      <c r="F61" s="11"/>
      <c r="G61" s="11"/>
      <c r="H61" s="11"/>
      <c r="I61" s="11"/>
      <c r="J61" s="11"/>
      <c r="K61" s="11"/>
      <c r="L61" s="11"/>
      <c r="M61" s="11"/>
      <c r="N61" s="12"/>
      <c r="O61" s="12"/>
      <c r="P61" s="12"/>
      <c r="Q61" s="12"/>
      <c r="R61" s="12"/>
      <c r="S61" s="12"/>
      <c r="T61" s="12"/>
      <c r="U61" s="12"/>
      <c r="V61" s="56"/>
      <c r="W61" s="11"/>
      <c r="X61" s="11"/>
    </row>
    <row r="62" spans="1:51" x14ac:dyDescent="0.25">
      <c r="A62" s="32"/>
      <c r="B62" s="32"/>
      <c r="C62" s="32"/>
      <c r="D62" s="32"/>
      <c r="E62" s="32"/>
      <c r="F62" s="66"/>
      <c r="G62" s="32"/>
      <c r="H62" s="32"/>
      <c r="I62" s="32"/>
      <c r="J62" s="32"/>
      <c r="K62" s="32"/>
      <c r="L62" s="32"/>
      <c r="M62" s="32"/>
      <c r="N62" s="32"/>
      <c r="O62" s="32"/>
      <c r="P62" s="32"/>
      <c r="Q62" s="32"/>
      <c r="R62" s="32"/>
      <c r="S62" s="32"/>
      <c r="T62" s="32"/>
      <c r="U62" s="32"/>
      <c r="V62" s="32"/>
      <c r="W62" s="32"/>
      <c r="X62" s="32"/>
      <c r="Y62" s="32"/>
      <c r="Z62" s="32"/>
      <c r="AA62" s="32"/>
      <c r="AB62" s="32"/>
      <c r="AC62" s="32"/>
      <c r="AD62" s="221"/>
      <c r="AE62" s="32"/>
      <c r="AF62" s="32"/>
      <c r="AG62" s="32"/>
      <c r="AH62" s="32"/>
      <c r="AI62" s="32"/>
      <c r="AJ62" s="32"/>
      <c r="AK62" s="32"/>
      <c r="AL62" s="32"/>
      <c r="AM62" s="32"/>
      <c r="AN62" s="32"/>
      <c r="AO62" s="32"/>
      <c r="AP62" s="32"/>
      <c r="AQ62" s="32"/>
      <c r="AR62" s="32"/>
      <c r="AS62" s="32"/>
      <c r="AT62" s="32"/>
      <c r="AU62" s="32"/>
      <c r="AV62" s="32"/>
      <c r="AW62" s="32"/>
      <c r="AX62" s="32"/>
    </row>
    <row r="63" spans="1:51" x14ac:dyDescent="0.25">
      <c r="A63" s="32"/>
      <c r="B63" s="32"/>
      <c r="C63" s="32"/>
      <c r="D63" s="32"/>
      <c r="E63" s="32"/>
      <c r="F63" s="66"/>
      <c r="G63" s="32"/>
      <c r="H63" s="32"/>
      <c r="I63" s="32"/>
      <c r="J63" s="32"/>
      <c r="K63" s="32"/>
      <c r="L63" s="32"/>
      <c r="M63" s="32"/>
      <c r="N63" s="32"/>
      <c r="O63" s="32"/>
      <c r="P63" s="32"/>
      <c r="Q63" s="32"/>
      <c r="R63" s="32"/>
      <c r="S63" s="32"/>
      <c r="T63" s="32"/>
      <c r="U63" s="32"/>
      <c r="V63" s="32"/>
      <c r="W63" s="32"/>
      <c r="X63" s="32"/>
      <c r="Y63" s="32"/>
      <c r="Z63" s="32"/>
      <c r="AA63" s="32"/>
      <c r="AB63" s="32"/>
      <c r="AC63" s="32"/>
      <c r="AD63" s="221"/>
      <c r="AE63" s="32"/>
      <c r="AF63" s="32"/>
      <c r="AG63" s="32"/>
      <c r="AH63" s="32"/>
      <c r="AI63" s="32"/>
      <c r="AJ63" s="32"/>
      <c r="AK63" s="32"/>
      <c r="AL63" s="32"/>
      <c r="AM63" s="32"/>
      <c r="AN63" s="32"/>
      <c r="AO63" s="32"/>
      <c r="AP63" s="32"/>
      <c r="AQ63" s="32"/>
      <c r="AR63" s="32"/>
      <c r="AS63" s="32"/>
      <c r="AT63" s="32"/>
      <c r="AU63" s="32"/>
      <c r="AV63" s="32"/>
      <c r="AW63" s="32"/>
      <c r="AX63" s="32"/>
    </row>
    <row r="64" spans="1:51" x14ac:dyDescent="0.25">
      <c r="R64" s="32"/>
      <c r="S64" s="32"/>
      <c r="T64" s="32"/>
      <c r="U64" s="32"/>
      <c r="V64" s="32"/>
      <c r="W64" s="32"/>
      <c r="X64" s="32"/>
      <c r="Y64" s="32"/>
      <c r="Z64" s="32"/>
      <c r="AA64" s="32"/>
      <c r="AB64" s="32"/>
      <c r="AC64" s="32"/>
      <c r="AD64" s="221"/>
    </row>
    <row r="65" spans="18:30" x14ac:dyDescent="0.25">
      <c r="R65" s="32"/>
      <c r="S65" s="32"/>
      <c r="T65" s="32"/>
      <c r="U65" s="32"/>
      <c r="V65" s="32"/>
      <c r="W65" s="32"/>
      <c r="X65" s="32"/>
      <c r="Y65" s="32"/>
      <c r="Z65" s="32"/>
      <c r="AA65" s="32"/>
      <c r="AB65" s="32"/>
      <c r="AC65" s="32"/>
      <c r="AD65" s="221"/>
    </row>
    <row r="66" spans="18:30" x14ac:dyDescent="0.25">
      <c r="R66" s="32"/>
      <c r="S66" s="32"/>
      <c r="T66" s="32"/>
      <c r="U66" s="32"/>
      <c r="V66" s="32"/>
      <c r="W66" s="32"/>
      <c r="X66" s="32"/>
      <c r="Y66" s="32"/>
      <c r="Z66" s="32"/>
      <c r="AA66" s="32"/>
      <c r="AB66" s="32"/>
      <c r="AC66" s="32"/>
      <c r="AD66" s="221"/>
    </row>
    <row r="67" spans="18:30" x14ac:dyDescent="0.25">
      <c r="R67" s="32"/>
      <c r="S67" s="32"/>
      <c r="T67" s="32"/>
      <c r="U67" s="32"/>
      <c r="V67" s="32"/>
      <c r="W67" s="32"/>
      <c r="X67" s="32"/>
      <c r="Y67" s="32"/>
      <c r="Z67" s="32"/>
      <c r="AA67" s="32"/>
      <c r="AB67" s="32"/>
      <c r="AC67" s="32"/>
      <c r="AD67" s="221"/>
    </row>
    <row r="68" spans="18:30" x14ac:dyDescent="0.25">
      <c r="R68" s="32"/>
      <c r="S68" s="32"/>
      <c r="T68" s="32"/>
      <c r="U68" s="32"/>
      <c r="V68" s="32"/>
      <c r="W68" s="32"/>
      <c r="X68" s="32"/>
      <c r="Y68" s="32"/>
      <c r="Z68" s="32"/>
      <c r="AA68" s="32"/>
      <c r="AB68" s="32"/>
      <c r="AC68" s="32"/>
      <c r="AD68" s="221"/>
    </row>
    <row r="69" spans="18:30" x14ac:dyDescent="0.25">
      <c r="R69" s="32"/>
      <c r="S69" s="32"/>
      <c r="T69" s="32"/>
      <c r="U69" s="32"/>
      <c r="V69" s="32"/>
      <c r="W69" s="32"/>
      <c r="X69" s="32"/>
      <c r="Y69" s="32"/>
      <c r="Z69" s="32"/>
      <c r="AA69" s="32"/>
      <c r="AB69" s="32"/>
      <c r="AC69" s="32"/>
      <c r="AD69" s="221"/>
    </row>
    <row r="70" spans="18:30" x14ac:dyDescent="0.25">
      <c r="R70" s="32"/>
      <c r="S70" s="32"/>
      <c r="T70" s="32"/>
      <c r="U70" s="32"/>
      <c r="V70" s="32"/>
      <c r="W70" s="32"/>
      <c r="X70" s="32"/>
      <c r="Y70" s="32"/>
      <c r="Z70" s="32"/>
      <c r="AA70" s="32"/>
      <c r="AB70" s="32"/>
      <c r="AC70" s="32"/>
      <c r="AD70" s="221"/>
    </row>
    <row r="71" spans="18:30" x14ac:dyDescent="0.25">
      <c r="R71" s="32"/>
      <c r="S71" s="32"/>
      <c r="T71" s="32"/>
      <c r="U71" s="32"/>
      <c r="V71" s="32"/>
      <c r="W71" s="32"/>
      <c r="X71" s="32"/>
      <c r="Y71" s="32"/>
      <c r="Z71" s="32"/>
      <c r="AA71" s="32"/>
      <c r="AB71" s="32"/>
      <c r="AC71" s="32"/>
      <c r="AD71" s="221"/>
    </row>
    <row r="72" spans="18:30" x14ac:dyDescent="0.25">
      <c r="R72" s="32"/>
      <c r="S72" s="32"/>
      <c r="T72" s="32"/>
      <c r="U72" s="32"/>
      <c r="V72" s="32"/>
      <c r="W72" s="32"/>
      <c r="X72" s="32"/>
      <c r="Y72" s="32"/>
      <c r="Z72" s="32"/>
      <c r="AA72" s="32"/>
      <c r="AB72" s="32"/>
      <c r="AC72" s="32"/>
      <c r="AD72" s="221"/>
    </row>
    <row r="73" spans="18:30" x14ac:dyDescent="0.25">
      <c r="R73" s="32"/>
      <c r="S73" s="32"/>
      <c r="T73" s="32"/>
      <c r="U73" s="32"/>
      <c r="V73" s="32"/>
      <c r="W73" s="32"/>
      <c r="X73" s="32"/>
      <c r="Y73" s="32"/>
      <c r="Z73" s="32"/>
      <c r="AA73" s="32"/>
      <c r="AB73" s="32"/>
      <c r="AC73" s="32"/>
      <c r="AD73" s="221"/>
    </row>
    <row r="74" spans="18:30" x14ac:dyDescent="0.25">
      <c r="R74" s="32"/>
      <c r="S74" s="32"/>
      <c r="T74" s="32"/>
      <c r="U74" s="32"/>
      <c r="V74" s="32"/>
      <c r="W74" s="32"/>
      <c r="X74" s="32"/>
      <c r="Y74" s="32"/>
      <c r="Z74" s="32"/>
      <c r="AA74" s="32"/>
      <c r="AB74" s="32"/>
      <c r="AC74" s="32"/>
      <c r="AD74" s="221"/>
    </row>
    <row r="75" spans="18:30" x14ac:dyDescent="0.25">
      <c r="R75" s="32"/>
      <c r="S75" s="32"/>
      <c r="T75" s="32"/>
      <c r="U75" s="32"/>
      <c r="V75" s="32"/>
      <c r="W75" s="32"/>
      <c r="X75" s="32"/>
      <c r="Y75" s="32"/>
      <c r="Z75" s="32"/>
      <c r="AA75" s="32"/>
      <c r="AB75" s="32"/>
      <c r="AC75" s="32"/>
      <c r="AD75" s="221"/>
    </row>
    <row r="76" spans="18:30" x14ac:dyDescent="0.25">
      <c r="R76" s="32"/>
      <c r="S76" s="32"/>
      <c r="T76" s="32"/>
      <c r="U76" s="32"/>
      <c r="V76" s="32"/>
      <c r="W76" s="32"/>
      <c r="X76" s="32"/>
      <c r="Y76" s="32"/>
      <c r="Z76" s="32"/>
      <c r="AA76" s="32"/>
      <c r="AB76" s="32"/>
      <c r="AC76" s="32"/>
      <c r="AD76" s="221"/>
    </row>
    <row r="77" spans="18:30" x14ac:dyDescent="0.25">
      <c r="R77" s="32"/>
      <c r="S77" s="32"/>
      <c r="T77" s="32"/>
      <c r="U77" s="32"/>
      <c r="V77" s="32"/>
      <c r="W77" s="32"/>
      <c r="X77" s="32"/>
      <c r="Y77" s="32"/>
      <c r="Z77" s="32"/>
      <c r="AA77" s="32"/>
      <c r="AB77" s="32"/>
      <c r="AC77" s="32"/>
      <c r="AD77" s="221"/>
    </row>
    <row r="78" spans="18:30" x14ac:dyDescent="0.25">
      <c r="R78" s="32"/>
      <c r="S78" s="32"/>
      <c r="T78" s="32"/>
      <c r="U78" s="32"/>
      <c r="V78" s="32"/>
      <c r="W78" s="32"/>
      <c r="X78" s="32"/>
      <c r="Y78" s="32"/>
      <c r="Z78" s="32"/>
      <c r="AA78" s="32"/>
      <c r="AB78" s="32"/>
      <c r="AC78" s="32"/>
      <c r="AD78" s="221"/>
    </row>
    <row r="79" spans="18:30" x14ac:dyDescent="0.25">
      <c r="R79" s="32"/>
      <c r="S79" s="32"/>
      <c r="T79" s="32"/>
      <c r="U79" s="32"/>
      <c r="V79" s="32"/>
      <c r="W79" s="32"/>
      <c r="X79" s="32"/>
      <c r="Y79" s="32"/>
      <c r="Z79" s="32"/>
      <c r="AA79" s="32"/>
      <c r="AB79" s="32"/>
      <c r="AC79" s="32"/>
      <c r="AD79" s="221"/>
    </row>
    <row r="80" spans="18:30" x14ac:dyDescent="0.25">
      <c r="R80" s="32"/>
      <c r="S80" s="32"/>
      <c r="T80" s="32"/>
      <c r="U80" s="32"/>
      <c r="V80" s="32"/>
      <c r="W80" s="32"/>
      <c r="X80" s="32"/>
      <c r="Y80" s="32"/>
      <c r="Z80" s="32"/>
      <c r="AA80" s="32"/>
      <c r="AB80" s="32"/>
      <c r="AC80" s="32"/>
      <c r="AD80" s="221"/>
    </row>
    <row r="81" spans="18:30" x14ac:dyDescent="0.25">
      <c r="R81" s="32"/>
      <c r="S81" s="32"/>
      <c r="T81" s="32"/>
      <c r="U81" s="32"/>
      <c r="V81" s="32"/>
      <c r="W81" s="32"/>
      <c r="X81" s="32"/>
      <c r="Y81" s="32"/>
      <c r="Z81" s="32"/>
      <c r="AA81" s="32"/>
      <c r="AB81" s="32"/>
      <c r="AC81" s="32"/>
      <c r="AD81" s="221"/>
    </row>
    <row r="82" spans="18:30" x14ac:dyDescent="0.25">
      <c r="R82" s="32"/>
      <c r="S82" s="32"/>
      <c r="T82" s="32"/>
      <c r="U82" s="32"/>
      <c r="V82" s="32"/>
      <c r="W82" s="32"/>
      <c r="X82" s="32"/>
      <c r="Y82" s="32"/>
      <c r="Z82" s="32"/>
      <c r="AA82" s="32"/>
      <c r="AB82" s="32"/>
      <c r="AC82" s="32"/>
      <c r="AD82" s="221"/>
    </row>
    <row r="83" spans="18:30" x14ac:dyDescent="0.25">
      <c r="R83" s="32"/>
      <c r="S83" s="32"/>
      <c r="T83" s="32"/>
      <c r="U83" s="32"/>
      <c r="V83" s="32"/>
      <c r="W83" s="32"/>
      <c r="X83" s="32"/>
      <c r="Y83" s="32"/>
      <c r="Z83" s="32"/>
      <c r="AA83" s="32"/>
      <c r="AB83" s="32"/>
      <c r="AC83" s="32"/>
      <c r="AD83" s="221"/>
    </row>
    <row r="84" spans="18:30" x14ac:dyDescent="0.25">
      <c r="R84" s="32"/>
      <c r="S84" s="32"/>
      <c r="T84" s="32"/>
      <c r="U84" s="32"/>
      <c r="V84" s="32"/>
      <c r="W84" s="32"/>
      <c r="X84" s="32"/>
      <c r="Y84" s="32"/>
      <c r="Z84" s="32"/>
      <c r="AA84" s="32"/>
      <c r="AB84" s="32"/>
      <c r="AC84" s="32"/>
      <c r="AD84" s="221"/>
    </row>
    <row r="85" spans="18:30" x14ac:dyDescent="0.25">
      <c r="R85" s="32"/>
      <c r="S85" s="32"/>
      <c r="T85" s="32"/>
      <c r="U85" s="32"/>
      <c r="V85" s="32"/>
      <c r="W85" s="32"/>
      <c r="X85" s="32"/>
      <c r="Y85" s="32"/>
      <c r="Z85" s="32"/>
      <c r="AA85" s="32"/>
      <c r="AB85" s="32"/>
      <c r="AC85" s="32"/>
      <c r="AD85" s="221"/>
    </row>
    <row r="86" spans="18:30" x14ac:dyDescent="0.25">
      <c r="R86" s="32"/>
      <c r="S86" s="32"/>
      <c r="T86" s="32"/>
      <c r="U86" s="32"/>
      <c r="V86" s="32"/>
      <c r="W86" s="32"/>
      <c r="X86" s="32"/>
      <c r="Y86" s="32"/>
      <c r="Z86" s="32"/>
      <c r="AA86" s="32"/>
      <c r="AB86" s="32"/>
      <c r="AC86" s="32"/>
      <c r="AD86" s="221"/>
    </row>
    <row r="87" spans="18:30" x14ac:dyDescent="0.25">
      <c r="R87" s="32"/>
      <c r="S87" s="32"/>
      <c r="T87" s="32"/>
      <c r="U87" s="32"/>
      <c r="V87" s="32"/>
      <c r="W87" s="32"/>
      <c r="X87" s="32"/>
      <c r="Y87" s="32"/>
      <c r="Z87" s="32"/>
      <c r="AA87" s="32"/>
      <c r="AB87" s="32"/>
      <c r="AC87" s="32"/>
      <c r="AD87" s="221"/>
    </row>
    <row r="88" spans="18:30" x14ac:dyDescent="0.25">
      <c r="R88" s="32"/>
      <c r="S88" s="32"/>
      <c r="T88" s="32"/>
      <c r="U88" s="32"/>
      <c r="V88" s="32"/>
      <c r="W88" s="32"/>
      <c r="X88" s="32"/>
      <c r="Y88" s="32"/>
      <c r="Z88" s="32"/>
      <c r="AA88" s="32"/>
      <c r="AB88" s="32"/>
      <c r="AC88" s="32"/>
      <c r="AD88" s="221"/>
    </row>
    <row r="89" spans="18:30" x14ac:dyDescent="0.25">
      <c r="R89" s="32"/>
      <c r="S89" s="32"/>
      <c r="T89" s="32"/>
      <c r="U89" s="32"/>
      <c r="V89" s="32"/>
      <c r="W89" s="32"/>
      <c r="X89" s="32"/>
      <c r="Y89" s="32"/>
      <c r="Z89" s="32"/>
      <c r="AA89" s="32"/>
      <c r="AB89" s="32"/>
      <c r="AC89" s="32"/>
      <c r="AD89" s="221"/>
    </row>
    <row r="90" spans="18:30" x14ac:dyDescent="0.25">
      <c r="R90" s="32"/>
      <c r="S90" s="32"/>
      <c r="T90" s="32"/>
      <c r="U90" s="32"/>
      <c r="V90" s="32"/>
      <c r="W90" s="32"/>
      <c r="X90" s="32"/>
      <c r="Y90" s="32"/>
      <c r="Z90" s="32"/>
      <c r="AA90" s="32"/>
      <c r="AB90" s="32"/>
      <c r="AC90" s="32"/>
      <c r="AD90" s="221"/>
    </row>
    <row r="91" spans="18:30" x14ac:dyDescent="0.25">
      <c r="R91" s="32"/>
      <c r="S91" s="32"/>
      <c r="T91" s="32"/>
      <c r="U91" s="32"/>
      <c r="V91" s="32"/>
      <c r="W91" s="32"/>
      <c r="X91" s="32"/>
      <c r="Y91" s="32"/>
      <c r="Z91" s="32"/>
      <c r="AA91" s="32"/>
      <c r="AB91" s="32"/>
      <c r="AC91" s="32"/>
      <c r="AD91" s="221"/>
    </row>
    <row r="92" spans="18:30" x14ac:dyDescent="0.25">
      <c r="R92" s="32"/>
      <c r="S92" s="32"/>
      <c r="T92" s="32"/>
      <c r="U92" s="32"/>
      <c r="V92" s="32"/>
      <c r="W92" s="32"/>
      <c r="X92" s="32"/>
      <c r="Y92" s="32"/>
      <c r="Z92" s="32"/>
      <c r="AA92" s="32"/>
      <c r="AB92" s="32"/>
      <c r="AC92" s="32"/>
      <c r="AD92" s="221"/>
    </row>
    <row r="93" spans="18:30" x14ac:dyDescent="0.25">
      <c r="R93" s="32"/>
      <c r="S93" s="32"/>
      <c r="T93" s="32"/>
      <c r="U93" s="32"/>
      <c r="V93" s="32"/>
      <c r="W93" s="32"/>
      <c r="X93" s="32"/>
      <c r="Y93" s="32"/>
      <c r="Z93" s="32"/>
      <c r="AA93" s="32"/>
      <c r="AB93" s="32"/>
      <c r="AC93" s="32"/>
      <c r="AD93" s="221"/>
    </row>
    <row r="94" spans="18:30" x14ac:dyDescent="0.25">
      <c r="R94" s="32"/>
      <c r="S94" s="32"/>
      <c r="T94" s="32"/>
      <c r="U94" s="32"/>
      <c r="V94" s="32"/>
      <c r="W94" s="32"/>
      <c r="X94" s="32"/>
      <c r="Y94" s="32"/>
      <c r="Z94" s="32"/>
      <c r="AA94" s="32"/>
      <c r="AB94" s="32"/>
      <c r="AC94" s="32"/>
      <c r="AD94" s="221"/>
    </row>
    <row r="95" spans="18:30" x14ac:dyDescent="0.25">
      <c r="R95" s="32"/>
      <c r="S95" s="32"/>
      <c r="T95" s="32"/>
      <c r="U95" s="32"/>
      <c r="V95" s="32"/>
      <c r="W95" s="32"/>
      <c r="X95" s="32"/>
      <c r="Y95" s="32"/>
      <c r="Z95" s="32"/>
      <c r="AA95" s="32"/>
      <c r="AB95" s="32"/>
      <c r="AC95" s="32"/>
      <c r="AD95" s="221"/>
    </row>
    <row r="96" spans="18:30" x14ac:dyDescent="0.25">
      <c r="R96" s="32"/>
      <c r="S96" s="32"/>
      <c r="T96" s="32"/>
      <c r="U96" s="32"/>
      <c r="V96" s="32"/>
      <c r="W96" s="32"/>
      <c r="X96" s="32"/>
      <c r="Y96" s="32"/>
      <c r="Z96" s="32"/>
      <c r="AA96" s="32"/>
      <c r="AB96" s="32"/>
      <c r="AC96" s="32"/>
      <c r="AD96" s="221"/>
    </row>
    <row r="97" spans="18:30" x14ac:dyDescent="0.25">
      <c r="R97" s="32"/>
      <c r="S97" s="32"/>
      <c r="T97" s="32"/>
      <c r="U97" s="32"/>
      <c r="V97" s="32"/>
      <c r="W97" s="32"/>
      <c r="X97" s="32"/>
      <c r="Y97" s="32"/>
      <c r="Z97" s="32"/>
      <c r="AA97" s="32"/>
      <c r="AB97" s="32"/>
      <c r="AC97" s="32"/>
      <c r="AD97" s="221"/>
    </row>
    <row r="98" spans="18:30" x14ac:dyDescent="0.25">
      <c r="R98" s="32"/>
      <c r="S98" s="32"/>
      <c r="T98" s="32"/>
      <c r="U98" s="32"/>
      <c r="V98" s="32"/>
      <c r="W98" s="32"/>
      <c r="X98" s="32"/>
      <c r="Y98" s="32"/>
      <c r="Z98" s="32"/>
      <c r="AA98" s="32"/>
      <c r="AB98" s="32"/>
      <c r="AC98" s="32"/>
      <c r="AD98" s="221"/>
    </row>
    <row r="99" spans="18:30" x14ac:dyDescent="0.25">
      <c r="R99" s="32"/>
      <c r="S99" s="32"/>
      <c r="T99" s="32"/>
      <c r="U99" s="32"/>
      <c r="V99" s="32"/>
      <c r="W99" s="32"/>
      <c r="X99" s="32"/>
      <c r="Y99" s="32"/>
      <c r="Z99" s="32"/>
      <c r="AA99" s="32"/>
      <c r="AB99" s="32"/>
      <c r="AC99" s="32"/>
      <c r="AD99" s="221"/>
    </row>
    <row r="100" spans="18:30" x14ac:dyDescent="0.25">
      <c r="R100" s="32"/>
      <c r="S100" s="32"/>
      <c r="T100" s="32"/>
      <c r="U100" s="32"/>
      <c r="V100" s="32"/>
      <c r="W100" s="32"/>
      <c r="X100" s="32"/>
      <c r="Y100" s="32"/>
      <c r="Z100" s="32"/>
      <c r="AA100" s="32"/>
      <c r="AB100" s="32"/>
      <c r="AC100" s="32"/>
      <c r="AD100" s="221"/>
    </row>
    <row r="101" spans="18:30" x14ac:dyDescent="0.25">
      <c r="R101" s="32"/>
      <c r="S101" s="32"/>
      <c r="T101" s="32"/>
      <c r="U101" s="32"/>
      <c r="V101" s="32"/>
      <c r="W101" s="32"/>
      <c r="X101" s="32"/>
      <c r="Y101" s="32"/>
      <c r="Z101" s="32"/>
      <c r="AA101" s="32"/>
      <c r="AB101" s="32"/>
      <c r="AC101" s="32"/>
      <c r="AD101" s="221"/>
    </row>
    <row r="102" spans="18:30" x14ac:dyDescent="0.25">
      <c r="R102" s="32"/>
      <c r="S102" s="32"/>
      <c r="T102" s="32"/>
      <c r="U102" s="32"/>
      <c r="V102" s="32"/>
      <c r="W102" s="32"/>
      <c r="X102" s="32"/>
      <c r="Y102" s="32"/>
      <c r="Z102" s="32"/>
      <c r="AA102" s="32"/>
      <c r="AB102" s="32"/>
      <c r="AC102" s="32"/>
      <c r="AD102" s="221"/>
    </row>
    <row r="103" spans="18:30" x14ac:dyDescent="0.25">
      <c r="R103" s="32"/>
      <c r="S103" s="32"/>
      <c r="T103" s="32"/>
      <c r="U103" s="32"/>
      <c r="V103" s="32"/>
      <c r="W103" s="32"/>
      <c r="X103" s="32"/>
      <c r="Y103" s="32"/>
      <c r="Z103" s="32"/>
      <c r="AA103" s="32"/>
      <c r="AB103" s="32"/>
      <c r="AC103" s="32"/>
      <c r="AD103" s="221"/>
    </row>
    <row r="104" spans="18:30" x14ac:dyDescent="0.25">
      <c r="R104" s="32"/>
      <c r="S104" s="32"/>
      <c r="T104" s="32"/>
      <c r="U104" s="32"/>
      <c r="V104" s="32"/>
      <c r="W104" s="32"/>
      <c r="X104" s="32"/>
      <c r="Y104" s="32"/>
      <c r="Z104" s="32"/>
      <c r="AA104" s="32"/>
      <c r="AB104" s="32"/>
      <c r="AC104" s="32"/>
      <c r="AD104" s="221"/>
    </row>
    <row r="105" spans="18:30" x14ac:dyDescent="0.25">
      <c r="R105" s="32"/>
      <c r="S105" s="32"/>
      <c r="T105" s="32"/>
      <c r="U105" s="32"/>
      <c r="V105" s="32"/>
      <c r="W105" s="32"/>
      <c r="X105" s="32"/>
      <c r="Y105" s="32"/>
      <c r="Z105" s="32"/>
      <c r="AA105" s="32"/>
      <c r="AB105" s="32"/>
      <c r="AC105" s="32"/>
      <c r="AD105" s="221"/>
    </row>
    <row r="106" spans="18:30" x14ac:dyDescent="0.25">
      <c r="R106" s="32"/>
      <c r="S106" s="32"/>
      <c r="T106" s="32"/>
      <c r="U106" s="32"/>
      <c r="V106" s="32"/>
      <c r="W106" s="32"/>
      <c r="X106" s="32"/>
      <c r="Y106" s="32"/>
      <c r="Z106" s="32"/>
      <c r="AA106" s="32"/>
      <c r="AB106" s="32"/>
      <c r="AC106" s="32"/>
      <c r="AD106" s="221"/>
    </row>
    <row r="107" spans="18:30" x14ac:dyDescent="0.25">
      <c r="R107" s="32"/>
      <c r="S107" s="32"/>
      <c r="T107" s="32"/>
      <c r="U107" s="32"/>
      <c r="V107" s="32"/>
      <c r="W107" s="32"/>
      <c r="X107" s="32"/>
      <c r="Y107" s="32"/>
      <c r="Z107" s="32"/>
      <c r="AA107" s="32"/>
      <c r="AB107" s="32"/>
      <c r="AC107" s="32"/>
      <c r="AD107" s="221"/>
    </row>
    <row r="108" spans="18:30" x14ac:dyDescent="0.25">
      <c r="R108" s="32"/>
      <c r="S108" s="32"/>
      <c r="T108" s="32"/>
      <c r="U108" s="32"/>
      <c r="V108" s="32"/>
      <c r="W108" s="32"/>
      <c r="X108" s="32"/>
      <c r="Y108" s="32"/>
      <c r="Z108" s="32"/>
      <c r="AA108" s="32"/>
      <c r="AB108" s="32"/>
      <c r="AC108" s="32"/>
      <c r="AD108" s="221"/>
    </row>
    <row r="109" spans="18:30" x14ac:dyDescent="0.25">
      <c r="R109" s="32"/>
      <c r="S109" s="32"/>
      <c r="T109" s="32"/>
      <c r="U109" s="32"/>
      <c r="V109" s="32"/>
      <c r="W109" s="32"/>
      <c r="X109" s="32"/>
      <c r="Y109" s="32"/>
      <c r="Z109" s="32"/>
      <c r="AA109" s="32"/>
      <c r="AB109" s="32"/>
      <c r="AC109" s="32"/>
      <c r="AD109" s="221"/>
    </row>
    <row r="110" spans="18:30" x14ac:dyDescent="0.25">
      <c r="R110" s="32"/>
      <c r="S110" s="32"/>
      <c r="T110" s="32"/>
      <c r="U110" s="32"/>
      <c r="V110" s="32"/>
      <c r="W110" s="32"/>
      <c r="X110" s="32"/>
      <c r="Y110" s="32"/>
      <c r="Z110" s="32"/>
      <c r="AA110" s="32"/>
      <c r="AB110" s="32"/>
      <c r="AC110" s="32"/>
      <c r="AD110" s="221"/>
    </row>
    <row r="111" spans="18:30" x14ac:dyDescent="0.25">
      <c r="R111" s="32"/>
      <c r="S111" s="32"/>
      <c r="T111" s="32"/>
      <c r="U111" s="32"/>
      <c r="V111" s="32"/>
      <c r="W111" s="32"/>
      <c r="X111" s="32"/>
      <c r="Y111" s="32"/>
      <c r="Z111" s="32"/>
      <c r="AA111" s="32"/>
      <c r="AB111" s="32"/>
      <c r="AC111" s="32"/>
      <c r="AD111" s="221"/>
    </row>
    <row r="112" spans="18:30" x14ac:dyDescent="0.25">
      <c r="R112" s="32"/>
      <c r="S112" s="32"/>
      <c r="T112" s="32"/>
      <c r="U112" s="32"/>
      <c r="V112" s="32"/>
      <c r="W112" s="32"/>
      <c r="X112" s="32"/>
      <c r="Y112" s="32"/>
      <c r="Z112" s="32"/>
      <c r="AA112" s="32"/>
      <c r="AB112" s="32"/>
      <c r="AC112" s="32"/>
      <c r="AD112" s="221"/>
    </row>
    <row r="113" spans="18:30" x14ac:dyDescent="0.25">
      <c r="R113" s="32"/>
      <c r="S113" s="32"/>
      <c r="T113" s="32"/>
      <c r="U113" s="32"/>
      <c r="V113" s="32"/>
      <c r="W113" s="32"/>
      <c r="X113" s="32"/>
      <c r="Y113" s="32"/>
      <c r="Z113" s="32"/>
      <c r="AA113" s="32"/>
      <c r="AB113" s="32"/>
      <c r="AC113" s="32"/>
      <c r="AD113" s="221"/>
    </row>
    <row r="114" spans="18:30" x14ac:dyDescent="0.25">
      <c r="R114" s="32"/>
      <c r="S114" s="32"/>
      <c r="T114" s="32"/>
      <c r="U114" s="32"/>
      <c r="V114" s="32"/>
      <c r="W114" s="32"/>
      <c r="X114" s="32"/>
      <c r="Y114" s="32"/>
      <c r="Z114" s="32"/>
      <c r="AA114" s="32"/>
      <c r="AB114" s="32"/>
      <c r="AC114" s="32"/>
      <c r="AD114" s="221"/>
    </row>
    <row r="115" spans="18:30" x14ac:dyDescent="0.25">
      <c r="R115" s="32"/>
      <c r="S115" s="32"/>
      <c r="T115" s="32"/>
      <c r="U115" s="32"/>
      <c r="V115" s="32"/>
      <c r="W115" s="32"/>
      <c r="X115" s="32"/>
      <c r="Y115" s="32"/>
      <c r="Z115" s="32"/>
      <c r="AA115" s="32"/>
      <c r="AB115" s="32"/>
      <c r="AC115" s="32"/>
      <c r="AD115" s="221"/>
    </row>
    <row r="116" spans="18:30" x14ac:dyDescent="0.25">
      <c r="R116" s="32"/>
      <c r="S116" s="32"/>
      <c r="T116" s="32"/>
      <c r="U116" s="32"/>
      <c r="V116" s="32"/>
      <c r="W116" s="32"/>
      <c r="X116" s="32"/>
      <c r="Y116" s="32"/>
      <c r="Z116" s="32"/>
      <c r="AA116" s="32"/>
      <c r="AB116" s="32"/>
      <c r="AC116" s="32"/>
      <c r="AD116" s="221"/>
    </row>
    <row r="117" spans="18:30" x14ac:dyDescent="0.25">
      <c r="R117" s="32"/>
      <c r="S117" s="32"/>
      <c r="T117" s="32"/>
      <c r="U117" s="32"/>
      <c r="V117" s="32"/>
      <c r="W117" s="32"/>
      <c r="X117" s="32"/>
      <c r="Y117" s="32"/>
      <c r="Z117" s="32"/>
      <c r="AA117" s="32"/>
      <c r="AB117" s="32"/>
      <c r="AC117" s="32"/>
      <c r="AD117" s="221"/>
    </row>
    <row r="118" spans="18:30" x14ac:dyDescent="0.25">
      <c r="R118" s="32"/>
      <c r="S118" s="32"/>
      <c r="T118" s="32"/>
      <c r="U118" s="32"/>
      <c r="V118" s="32"/>
      <c r="W118" s="32"/>
      <c r="X118" s="32"/>
      <c r="Y118" s="32"/>
      <c r="Z118" s="32"/>
      <c r="AA118" s="32"/>
      <c r="AB118" s="32"/>
      <c r="AC118" s="32"/>
      <c r="AD118" s="221"/>
    </row>
    <row r="119" spans="18:30" x14ac:dyDescent="0.25">
      <c r="R119" s="32"/>
      <c r="S119" s="32"/>
      <c r="T119" s="32"/>
      <c r="U119" s="32"/>
      <c r="V119" s="32"/>
      <c r="W119" s="32"/>
      <c r="X119" s="32"/>
      <c r="Y119" s="32"/>
      <c r="Z119" s="32"/>
      <c r="AA119" s="32"/>
      <c r="AB119" s="32"/>
      <c r="AC119" s="32"/>
      <c r="AD119" s="221"/>
    </row>
    <row r="120" spans="18:30" x14ac:dyDescent="0.25">
      <c r="R120" s="32"/>
      <c r="S120" s="32"/>
      <c r="T120" s="32"/>
      <c r="U120" s="32"/>
      <c r="V120" s="32"/>
      <c r="W120" s="32"/>
      <c r="X120" s="32"/>
      <c r="Y120" s="32"/>
      <c r="Z120" s="32"/>
      <c r="AA120" s="32"/>
      <c r="AB120" s="32"/>
      <c r="AC120" s="32"/>
      <c r="AD120" s="221"/>
    </row>
    <row r="121" spans="18:30" x14ac:dyDescent="0.25">
      <c r="R121" s="32"/>
      <c r="S121" s="32"/>
      <c r="T121" s="32"/>
      <c r="U121" s="32"/>
      <c r="V121" s="32"/>
      <c r="W121" s="32"/>
      <c r="X121" s="32"/>
      <c r="Y121" s="32"/>
      <c r="Z121" s="32"/>
      <c r="AA121" s="32"/>
      <c r="AB121" s="32"/>
      <c r="AC121" s="32"/>
      <c r="AD121" s="221"/>
    </row>
    <row r="122" spans="18:30" x14ac:dyDescent="0.25">
      <c r="R122" s="32"/>
      <c r="S122" s="32"/>
      <c r="T122" s="32"/>
      <c r="U122" s="32"/>
      <c r="V122" s="32"/>
      <c r="W122" s="32"/>
      <c r="X122" s="32"/>
      <c r="Y122" s="32"/>
      <c r="Z122" s="32"/>
      <c r="AA122" s="32"/>
      <c r="AB122" s="32"/>
      <c r="AC122" s="32"/>
      <c r="AD122" s="221"/>
    </row>
    <row r="123" spans="18:30" x14ac:dyDescent="0.25">
      <c r="R123" s="32"/>
      <c r="S123" s="32"/>
      <c r="T123" s="32"/>
      <c r="U123" s="32"/>
      <c r="V123" s="32"/>
      <c r="W123" s="32"/>
      <c r="X123" s="32"/>
      <c r="Y123" s="32"/>
      <c r="Z123" s="32"/>
      <c r="AA123" s="32"/>
      <c r="AB123" s="32"/>
      <c r="AC123" s="32"/>
      <c r="AD123" s="221"/>
    </row>
    <row r="124" spans="18:30" x14ac:dyDescent="0.25">
      <c r="R124" s="32"/>
      <c r="S124" s="32"/>
      <c r="T124" s="32"/>
      <c r="U124" s="32"/>
      <c r="V124" s="32"/>
      <c r="W124" s="32"/>
      <c r="X124" s="32"/>
      <c r="Y124" s="32"/>
      <c r="Z124" s="32"/>
      <c r="AA124" s="32"/>
      <c r="AB124" s="32"/>
      <c r="AC124" s="32"/>
      <c r="AD124" s="221"/>
    </row>
    <row r="125" spans="18:30" x14ac:dyDescent="0.25">
      <c r="R125" s="32"/>
      <c r="S125" s="32"/>
      <c r="T125" s="32"/>
      <c r="U125" s="32"/>
      <c r="V125" s="32"/>
      <c r="W125" s="32"/>
      <c r="X125" s="32"/>
      <c r="Y125" s="32"/>
      <c r="Z125" s="32"/>
      <c r="AA125" s="32"/>
      <c r="AB125" s="32"/>
      <c r="AC125" s="32"/>
      <c r="AD125" s="221"/>
    </row>
    <row r="126" spans="18:30" x14ac:dyDescent="0.25">
      <c r="R126" s="32"/>
      <c r="S126" s="32"/>
      <c r="T126" s="32"/>
      <c r="U126" s="32"/>
      <c r="V126" s="32"/>
      <c r="W126" s="32"/>
      <c r="X126" s="32"/>
      <c r="Y126" s="32"/>
      <c r="Z126" s="32"/>
      <c r="AA126" s="32"/>
      <c r="AB126" s="32"/>
      <c r="AC126" s="32"/>
      <c r="AD126" s="221"/>
    </row>
    <row r="127" spans="18:30" x14ac:dyDescent="0.25">
      <c r="R127" s="32"/>
      <c r="S127" s="32"/>
      <c r="T127" s="32"/>
      <c r="U127" s="32"/>
      <c r="V127" s="32"/>
      <c r="W127" s="32"/>
      <c r="X127" s="32"/>
      <c r="Y127" s="32"/>
      <c r="Z127" s="32"/>
      <c r="AA127" s="32"/>
      <c r="AB127" s="32"/>
      <c r="AC127" s="32"/>
      <c r="AD127" s="221"/>
    </row>
    <row r="128" spans="18:30" x14ac:dyDescent="0.25">
      <c r="R128" s="32"/>
      <c r="S128" s="32"/>
      <c r="T128" s="32"/>
      <c r="U128" s="32"/>
      <c r="V128" s="32"/>
      <c r="W128" s="32"/>
      <c r="X128" s="32"/>
      <c r="Y128" s="32"/>
      <c r="Z128" s="32"/>
      <c r="AA128" s="32"/>
      <c r="AB128" s="32"/>
      <c r="AC128" s="32"/>
      <c r="AD128" s="221"/>
    </row>
    <row r="129" spans="18:30" x14ac:dyDescent="0.25">
      <c r="R129" s="32"/>
      <c r="S129" s="32"/>
      <c r="T129" s="32"/>
      <c r="U129" s="32"/>
      <c r="V129" s="32"/>
      <c r="W129" s="32"/>
      <c r="X129" s="32"/>
      <c r="Y129" s="32"/>
      <c r="Z129" s="32"/>
      <c r="AA129" s="32"/>
      <c r="AB129" s="32"/>
      <c r="AC129" s="32"/>
      <c r="AD129" s="221"/>
    </row>
    <row r="130" spans="18:30" x14ac:dyDescent="0.25">
      <c r="R130" s="32"/>
      <c r="S130" s="32"/>
      <c r="T130" s="32"/>
      <c r="U130" s="32"/>
      <c r="V130" s="32"/>
      <c r="W130" s="32"/>
      <c r="X130" s="32"/>
      <c r="Y130" s="32"/>
      <c r="Z130" s="32"/>
      <c r="AA130" s="32"/>
      <c r="AB130" s="32"/>
      <c r="AC130" s="32"/>
      <c r="AD130" s="221"/>
    </row>
    <row r="131" spans="18:30" x14ac:dyDescent="0.25">
      <c r="R131" s="32"/>
      <c r="S131" s="32"/>
      <c r="T131" s="32"/>
      <c r="U131" s="32"/>
      <c r="V131" s="32"/>
      <c r="W131" s="32"/>
      <c r="X131" s="32"/>
      <c r="Y131" s="32"/>
      <c r="Z131" s="32"/>
      <c r="AA131" s="32"/>
      <c r="AB131" s="32"/>
      <c r="AC131" s="32"/>
      <c r="AD131" s="221"/>
    </row>
    <row r="132" spans="18:30" x14ac:dyDescent="0.25">
      <c r="R132" s="32"/>
      <c r="S132" s="32"/>
      <c r="T132" s="32"/>
      <c r="U132" s="32"/>
      <c r="V132" s="32"/>
      <c r="W132" s="32"/>
      <c r="X132" s="32"/>
      <c r="Y132" s="32"/>
      <c r="Z132" s="32"/>
      <c r="AA132" s="32"/>
      <c r="AB132" s="32"/>
      <c r="AC132" s="32"/>
      <c r="AD132" s="221"/>
    </row>
    <row r="133" spans="18:30" x14ac:dyDescent="0.25">
      <c r="R133" s="32"/>
      <c r="S133" s="32"/>
      <c r="T133" s="32"/>
      <c r="U133" s="32"/>
      <c r="V133" s="32"/>
      <c r="W133" s="32"/>
      <c r="X133" s="32"/>
      <c r="Y133" s="32"/>
      <c r="Z133" s="32"/>
      <c r="AA133" s="32"/>
      <c r="AB133" s="32"/>
      <c r="AC133" s="32"/>
      <c r="AD133" s="221"/>
    </row>
    <row r="134" spans="18:30" x14ac:dyDescent="0.25">
      <c r="R134" s="32"/>
      <c r="S134" s="32"/>
      <c r="T134" s="32"/>
      <c r="U134" s="32"/>
      <c r="V134" s="32"/>
      <c r="W134" s="32"/>
      <c r="X134" s="32"/>
      <c r="Y134" s="32"/>
      <c r="Z134" s="32"/>
      <c r="AA134" s="32"/>
      <c r="AB134" s="32"/>
      <c r="AC134" s="32"/>
      <c r="AD134" s="221"/>
    </row>
    <row r="135" spans="18:30" x14ac:dyDescent="0.25">
      <c r="R135" s="32"/>
      <c r="S135" s="32"/>
      <c r="T135" s="32"/>
      <c r="U135" s="32"/>
      <c r="V135" s="32"/>
      <c r="W135" s="32"/>
      <c r="X135" s="32"/>
      <c r="Y135" s="32"/>
      <c r="Z135" s="32"/>
      <c r="AA135" s="32"/>
      <c r="AB135" s="32"/>
      <c r="AC135" s="32"/>
      <c r="AD135" s="221"/>
    </row>
    <row r="136" spans="18:30" x14ac:dyDescent="0.25">
      <c r="R136" s="32"/>
      <c r="S136" s="32"/>
      <c r="T136" s="32"/>
      <c r="U136" s="32"/>
      <c r="V136" s="32"/>
      <c r="W136" s="32"/>
      <c r="X136" s="32"/>
      <c r="Y136" s="32"/>
      <c r="Z136" s="32"/>
      <c r="AA136" s="32"/>
      <c r="AB136" s="32"/>
      <c r="AC136" s="32"/>
      <c r="AD136" s="221"/>
    </row>
    <row r="137" spans="18:30" x14ac:dyDescent="0.25">
      <c r="R137" s="32"/>
      <c r="S137" s="32"/>
      <c r="T137" s="32"/>
      <c r="U137" s="32"/>
      <c r="V137" s="32"/>
      <c r="W137" s="32"/>
      <c r="X137" s="32"/>
      <c r="Y137" s="32"/>
      <c r="Z137" s="32"/>
      <c r="AA137" s="32"/>
      <c r="AB137" s="32"/>
      <c r="AC137" s="32"/>
      <c r="AD137" s="221"/>
    </row>
    <row r="138" spans="18:30" x14ac:dyDescent="0.25">
      <c r="R138" s="32"/>
      <c r="S138" s="32"/>
      <c r="T138" s="32"/>
      <c r="U138" s="32"/>
      <c r="V138" s="32"/>
      <c r="W138" s="32"/>
      <c r="X138" s="32"/>
      <c r="Y138" s="32"/>
      <c r="Z138" s="32"/>
      <c r="AA138" s="32"/>
      <c r="AB138" s="32"/>
      <c r="AC138" s="32"/>
      <c r="AD138" s="221"/>
    </row>
    <row r="139" spans="18:30" x14ac:dyDescent="0.25">
      <c r="R139" s="32"/>
      <c r="S139" s="32"/>
      <c r="T139" s="32"/>
      <c r="U139" s="32"/>
      <c r="V139" s="32"/>
      <c r="W139" s="32"/>
      <c r="X139" s="32"/>
      <c r="Y139" s="32"/>
      <c r="Z139" s="32"/>
      <c r="AA139" s="32"/>
      <c r="AB139" s="32"/>
      <c r="AC139" s="32"/>
      <c r="AD139" s="221"/>
    </row>
    <row r="140" spans="18:30" x14ac:dyDescent="0.25">
      <c r="R140" s="32"/>
      <c r="S140" s="32"/>
      <c r="T140" s="32"/>
      <c r="U140" s="32"/>
      <c r="V140" s="32"/>
      <c r="W140" s="32"/>
      <c r="X140" s="32"/>
      <c r="Y140" s="32"/>
      <c r="Z140" s="32"/>
      <c r="AA140" s="32"/>
      <c r="AB140" s="32"/>
      <c r="AC140" s="32"/>
      <c r="AD140" s="221"/>
    </row>
    <row r="141" spans="18:30" x14ac:dyDescent="0.25">
      <c r="R141" s="32"/>
      <c r="S141" s="32"/>
      <c r="T141" s="32"/>
      <c r="U141" s="32"/>
      <c r="V141" s="32"/>
      <c r="W141" s="32"/>
      <c r="X141" s="32"/>
      <c r="Y141" s="32"/>
      <c r="Z141" s="32"/>
      <c r="AA141" s="32"/>
      <c r="AB141" s="32"/>
      <c r="AC141" s="32"/>
      <c r="AD141" s="221"/>
    </row>
    <row r="142" spans="18:30" x14ac:dyDescent="0.25">
      <c r="R142" s="32"/>
      <c r="S142" s="32"/>
      <c r="T142" s="32"/>
      <c r="U142" s="32"/>
      <c r="V142" s="32"/>
      <c r="W142" s="32"/>
      <c r="X142" s="32"/>
      <c r="Y142" s="32"/>
      <c r="Z142" s="32"/>
      <c r="AA142" s="32"/>
      <c r="AB142" s="32"/>
      <c r="AC142" s="32"/>
      <c r="AD142" s="221"/>
    </row>
    <row r="143" spans="18:30" x14ac:dyDescent="0.25">
      <c r="R143" s="32"/>
      <c r="S143" s="32"/>
      <c r="T143" s="32"/>
      <c r="U143" s="32"/>
      <c r="V143" s="32"/>
      <c r="W143" s="32"/>
      <c r="X143" s="32"/>
      <c r="Y143" s="32"/>
      <c r="Z143" s="32"/>
      <c r="AA143" s="32"/>
      <c r="AB143" s="32"/>
      <c r="AC143" s="32"/>
      <c r="AD143" s="221"/>
    </row>
    <row r="144" spans="18:30" x14ac:dyDescent="0.25">
      <c r="R144" s="32"/>
      <c r="S144" s="32"/>
      <c r="T144" s="32"/>
      <c r="U144" s="32"/>
      <c r="V144" s="32"/>
      <c r="W144" s="32"/>
      <c r="X144" s="32"/>
      <c r="Y144" s="32"/>
      <c r="Z144" s="32"/>
      <c r="AA144" s="32"/>
      <c r="AB144" s="32"/>
      <c r="AC144" s="32"/>
      <c r="AD144" s="221"/>
    </row>
    <row r="145" spans="18:30" x14ac:dyDescent="0.25">
      <c r="R145" s="32"/>
      <c r="S145" s="32"/>
      <c r="T145" s="32"/>
      <c r="U145" s="32"/>
      <c r="V145" s="32"/>
      <c r="W145" s="32"/>
      <c r="X145" s="32"/>
      <c r="Y145" s="32"/>
      <c r="Z145" s="32"/>
      <c r="AA145" s="32"/>
      <c r="AB145" s="32"/>
      <c r="AC145" s="32"/>
      <c r="AD145" s="221"/>
    </row>
    <row r="146" spans="18:30" x14ac:dyDescent="0.25">
      <c r="R146" s="32"/>
      <c r="S146" s="32"/>
      <c r="T146" s="32"/>
      <c r="U146" s="32"/>
      <c r="V146" s="32"/>
      <c r="W146" s="32"/>
      <c r="X146" s="32"/>
      <c r="Y146" s="32"/>
      <c r="Z146" s="32"/>
      <c r="AA146" s="32"/>
      <c r="AB146" s="32"/>
      <c r="AC146" s="32"/>
      <c r="AD146" s="221"/>
    </row>
    <row r="147" spans="18:30" x14ac:dyDescent="0.25">
      <c r="R147" s="32"/>
      <c r="S147" s="32"/>
      <c r="T147" s="32"/>
      <c r="U147" s="32"/>
      <c r="V147" s="32"/>
      <c r="W147" s="32"/>
      <c r="X147" s="32"/>
      <c r="Y147" s="32"/>
      <c r="Z147" s="32"/>
      <c r="AA147" s="32"/>
      <c r="AB147" s="32"/>
      <c r="AC147" s="32"/>
      <c r="AD147" s="221"/>
    </row>
    <row r="148" spans="18:30" x14ac:dyDescent="0.25">
      <c r="R148" s="32"/>
      <c r="S148" s="32"/>
      <c r="T148" s="32"/>
      <c r="U148" s="32"/>
      <c r="V148" s="32"/>
      <c r="W148" s="32"/>
      <c r="X148" s="32"/>
      <c r="Y148" s="32"/>
      <c r="Z148" s="32"/>
      <c r="AA148" s="32"/>
      <c r="AB148" s="32"/>
      <c r="AC148" s="32"/>
      <c r="AD148" s="221"/>
    </row>
    <row r="149" spans="18:30" x14ac:dyDescent="0.25">
      <c r="R149" s="32"/>
      <c r="S149" s="32"/>
      <c r="T149" s="32"/>
      <c r="U149" s="32"/>
      <c r="V149" s="32"/>
      <c r="W149" s="32"/>
      <c r="X149" s="32"/>
      <c r="Y149" s="32"/>
      <c r="Z149" s="32"/>
      <c r="AA149" s="32"/>
      <c r="AB149" s="32"/>
      <c r="AC149" s="32"/>
      <c r="AD149" s="221"/>
    </row>
    <row r="150" spans="18:30" x14ac:dyDescent="0.25">
      <c r="R150" s="32"/>
      <c r="S150" s="32"/>
      <c r="T150" s="32"/>
      <c r="U150" s="32"/>
      <c r="V150" s="32"/>
      <c r="W150" s="32"/>
      <c r="X150" s="32"/>
      <c r="Y150" s="32"/>
      <c r="Z150" s="32"/>
      <c r="AA150" s="32"/>
      <c r="AB150" s="32"/>
      <c r="AC150" s="32"/>
      <c r="AD150" s="221"/>
    </row>
    <row r="151" spans="18:30" x14ac:dyDescent="0.25">
      <c r="R151" s="32"/>
      <c r="S151" s="32"/>
      <c r="T151" s="32"/>
      <c r="U151" s="32"/>
      <c r="V151" s="32"/>
      <c r="W151" s="32"/>
      <c r="X151" s="32"/>
      <c r="Y151" s="32"/>
      <c r="Z151" s="32"/>
      <c r="AA151" s="32"/>
      <c r="AB151" s="32"/>
      <c r="AC151" s="32"/>
      <c r="AD151" s="221"/>
    </row>
    <row r="152" spans="18:30" x14ac:dyDescent="0.25">
      <c r="R152" s="32"/>
      <c r="S152" s="32"/>
      <c r="T152" s="32"/>
      <c r="U152" s="32"/>
      <c r="V152" s="32"/>
      <c r="W152" s="32"/>
      <c r="X152" s="32"/>
      <c r="Y152" s="32"/>
      <c r="Z152" s="32"/>
      <c r="AA152" s="32"/>
      <c r="AB152" s="32"/>
      <c r="AC152" s="32"/>
      <c r="AD152" s="221"/>
    </row>
    <row r="153" spans="18:30" x14ac:dyDescent="0.25">
      <c r="R153" s="32"/>
      <c r="S153" s="32"/>
      <c r="T153" s="32"/>
      <c r="U153" s="32"/>
      <c r="V153" s="32"/>
      <c r="W153" s="32"/>
      <c r="X153" s="32"/>
      <c r="Y153" s="32"/>
      <c r="Z153" s="32"/>
      <c r="AA153" s="32"/>
      <c r="AB153" s="32"/>
      <c r="AC153" s="32"/>
      <c r="AD153" s="221"/>
    </row>
    <row r="154" spans="18:30" x14ac:dyDescent="0.25">
      <c r="R154" s="32"/>
      <c r="S154" s="32"/>
      <c r="T154" s="32"/>
      <c r="U154" s="32"/>
      <c r="V154" s="32"/>
      <c r="W154" s="32"/>
      <c r="X154" s="32"/>
      <c r="Y154" s="32"/>
      <c r="Z154" s="32"/>
      <c r="AA154" s="32"/>
      <c r="AB154" s="32"/>
      <c r="AC154" s="32"/>
      <c r="AD154" s="221"/>
    </row>
    <row r="155" spans="18:30" x14ac:dyDescent="0.25">
      <c r="R155" s="32"/>
      <c r="S155" s="32"/>
      <c r="T155" s="32"/>
      <c r="U155" s="32"/>
      <c r="V155" s="32"/>
      <c r="W155" s="32"/>
      <c r="X155" s="32"/>
      <c r="Y155" s="32"/>
      <c r="Z155" s="32"/>
      <c r="AA155" s="32"/>
      <c r="AB155" s="32"/>
      <c r="AC155" s="32"/>
      <c r="AD155" s="221"/>
    </row>
    <row r="156" spans="18:30" x14ac:dyDescent="0.25">
      <c r="R156" s="32"/>
      <c r="S156" s="32"/>
      <c r="T156" s="32"/>
      <c r="U156" s="32"/>
      <c r="V156" s="32"/>
      <c r="W156" s="32"/>
      <c r="X156" s="32"/>
      <c r="Y156" s="32"/>
      <c r="Z156" s="32"/>
      <c r="AA156" s="32"/>
      <c r="AB156" s="32"/>
      <c r="AC156" s="32"/>
      <c r="AD156" s="221"/>
    </row>
    <row r="157" spans="18:30" x14ac:dyDescent="0.25">
      <c r="R157" s="32"/>
      <c r="S157" s="32"/>
      <c r="T157" s="32"/>
      <c r="U157" s="32"/>
      <c r="V157" s="32"/>
      <c r="W157" s="32"/>
      <c r="X157" s="32"/>
      <c r="Y157" s="32"/>
      <c r="Z157" s="32"/>
      <c r="AA157" s="32"/>
      <c r="AB157" s="32"/>
      <c r="AC157" s="32"/>
      <c r="AD157" s="221"/>
    </row>
    <row r="158" spans="18:30" x14ac:dyDescent="0.25">
      <c r="R158" s="32"/>
      <c r="S158" s="32"/>
      <c r="T158" s="32"/>
      <c r="U158" s="32"/>
      <c r="V158" s="32"/>
      <c r="W158" s="32"/>
      <c r="X158" s="32"/>
      <c r="Y158" s="32"/>
      <c r="Z158" s="32"/>
      <c r="AA158" s="32"/>
      <c r="AB158" s="32"/>
      <c r="AC158" s="32"/>
      <c r="AD158" s="221"/>
    </row>
    <row r="159" spans="18:30" x14ac:dyDescent="0.25">
      <c r="R159" s="32"/>
      <c r="S159" s="32"/>
      <c r="T159" s="32"/>
      <c r="U159" s="32"/>
      <c r="V159" s="32"/>
      <c r="W159" s="32"/>
      <c r="X159" s="32"/>
      <c r="Y159" s="32"/>
      <c r="Z159" s="32"/>
      <c r="AA159" s="32"/>
      <c r="AB159" s="32"/>
      <c r="AC159" s="32"/>
      <c r="AD159" s="221"/>
    </row>
    <row r="160" spans="18:30" x14ac:dyDescent="0.25">
      <c r="R160" s="32"/>
      <c r="S160" s="32"/>
      <c r="T160" s="32"/>
      <c r="U160" s="32"/>
      <c r="V160" s="32"/>
      <c r="W160" s="32"/>
      <c r="X160" s="32"/>
      <c r="Y160" s="32"/>
      <c r="Z160" s="32"/>
      <c r="AA160" s="32"/>
      <c r="AB160" s="32"/>
      <c r="AC160" s="32"/>
      <c r="AD160" s="221"/>
    </row>
    <row r="161" spans="18:30" x14ac:dyDescent="0.25">
      <c r="R161" s="32"/>
      <c r="S161" s="32"/>
      <c r="T161" s="32"/>
      <c r="U161" s="32"/>
      <c r="V161" s="32"/>
      <c r="W161" s="32"/>
      <c r="X161" s="32"/>
      <c r="Y161" s="32"/>
      <c r="Z161" s="32"/>
      <c r="AA161" s="32"/>
      <c r="AB161" s="32"/>
      <c r="AC161" s="32"/>
      <c r="AD161" s="221"/>
    </row>
    <row r="162" spans="18:30" x14ac:dyDescent="0.25">
      <c r="R162" s="32"/>
      <c r="S162" s="32"/>
      <c r="T162" s="32"/>
      <c r="U162" s="32"/>
      <c r="V162" s="32"/>
      <c r="W162" s="32"/>
      <c r="X162" s="32"/>
      <c r="Y162" s="32"/>
      <c r="Z162" s="32"/>
      <c r="AA162" s="32"/>
      <c r="AB162" s="32"/>
      <c r="AC162" s="32"/>
      <c r="AD162" s="221"/>
    </row>
    <row r="163" spans="18:30" x14ac:dyDescent="0.25">
      <c r="R163" s="32"/>
      <c r="S163" s="32"/>
      <c r="T163" s="32"/>
      <c r="U163" s="32"/>
      <c r="V163" s="32"/>
      <c r="W163" s="32"/>
      <c r="X163" s="32"/>
      <c r="Y163" s="32"/>
      <c r="Z163" s="32"/>
      <c r="AA163" s="32"/>
      <c r="AB163" s="32"/>
      <c r="AC163" s="32"/>
      <c r="AD163" s="221"/>
    </row>
    <row r="164" spans="18:30" x14ac:dyDescent="0.25">
      <c r="R164" s="32"/>
      <c r="S164" s="32"/>
      <c r="T164" s="32"/>
      <c r="U164" s="32"/>
      <c r="V164" s="32"/>
      <c r="W164" s="32"/>
      <c r="X164" s="32"/>
      <c r="Y164" s="32"/>
      <c r="Z164" s="32"/>
      <c r="AA164" s="32"/>
      <c r="AB164" s="32"/>
      <c r="AC164" s="32"/>
      <c r="AD164" s="221"/>
    </row>
    <row r="165" spans="18:30" x14ac:dyDescent="0.25">
      <c r="R165" s="32"/>
      <c r="S165" s="32"/>
      <c r="T165" s="32"/>
      <c r="U165" s="32"/>
      <c r="V165" s="32"/>
      <c r="W165" s="32"/>
      <c r="X165" s="32"/>
      <c r="Y165" s="32"/>
      <c r="Z165" s="32"/>
      <c r="AA165" s="32"/>
      <c r="AB165" s="32"/>
      <c r="AC165" s="32"/>
      <c r="AD165" s="221"/>
    </row>
    <row r="166" spans="18:30" x14ac:dyDescent="0.25">
      <c r="R166" s="32"/>
      <c r="S166" s="32"/>
      <c r="T166" s="32"/>
      <c r="U166" s="32"/>
      <c r="V166" s="32"/>
      <c r="W166" s="32"/>
      <c r="X166" s="32"/>
      <c r="Y166" s="32"/>
      <c r="Z166" s="32"/>
      <c r="AA166" s="32"/>
      <c r="AB166" s="32"/>
      <c r="AC166" s="32"/>
      <c r="AD166" s="221"/>
    </row>
    <row r="167" spans="18:30" x14ac:dyDescent="0.25">
      <c r="R167" s="32"/>
      <c r="S167" s="32"/>
      <c r="T167" s="32"/>
      <c r="U167" s="32"/>
      <c r="V167" s="32"/>
      <c r="W167" s="32"/>
      <c r="X167" s="32"/>
      <c r="Y167" s="32"/>
      <c r="Z167" s="32"/>
      <c r="AA167" s="32"/>
      <c r="AB167" s="32"/>
      <c r="AC167" s="32"/>
      <c r="AD167" s="221"/>
    </row>
    <row r="168" spans="18:30" x14ac:dyDescent="0.25">
      <c r="R168" s="32"/>
      <c r="S168" s="32"/>
      <c r="T168" s="32"/>
      <c r="U168" s="32"/>
      <c r="V168" s="32"/>
      <c r="W168" s="32"/>
      <c r="X168" s="32"/>
      <c r="Y168" s="32"/>
      <c r="Z168" s="32"/>
      <c r="AA168" s="32"/>
      <c r="AB168" s="32"/>
      <c r="AC168" s="32"/>
      <c r="AD168" s="221"/>
    </row>
    <row r="169" spans="18:30" x14ac:dyDescent="0.25">
      <c r="R169" s="32"/>
      <c r="S169" s="32"/>
      <c r="T169" s="32"/>
      <c r="U169" s="32"/>
      <c r="V169" s="32"/>
      <c r="W169" s="32"/>
      <c r="X169" s="32"/>
      <c r="Y169" s="32"/>
      <c r="Z169" s="32"/>
      <c r="AA169" s="32"/>
      <c r="AB169" s="32"/>
      <c r="AC169" s="32"/>
      <c r="AD169" s="221"/>
    </row>
    <row r="170" spans="18:30" x14ac:dyDescent="0.25">
      <c r="R170" s="32"/>
      <c r="S170" s="32"/>
      <c r="T170" s="32"/>
      <c r="U170" s="32"/>
      <c r="V170" s="32"/>
      <c r="W170" s="32"/>
      <c r="X170" s="32"/>
      <c r="Y170" s="32"/>
      <c r="Z170" s="32"/>
      <c r="AA170" s="32"/>
      <c r="AB170" s="32"/>
      <c r="AC170" s="32"/>
      <c r="AD170" s="221"/>
    </row>
    <row r="171" spans="18:30" x14ac:dyDescent="0.25">
      <c r="R171" s="32"/>
      <c r="S171" s="32"/>
      <c r="T171" s="32"/>
      <c r="U171" s="32"/>
      <c r="V171" s="32"/>
      <c r="W171" s="32"/>
      <c r="X171" s="32"/>
      <c r="Y171" s="32"/>
      <c r="Z171" s="32"/>
      <c r="AA171" s="32"/>
      <c r="AB171" s="32"/>
      <c r="AC171" s="32"/>
      <c r="AD171" s="221"/>
    </row>
    <row r="172" spans="18:30" x14ac:dyDescent="0.25">
      <c r="R172" s="32"/>
      <c r="S172" s="32"/>
      <c r="T172" s="32"/>
      <c r="U172" s="32"/>
      <c r="V172" s="32"/>
      <c r="W172" s="32"/>
      <c r="X172" s="32"/>
      <c r="Y172" s="32"/>
      <c r="Z172" s="32"/>
      <c r="AA172" s="32"/>
      <c r="AB172" s="32"/>
      <c r="AC172" s="32"/>
      <c r="AD172" s="221"/>
    </row>
    <row r="173" spans="18:30" x14ac:dyDescent="0.25">
      <c r="R173" s="32"/>
      <c r="S173" s="32"/>
      <c r="T173" s="32"/>
      <c r="U173" s="32"/>
      <c r="V173" s="32"/>
      <c r="W173" s="32"/>
      <c r="X173" s="32"/>
      <c r="Y173" s="32"/>
      <c r="Z173" s="32"/>
      <c r="AA173" s="32"/>
      <c r="AB173" s="32"/>
      <c r="AC173" s="32"/>
      <c r="AD173" s="221"/>
    </row>
    <row r="174" spans="18:30" x14ac:dyDescent="0.25">
      <c r="R174" s="32"/>
      <c r="S174" s="32"/>
      <c r="T174" s="32"/>
      <c r="U174" s="32"/>
      <c r="V174" s="32"/>
      <c r="W174" s="32"/>
      <c r="X174" s="32"/>
      <c r="Y174" s="32"/>
      <c r="Z174" s="32"/>
      <c r="AA174" s="32"/>
      <c r="AB174" s="32"/>
      <c r="AC174" s="32"/>
      <c r="AD174" s="221"/>
    </row>
    <row r="175" spans="18:30" x14ac:dyDescent="0.25">
      <c r="R175" s="32"/>
      <c r="S175" s="32"/>
      <c r="T175" s="32"/>
      <c r="U175" s="32"/>
      <c r="V175" s="32"/>
      <c r="W175" s="32"/>
      <c r="X175" s="32"/>
      <c r="Y175" s="32"/>
      <c r="Z175" s="32"/>
      <c r="AA175" s="32"/>
      <c r="AB175" s="32"/>
      <c r="AC175" s="32"/>
      <c r="AD175" s="221"/>
    </row>
    <row r="176" spans="18:30" x14ac:dyDescent="0.25">
      <c r="R176" s="32"/>
      <c r="S176" s="32"/>
      <c r="T176" s="32"/>
      <c r="U176" s="32"/>
      <c r="V176" s="32"/>
      <c r="W176" s="32"/>
      <c r="X176" s="32"/>
      <c r="Y176" s="32"/>
      <c r="Z176" s="32"/>
      <c r="AA176" s="32"/>
      <c r="AB176" s="32"/>
      <c r="AC176" s="32"/>
      <c r="AD176" s="221"/>
    </row>
    <row r="177" spans="18:30" x14ac:dyDescent="0.25">
      <c r="R177" s="32"/>
      <c r="S177" s="32"/>
      <c r="T177" s="32"/>
      <c r="U177" s="32"/>
      <c r="V177" s="32"/>
      <c r="W177" s="32"/>
      <c r="X177" s="32"/>
      <c r="Y177" s="32"/>
      <c r="Z177" s="32"/>
      <c r="AA177" s="32"/>
      <c r="AB177" s="32"/>
      <c r="AC177" s="32"/>
      <c r="AD177" s="221"/>
    </row>
    <row r="178" spans="18:30" x14ac:dyDescent="0.25">
      <c r="R178" s="32"/>
      <c r="S178" s="32"/>
      <c r="T178" s="32"/>
      <c r="U178" s="32"/>
      <c r="V178" s="32"/>
      <c r="W178" s="32"/>
      <c r="X178" s="32"/>
      <c r="Y178" s="32"/>
      <c r="Z178" s="32"/>
      <c r="AA178" s="32"/>
      <c r="AB178" s="32"/>
      <c r="AC178" s="32"/>
      <c r="AD178" s="221"/>
    </row>
    <row r="179" spans="18:30" x14ac:dyDescent="0.25">
      <c r="R179" s="32"/>
      <c r="S179" s="32"/>
      <c r="T179" s="32"/>
      <c r="U179" s="32"/>
      <c r="V179" s="32"/>
      <c r="W179" s="32"/>
      <c r="X179" s="32"/>
      <c r="Y179" s="32"/>
      <c r="Z179" s="32"/>
      <c r="AA179" s="32"/>
      <c r="AB179" s="32"/>
      <c r="AC179" s="32"/>
      <c r="AD179" s="221"/>
    </row>
    <row r="180" spans="18:30" x14ac:dyDescent="0.25">
      <c r="R180" s="32"/>
      <c r="S180" s="32"/>
      <c r="T180" s="32"/>
      <c r="U180" s="32"/>
      <c r="V180" s="32"/>
      <c r="W180" s="32"/>
      <c r="X180" s="32"/>
      <c r="Y180" s="32"/>
      <c r="Z180" s="32"/>
      <c r="AA180" s="32"/>
      <c r="AB180" s="32"/>
      <c r="AC180" s="32"/>
      <c r="AD180" s="221"/>
    </row>
    <row r="181" spans="18:30" x14ac:dyDescent="0.25">
      <c r="R181" s="32"/>
      <c r="S181" s="32"/>
      <c r="T181" s="32"/>
      <c r="U181" s="32"/>
      <c r="V181" s="32"/>
      <c r="W181" s="32"/>
      <c r="X181" s="32"/>
      <c r="Y181" s="32"/>
      <c r="Z181" s="32"/>
      <c r="AA181" s="32"/>
      <c r="AB181" s="32"/>
      <c r="AC181" s="32"/>
      <c r="AD181" s="221"/>
    </row>
    <row r="182" spans="18:30" x14ac:dyDescent="0.25">
      <c r="R182" s="32"/>
      <c r="S182" s="32"/>
      <c r="T182" s="32"/>
      <c r="U182" s="32"/>
      <c r="V182" s="32"/>
      <c r="W182" s="32"/>
      <c r="X182" s="32"/>
      <c r="Y182" s="32"/>
      <c r="Z182" s="32"/>
      <c r="AA182" s="32"/>
      <c r="AB182" s="32"/>
      <c r="AC182" s="32"/>
      <c r="AD182" s="221"/>
    </row>
    <row r="183" spans="18:30" x14ac:dyDescent="0.25">
      <c r="R183" s="32"/>
      <c r="S183" s="32"/>
      <c r="T183" s="32"/>
      <c r="U183" s="32"/>
      <c r="V183" s="32"/>
      <c r="W183" s="32"/>
      <c r="X183" s="32"/>
      <c r="Y183" s="32"/>
      <c r="Z183" s="32"/>
      <c r="AA183" s="32"/>
      <c r="AB183" s="32"/>
      <c r="AC183" s="32"/>
      <c r="AD183" s="221"/>
    </row>
    <row r="184" spans="18:30" x14ac:dyDescent="0.25">
      <c r="R184" s="32"/>
      <c r="S184" s="32"/>
      <c r="T184" s="32"/>
      <c r="U184" s="32"/>
      <c r="V184" s="32"/>
      <c r="W184" s="32"/>
      <c r="X184" s="32"/>
      <c r="Y184" s="32"/>
      <c r="Z184" s="32"/>
      <c r="AA184" s="32"/>
      <c r="AB184" s="32"/>
      <c r="AC184" s="32"/>
      <c r="AD184" s="221"/>
    </row>
    <row r="185" spans="18:30" x14ac:dyDescent="0.25">
      <c r="R185" s="32"/>
      <c r="S185" s="32"/>
      <c r="T185" s="32"/>
      <c r="U185" s="32"/>
      <c r="V185" s="32"/>
      <c r="W185" s="32"/>
      <c r="X185" s="32"/>
      <c r="Y185" s="32"/>
      <c r="Z185" s="32"/>
      <c r="AA185" s="32"/>
      <c r="AB185" s="32"/>
      <c r="AC185" s="32"/>
      <c r="AD185" s="221"/>
    </row>
    <row r="186" spans="18:30" x14ac:dyDescent="0.25">
      <c r="R186" s="32"/>
      <c r="S186" s="32"/>
      <c r="T186" s="32"/>
      <c r="U186" s="32"/>
      <c r="V186" s="32"/>
      <c r="W186" s="32"/>
      <c r="X186" s="32"/>
      <c r="Y186" s="32"/>
      <c r="Z186" s="32"/>
      <c r="AA186" s="32"/>
      <c r="AB186" s="32"/>
      <c r="AC186" s="32"/>
      <c r="AD186" s="221"/>
    </row>
    <row r="187" spans="18:30" x14ac:dyDescent="0.25">
      <c r="R187" s="32"/>
      <c r="S187" s="32"/>
      <c r="T187" s="32"/>
      <c r="U187" s="32"/>
      <c r="V187" s="32"/>
      <c r="W187" s="32"/>
      <c r="X187" s="32"/>
      <c r="Y187" s="32"/>
      <c r="Z187" s="32"/>
      <c r="AA187" s="32"/>
      <c r="AB187" s="32"/>
      <c r="AC187" s="32"/>
      <c r="AD187" s="221"/>
    </row>
    <row r="188" spans="18:30" x14ac:dyDescent="0.25">
      <c r="R188" s="32"/>
      <c r="S188" s="32"/>
      <c r="T188" s="32"/>
      <c r="U188" s="32"/>
      <c r="V188" s="32"/>
      <c r="W188" s="32"/>
      <c r="X188" s="32"/>
      <c r="Y188" s="32"/>
      <c r="Z188" s="32"/>
      <c r="AA188" s="32"/>
      <c r="AB188" s="32"/>
      <c r="AC188" s="32"/>
      <c r="AD188" s="221"/>
    </row>
    <row r="189" spans="18:30" x14ac:dyDescent="0.25">
      <c r="R189" s="32"/>
      <c r="S189" s="32"/>
      <c r="T189" s="32"/>
      <c r="U189" s="32"/>
      <c r="V189" s="32"/>
      <c r="W189" s="32"/>
      <c r="X189" s="32"/>
      <c r="Y189" s="32"/>
      <c r="Z189" s="32"/>
      <c r="AA189" s="32"/>
      <c r="AB189" s="32"/>
      <c r="AC189" s="32"/>
      <c r="AD189" s="221"/>
    </row>
    <row r="190" spans="18:30" x14ac:dyDescent="0.25">
      <c r="R190" s="32"/>
      <c r="S190" s="32"/>
      <c r="T190" s="32"/>
      <c r="U190" s="32"/>
      <c r="V190" s="32"/>
      <c r="W190" s="32"/>
      <c r="X190" s="32"/>
      <c r="Y190" s="32"/>
      <c r="Z190" s="32"/>
      <c r="AA190" s="32"/>
      <c r="AB190" s="32"/>
      <c r="AC190" s="32"/>
      <c r="AD190" s="221"/>
    </row>
    <row r="191" spans="18:30" x14ac:dyDescent="0.25">
      <c r="R191" s="32"/>
      <c r="S191" s="32"/>
      <c r="T191" s="32"/>
      <c r="U191" s="32"/>
      <c r="V191" s="32"/>
      <c r="W191" s="32"/>
      <c r="X191" s="32"/>
      <c r="Y191" s="32"/>
      <c r="Z191" s="32"/>
      <c r="AA191" s="32"/>
      <c r="AB191" s="32"/>
      <c r="AC191" s="32"/>
      <c r="AD191" s="221"/>
    </row>
    <row r="192" spans="18:30" x14ac:dyDescent="0.25">
      <c r="R192" s="32"/>
      <c r="S192" s="32"/>
      <c r="T192" s="32"/>
      <c r="U192" s="32"/>
      <c r="V192" s="32"/>
      <c r="W192" s="32"/>
      <c r="X192" s="32"/>
      <c r="Y192" s="32"/>
      <c r="Z192" s="32"/>
      <c r="AA192" s="32"/>
      <c r="AB192" s="32"/>
      <c r="AC192" s="32"/>
      <c r="AD192" s="221"/>
    </row>
    <row r="193" spans="18:30" x14ac:dyDescent="0.25">
      <c r="R193" s="32"/>
      <c r="S193" s="32"/>
      <c r="T193" s="32"/>
      <c r="U193" s="32"/>
      <c r="V193" s="32"/>
      <c r="W193" s="32"/>
      <c r="X193" s="32"/>
      <c r="Y193" s="32"/>
      <c r="Z193" s="32"/>
      <c r="AA193" s="32"/>
      <c r="AB193" s="32"/>
      <c r="AC193" s="32"/>
      <c r="AD193" s="221"/>
    </row>
    <row r="194" spans="18:30" x14ac:dyDescent="0.25">
      <c r="R194" s="32"/>
      <c r="S194" s="32"/>
      <c r="T194" s="32"/>
      <c r="U194" s="32"/>
      <c r="V194" s="32"/>
      <c r="W194" s="32"/>
      <c r="X194" s="32"/>
      <c r="Y194" s="32"/>
      <c r="Z194" s="32"/>
      <c r="AA194" s="32"/>
      <c r="AB194" s="32"/>
      <c r="AC194" s="32"/>
      <c r="AD194" s="221"/>
    </row>
    <row r="195" spans="18:30" x14ac:dyDescent="0.25">
      <c r="R195" s="32"/>
      <c r="S195" s="32"/>
      <c r="T195" s="32"/>
      <c r="U195" s="32"/>
      <c r="V195" s="32"/>
      <c r="W195" s="32"/>
      <c r="X195" s="32"/>
      <c r="Y195" s="32"/>
      <c r="Z195" s="32"/>
      <c r="AA195" s="32"/>
      <c r="AB195" s="32"/>
      <c r="AC195" s="32"/>
      <c r="AD195" s="221"/>
    </row>
    <row r="196" spans="18:30" x14ac:dyDescent="0.25">
      <c r="R196" s="32"/>
      <c r="S196" s="32"/>
      <c r="T196" s="32"/>
      <c r="U196" s="32"/>
      <c r="V196" s="32"/>
      <c r="W196" s="32"/>
      <c r="X196" s="32"/>
      <c r="Y196" s="32"/>
      <c r="Z196" s="32"/>
      <c r="AA196" s="32"/>
      <c r="AB196" s="32"/>
      <c r="AC196" s="32"/>
      <c r="AD196" s="221"/>
    </row>
    <row r="197" spans="18:30" x14ac:dyDescent="0.25">
      <c r="R197" s="32"/>
      <c r="S197" s="32"/>
      <c r="T197" s="32"/>
      <c r="U197" s="32"/>
      <c r="V197" s="32"/>
      <c r="W197" s="32"/>
      <c r="X197" s="32"/>
      <c r="Y197" s="32"/>
      <c r="Z197" s="32"/>
      <c r="AA197" s="32"/>
      <c r="AB197" s="32"/>
      <c r="AC197" s="32"/>
      <c r="AD197" s="221"/>
    </row>
    <row r="198" spans="18:30" x14ac:dyDescent="0.25">
      <c r="R198" s="32"/>
      <c r="S198" s="32"/>
      <c r="T198" s="32"/>
      <c r="U198" s="32"/>
      <c r="V198" s="32"/>
      <c r="W198" s="32"/>
      <c r="X198" s="32"/>
      <c r="Y198" s="32"/>
      <c r="Z198" s="32"/>
      <c r="AA198" s="32"/>
      <c r="AB198" s="32"/>
      <c r="AC198" s="32"/>
      <c r="AD198" s="221"/>
    </row>
    <row r="199" spans="18:30" x14ac:dyDescent="0.25">
      <c r="R199" s="32"/>
      <c r="S199" s="32"/>
      <c r="T199" s="32"/>
      <c r="U199" s="32"/>
      <c r="V199" s="32"/>
      <c r="W199" s="32"/>
      <c r="X199" s="32"/>
      <c r="Y199" s="32"/>
      <c r="Z199" s="32"/>
      <c r="AA199" s="32"/>
      <c r="AB199" s="32"/>
      <c r="AC199" s="32"/>
      <c r="AD199" s="221"/>
    </row>
    <row r="200" spans="18:30" x14ac:dyDescent="0.25">
      <c r="R200" s="32"/>
      <c r="S200" s="32"/>
      <c r="T200" s="32"/>
      <c r="U200" s="32"/>
      <c r="V200" s="32"/>
      <c r="W200" s="32"/>
      <c r="X200" s="32"/>
      <c r="Y200" s="32"/>
      <c r="Z200" s="32"/>
      <c r="AA200" s="32"/>
      <c r="AB200" s="32"/>
      <c r="AC200" s="32"/>
      <c r="AD200" s="221"/>
    </row>
    <row r="201" spans="18:30" x14ac:dyDescent="0.25">
      <c r="R201" s="32"/>
      <c r="S201" s="32"/>
      <c r="T201" s="32"/>
      <c r="U201" s="32"/>
      <c r="V201" s="32"/>
      <c r="W201" s="32"/>
      <c r="X201" s="32"/>
      <c r="Y201" s="32"/>
      <c r="Z201" s="32"/>
      <c r="AA201" s="32"/>
      <c r="AB201" s="32"/>
      <c r="AC201" s="32"/>
      <c r="AD201" s="221"/>
    </row>
    <row r="202" spans="18:30" x14ac:dyDescent="0.25">
      <c r="R202" s="32"/>
      <c r="S202" s="32"/>
      <c r="T202" s="32"/>
      <c r="U202" s="32"/>
      <c r="V202" s="32"/>
      <c r="W202" s="32"/>
      <c r="X202" s="32"/>
      <c r="Y202" s="32"/>
      <c r="Z202" s="32"/>
      <c r="AA202" s="32"/>
      <c r="AB202" s="32"/>
      <c r="AC202" s="32"/>
      <c r="AD202" s="221"/>
    </row>
    <row r="203" spans="18:30" x14ac:dyDescent="0.25">
      <c r="R203" s="32"/>
      <c r="S203" s="32"/>
      <c r="T203" s="32"/>
      <c r="U203" s="32"/>
      <c r="V203" s="32"/>
      <c r="W203" s="32"/>
      <c r="X203" s="32"/>
      <c r="Y203" s="32"/>
      <c r="Z203" s="32"/>
      <c r="AA203" s="32"/>
      <c r="AB203" s="32"/>
      <c r="AC203" s="32"/>
      <c r="AD203" s="221"/>
    </row>
    <row r="204" spans="18:30" x14ac:dyDescent="0.25">
      <c r="R204" s="32"/>
      <c r="S204" s="32"/>
      <c r="T204" s="32"/>
      <c r="U204" s="32"/>
      <c r="V204" s="32"/>
      <c r="W204" s="32"/>
      <c r="X204" s="32"/>
      <c r="Y204" s="32"/>
      <c r="Z204" s="32"/>
      <c r="AA204" s="32"/>
      <c r="AB204" s="32"/>
      <c r="AC204" s="32"/>
      <c r="AD204" s="221"/>
    </row>
    <row r="205" spans="18:30" x14ac:dyDescent="0.25">
      <c r="R205" s="32"/>
      <c r="S205" s="32"/>
      <c r="T205" s="32"/>
      <c r="U205" s="32"/>
      <c r="V205" s="32"/>
      <c r="W205" s="32"/>
      <c r="X205" s="32"/>
      <c r="Y205" s="32"/>
      <c r="Z205" s="32"/>
      <c r="AA205" s="32"/>
      <c r="AB205" s="32"/>
      <c r="AC205" s="32"/>
      <c r="AD205" s="221"/>
    </row>
    <row r="206" spans="18:30" x14ac:dyDescent="0.25">
      <c r="R206" s="32"/>
      <c r="S206" s="32"/>
      <c r="T206" s="32"/>
      <c r="U206" s="32"/>
      <c r="V206" s="32"/>
      <c r="W206" s="32"/>
      <c r="X206" s="32"/>
      <c r="Y206" s="32"/>
      <c r="Z206" s="32"/>
      <c r="AA206" s="32"/>
      <c r="AB206" s="32"/>
      <c r="AC206" s="32"/>
      <c r="AD206" s="221"/>
    </row>
    <row r="207" spans="18:30" x14ac:dyDescent="0.25">
      <c r="R207" s="32"/>
      <c r="S207" s="32"/>
      <c r="T207" s="32"/>
      <c r="U207" s="32"/>
      <c r="V207" s="32"/>
      <c r="W207" s="32"/>
      <c r="X207" s="32"/>
      <c r="Y207" s="32"/>
      <c r="Z207" s="32"/>
      <c r="AA207" s="32"/>
      <c r="AB207" s="32"/>
      <c r="AC207" s="32"/>
      <c r="AD207" s="221"/>
    </row>
    <row r="208" spans="18:30" x14ac:dyDescent="0.25">
      <c r="R208" s="32"/>
      <c r="S208" s="32"/>
      <c r="T208" s="32"/>
      <c r="U208" s="32"/>
      <c r="V208" s="32"/>
      <c r="W208" s="32"/>
      <c r="X208" s="32"/>
      <c r="Y208" s="32"/>
      <c r="Z208" s="32"/>
      <c r="AA208" s="32"/>
      <c r="AB208" s="32"/>
      <c r="AC208" s="32"/>
      <c r="AD208" s="221"/>
    </row>
    <row r="209" spans="18:30" x14ac:dyDescent="0.25">
      <c r="R209" s="32"/>
      <c r="S209" s="32"/>
      <c r="T209" s="32"/>
      <c r="U209" s="32"/>
      <c r="V209" s="32"/>
      <c r="W209" s="32"/>
      <c r="X209" s="32"/>
      <c r="Y209" s="32"/>
      <c r="Z209" s="32"/>
      <c r="AA209" s="32"/>
      <c r="AB209" s="32"/>
      <c r="AC209" s="32"/>
      <c r="AD209" s="221"/>
    </row>
    <row r="210" spans="18:30" x14ac:dyDescent="0.25">
      <c r="R210" s="32"/>
      <c r="S210" s="32"/>
      <c r="T210" s="32"/>
      <c r="U210" s="32"/>
      <c r="V210" s="32"/>
      <c r="W210" s="32"/>
      <c r="X210" s="32"/>
      <c r="Y210" s="32"/>
      <c r="Z210" s="32"/>
      <c r="AA210" s="32"/>
      <c r="AB210" s="32"/>
      <c r="AC210" s="32"/>
      <c r="AD210" s="221"/>
    </row>
    <row r="211" spans="18:30" x14ac:dyDescent="0.25">
      <c r="R211" s="32"/>
      <c r="S211" s="32"/>
      <c r="T211" s="32"/>
      <c r="U211" s="32"/>
      <c r="V211" s="32"/>
      <c r="W211" s="32"/>
      <c r="X211" s="32"/>
      <c r="Y211" s="32"/>
      <c r="Z211" s="32"/>
      <c r="AA211" s="32"/>
      <c r="AB211" s="32"/>
      <c r="AC211" s="32"/>
      <c r="AD211" s="221"/>
    </row>
    <row r="212" spans="18:30" x14ac:dyDescent="0.25">
      <c r="R212" s="32"/>
      <c r="S212" s="32"/>
      <c r="T212" s="32"/>
      <c r="U212" s="32"/>
      <c r="V212" s="32"/>
      <c r="W212" s="32"/>
      <c r="X212" s="32"/>
      <c r="Y212" s="32"/>
      <c r="Z212" s="32"/>
      <c r="AA212" s="32"/>
      <c r="AB212" s="32"/>
      <c r="AC212" s="32"/>
      <c r="AD212" s="221"/>
    </row>
    <row r="213" spans="18:30" x14ac:dyDescent="0.25">
      <c r="R213" s="32"/>
      <c r="S213" s="32"/>
      <c r="T213" s="32"/>
      <c r="U213" s="32"/>
      <c r="V213" s="32"/>
      <c r="W213" s="32"/>
      <c r="X213" s="32"/>
      <c r="Y213" s="32"/>
      <c r="Z213" s="32"/>
      <c r="AA213" s="32"/>
      <c r="AB213" s="32"/>
      <c r="AC213" s="32"/>
      <c r="AD213" s="221"/>
    </row>
    <row r="214" spans="18:30" x14ac:dyDescent="0.25">
      <c r="R214" s="32"/>
      <c r="S214" s="32"/>
      <c r="T214" s="32"/>
      <c r="U214" s="32"/>
      <c r="V214" s="32"/>
      <c r="W214" s="32"/>
      <c r="X214" s="32"/>
      <c r="Y214" s="32"/>
      <c r="Z214" s="32"/>
      <c r="AA214" s="32"/>
      <c r="AB214" s="32"/>
      <c r="AC214" s="32"/>
      <c r="AD214" s="221"/>
    </row>
    <row r="215" spans="18:30" x14ac:dyDescent="0.25">
      <c r="R215" s="32"/>
      <c r="S215" s="32"/>
      <c r="T215" s="32"/>
      <c r="U215" s="32"/>
      <c r="V215" s="32"/>
      <c r="W215" s="32"/>
      <c r="X215" s="32"/>
      <c r="Y215" s="32"/>
      <c r="Z215" s="32"/>
      <c r="AA215" s="32"/>
      <c r="AB215" s="32"/>
      <c r="AC215" s="32"/>
      <c r="AD215" s="221"/>
    </row>
    <row r="216" spans="18:30" x14ac:dyDescent="0.25">
      <c r="R216" s="32"/>
      <c r="S216" s="32"/>
      <c r="T216" s="32"/>
      <c r="U216" s="32"/>
      <c r="V216" s="32"/>
      <c r="W216" s="32"/>
      <c r="X216" s="32"/>
      <c r="Y216" s="32"/>
      <c r="Z216" s="32"/>
      <c r="AA216" s="32"/>
      <c r="AB216" s="32"/>
      <c r="AC216" s="32"/>
      <c r="AD216" s="221"/>
    </row>
    <row r="217" spans="18:30" x14ac:dyDescent="0.25">
      <c r="R217" s="32"/>
      <c r="S217" s="32"/>
      <c r="T217" s="32"/>
      <c r="U217" s="32"/>
      <c r="V217" s="32"/>
      <c r="W217" s="32"/>
      <c r="X217" s="32"/>
      <c r="Y217" s="32"/>
      <c r="Z217" s="32"/>
      <c r="AA217" s="32"/>
      <c r="AB217" s="32"/>
      <c r="AC217" s="32"/>
      <c r="AD217" s="221"/>
    </row>
    <row r="218" spans="18:30" x14ac:dyDescent="0.25">
      <c r="R218" s="32"/>
      <c r="S218" s="32"/>
      <c r="T218" s="32"/>
      <c r="U218" s="32"/>
      <c r="V218" s="32"/>
      <c r="W218" s="32"/>
      <c r="X218" s="32"/>
      <c r="Y218" s="32"/>
      <c r="Z218" s="32"/>
      <c r="AA218" s="32"/>
      <c r="AB218" s="32"/>
      <c r="AC218" s="32"/>
      <c r="AD218" s="221"/>
    </row>
    <row r="219" spans="18:30" x14ac:dyDescent="0.25">
      <c r="R219" s="32"/>
      <c r="S219" s="32"/>
      <c r="T219" s="32"/>
      <c r="U219" s="32"/>
      <c r="V219" s="32"/>
      <c r="W219" s="32"/>
      <c r="X219" s="32"/>
      <c r="Y219" s="32"/>
      <c r="Z219" s="32"/>
      <c r="AA219" s="32"/>
      <c r="AB219" s="32"/>
      <c r="AC219" s="32"/>
      <c r="AD219" s="221"/>
    </row>
    <row r="220" spans="18:30" x14ac:dyDescent="0.25">
      <c r="R220" s="32"/>
      <c r="S220" s="32"/>
      <c r="T220" s="32"/>
      <c r="U220" s="32"/>
      <c r="V220" s="32"/>
      <c r="W220" s="32"/>
      <c r="X220" s="32"/>
      <c r="Y220" s="32"/>
      <c r="Z220" s="32"/>
      <c r="AA220" s="32"/>
      <c r="AB220" s="32"/>
      <c r="AC220" s="32"/>
      <c r="AD220" s="221"/>
    </row>
    <row r="221" spans="18:30" x14ac:dyDescent="0.25">
      <c r="R221" s="32"/>
      <c r="S221" s="32"/>
      <c r="T221" s="32"/>
      <c r="U221" s="32"/>
      <c r="V221" s="32"/>
      <c r="W221" s="32"/>
      <c r="X221" s="32"/>
      <c r="Y221" s="32"/>
      <c r="Z221" s="32"/>
      <c r="AA221" s="32"/>
      <c r="AB221" s="32"/>
      <c r="AC221" s="32"/>
      <c r="AD221" s="221"/>
    </row>
    <row r="222" spans="18:30" x14ac:dyDescent="0.25">
      <c r="R222" s="32"/>
      <c r="S222" s="32"/>
      <c r="T222" s="32"/>
      <c r="U222" s="32"/>
      <c r="V222" s="32"/>
      <c r="W222" s="32"/>
      <c r="X222" s="32"/>
      <c r="Y222" s="32"/>
      <c r="Z222" s="32"/>
      <c r="AA222" s="32"/>
      <c r="AB222" s="32"/>
      <c r="AC222" s="32"/>
      <c r="AD222" s="221"/>
    </row>
    <row r="223" spans="18:30" x14ac:dyDescent="0.25">
      <c r="R223" s="32"/>
      <c r="S223" s="32"/>
      <c r="T223" s="32"/>
      <c r="U223" s="32"/>
      <c r="V223" s="32"/>
      <c r="W223" s="32"/>
      <c r="X223" s="32"/>
      <c r="Y223" s="32"/>
      <c r="Z223" s="32"/>
      <c r="AA223" s="32"/>
      <c r="AB223" s="32"/>
      <c r="AC223" s="32"/>
      <c r="AD223" s="221"/>
    </row>
    <row r="224" spans="18:30" x14ac:dyDescent="0.25">
      <c r="R224" s="32"/>
      <c r="S224" s="32"/>
      <c r="T224" s="32"/>
      <c r="U224" s="32"/>
      <c r="V224" s="32"/>
      <c r="W224" s="32"/>
      <c r="X224" s="32"/>
      <c r="Y224" s="32"/>
      <c r="Z224" s="32"/>
      <c r="AA224" s="32"/>
      <c r="AB224" s="32"/>
      <c r="AC224" s="32"/>
      <c r="AD224" s="221"/>
    </row>
    <row r="225" spans="18:30" x14ac:dyDescent="0.25">
      <c r="R225" s="32"/>
      <c r="S225" s="32"/>
      <c r="T225" s="32"/>
      <c r="U225" s="32"/>
      <c r="V225" s="32"/>
      <c r="W225" s="32"/>
      <c r="X225" s="32"/>
      <c r="Y225" s="32"/>
      <c r="Z225" s="32"/>
      <c r="AA225" s="32"/>
      <c r="AB225" s="32"/>
      <c r="AC225" s="32"/>
      <c r="AD225" s="221"/>
    </row>
    <row r="226" spans="18:30" x14ac:dyDescent="0.25">
      <c r="R226" s="32"/>
      <c r="S226" s="32"/>
      <c r="T226" s="32"/>
      <c r="U226" s="32"/>
      <c r="V226" s="32"/>
      <c r="W226" s="32"/>
      <c r="X226" s="32"/>
      <c r="Y226" s="32"/>
      <c r="Z226" s="32"/>
      <c r="AA226" s="32"/>
      <c r="AB226" s="32"/>
      <c r="AC226" s="32"/>
      <c r="AD226" s="221"/>
    </row>
    <row r="227" spans="18:30" x14ac:dyDescent="0.25">
      <c r="R227" s="32"/>
      <c r="S227" s="32"/>
      <c r="T227" s="32"/>
      <c r="U227" s="32"/>
      <c r="V227" s="32"/>
      <c r="W227" s="32"/>
      <c r="X227" s="32"/>
      <c r="Y227" s="32"/>
      <c r="Z227" s="32"/>
      <c r="AA227" s="32"/>
      <c r="AB227" s="32"/>
      <c r="AC227" s="32"/>
      <c r="AD227" s="221"/>
    </row>
    <row r="228" spans="18:30" x14ac:dyDescent="0.25">
      <c r="R228" s="32"/>
      <c r="S228" s="32"/>
      <c r="T228" s="32"/>
      <c r="U228" s="32"/>
      <c r="V228" s="32"/>
      <c r="W228" s="32"/>
      <c r="X228" s="32"/>
      <c r="Y228" s="32"/>
      <c r="Z228" s="32"/>
      <c r="AA228" s="32"/>
      <c r="AB228" s="32"/>
      <c r="AC228" s="32"/>
      <c r="AD228" s="221"/>
    </row>
    <row r="229" spans="18:30" x14ac:dyDescent="0.25">
      <c r="R229" s="32"/>
      <c r="S229" s="32"/>
      <c r="T229" s="32"/>
      <c r="U229" s="32"/>
      <c r="V229" s="32"/>
      <c r="W229" s="32"/>
      <c r="X229" s="32"/>
      <c r="Y229" s="32"/>
      <c r="Z229" s="32"/>
      <c r="AA229" s="32"/>
      <c r="AB229" s="32"/>
      <c r="AC229" s="32"/>
      <c r="AD229" s="221"/>
    </row>
    <row r="230" spans="18:30" x14ac:dyDescent="0.25">
      <c r="R230" s="32"/>
      <c r="S230" s="32"/>
      <c r="T230" s="32"/>
      <c r="U230" s="32"/>
      <c r="V230" s="32"/>
      <c r="W230" s="32"/>
      <c r="X230" s="32"/>
      <c r="Y230" s="32"/>
      <c r="Z230" s="32"/>
      <c r="AA230" s="32"/>
      <c r="AB230" s="32"/>
      <c r="AC230" s="32"/>
      <c r="AD230" s="221"/>
    </row>
    <row r="231" spans="18:30" x14ac:dyDescent="0.25">
      <c r="R231" s="32"/>
      <c r="S231" s="32"/>
      <c r="T231" s="32"/>
      <c r="U231" s="32"/>
      <c r="V231" s="32"/>
      <c r="W231" s="32"/>
      <c r="X231" s="32"/>
      <c r="Y231" s="32"/>
      <c r="Z231" s="32"/>
      <c r="AA231" s="32"/>
      <c r="AB231" s="32"/>
      <c r="AC231" s="32"/>
      <c r="AD231" s="221"/>
    </row>
    <row r="232" spans="18:30" x14ac:dyDescent="0.25">
      <c r="R232" s="32"/>
      <c r="S232" s="32"/>
      <c r="T232" s="32"/>
      <c r="U232" s="32"/>
      <c r="V232" s="32"/>
      <c r="W232" s="32"/>
      <c r="X232" s="32"/>
      <c r="Y232" s="32"/>
      <c r="Z232" s="32"/>
      <c r="AA232" s="32"/>
      <c r="AB232" s="32"/>
      <c r="AC232" s="32"/>
      <c r="AD232" s="221"/>
    </row>
    <row r="233" spans="18:30" x14ac:dyDescent="0.25">
      <c r="R233" s="32"/>
      <c r="S233" s="32"/>
      <c r="T233" s="32"/>
      <c r="U233" s="32"/>
      <c r="V233" s="32"/>
      <c r="W233" s="32"/>
      <c r="X233" s="32"/>
      <c r="Y233" s="32"/>
      <c r="Z233" s="32"/>
      <c r="AA233" s="32"/>
      <c r="AB233" s="32"/>
      <c r="AC233" s="32"/>
      <c r="AD233" s="221"/>
    </row>
    <row r="234" spans="18:30" x14ac:dyDescent="0.25">
      <c r="R234" s="32"/>
      <c r="S234" s="32"/>
      <c r="T234" s="32"/>
      <c r="U234" s="32"/>
      <c r="V234" s="32"/>
      <c r="W234" s="32"/>
      <c r="X234" s="32"/>
      <c r="Y234" s="32"/>
      <c r="Z234" s="32"/>
      <c r="AA234" s="32"/>
      <c r="AB234" s="32"/>
      <c r="AC234" s="32"/>
      <c r="AD234" s="221"/>
    </row>
    <row r="235" spans="18:30" x14ac:dyDescent="0.25">
      <c r="R235" s="32"/>
      <c r="S235" s="32"/>
      <c r="T235" s="32"/>
      <c r="U235" s="32"/>
      <c r="V235" s="32"/>
      <c r="W235" s="32"/>
      <c r="X235" s="32"/>
      <c r="Y235" s="32"/>
      <c r="Z235" s="32"/>
      <c r="AA235" s="32"/>
      <c r="AB235" s="32"/>
      <c r="AC235" s="32"/>
      <c r="AD235" s="221"/>
    </row>
    <row r="236" spans="18:30" x14ac:dyDescent="0.25">
      <c r="R236" s="32"/>
      <c r="S236" s="32"/>
      <c r="T236" s="32"/>
      <c r="U236" s="32"/>
      <c r="V236" s="32"/>
      <c r="W236" s="32"/>
      <c r="X236" s="32"/>
      <c r="Y236" s="32"/>
      <c r="Z236" s="32"/>
      <c r="AA236" s="32"/>
      <c r="AB236" s="32"/>
      <c r="AC236" s="32"/>
      <c r="AD236" s="221"/>
    </row>
    <row r="237" spans="18:30" x14ac:dyDescent="0.25">
      <c r="R237" s="32"/>
      <c r="S237" s="32"/>
      <c r="T237" s="32"/>
      <c r="U237" s="32"/>
      <c r="V237" s="32"/>
      <c r="W237" s="32"/>
      <c r="X237" s="32"/>
      <c r="Y237" s="32"/>
      <c r="Z237" s="32"/>
      <c r="AA237" s="32"/>
      <c r="AB237" s="32"/>
      <c r="AC237" s="32"/>
      <c r="AD237" s="221"/>
    </row>
    <row r="238" spans="18:30" x14ac:dyDescent="0.25">
      <c r="R238" s="32"/>
      <c r="S238" s="32"/>
      <c r="T238" s="32"/>
      <c r="U238" s="32"/>
      <c r="V238" s="32"/>
      <c r="W238" s="32"/>
      <c r="X238" s="32"/>
      <c r="Y238" s="32"/>
      <c r="Z238" s="32"/>
      <c r="AA238" s="32"/>
      <c r="AB238" s="32"/>
      <c r="AC238" s="32"/>
      <c r="AD238" s="221"/>
    </row>
    <row r="239" spans="18:30" x14ac:dyDescent="0.25">
      <c r="R239" s="32"/>
      <c r="S239" s="32"/>
      <c r="T239" s="32"/>
      <c r="U239" s="32"/>
      <c r="V239" s="32"/>
      <c r="W239" s="32"/>
      <c r="X239" s="32"/>
      <c r="Y239" s="32"/>
      <c r="Z239" s="32"/>
      <c r="AA239" s="32"/>
      <c r="AB239" s="32"/>
      <c r="AC239" s="32"/>
      <c r="AD239" s="221"/>
    </row>
    <row r="240" spans="18:30" x14ac:dyDescent="0.25">
      <c r="R240" s="32"/>
      <c r="S240" s="32"/>
      <c r="T240" s="32"/>
      <c r="U240" s="32"/>
      <c r="V240" s="32"/>
      <c r="W240" s="32"/>
      <c r="X240" s="32"/>
      <c r="Y240" s="32"/>
      <c r="Z240" s="32"/>
      <c r="AA240" s="32"/>
      <c r="AB240" s="32"/>
      <c r="AC240" s="32"/>
      <c r="AD240" s="221"/>
    </row>
    <row r="241" spans="18:30" x14ac:dyDescent="0.25">
      <c r="R241" s="32"/>
      <c r="S241" s="32"/>
      <c r="T241" s="32"/>
      <c r="U241" s="32"/>
      <c r="V241" s="32"/>
      <c r="W241" s="32"/>
      <c r="X241" s="32"/>
      <c r="Y241" s="32"/>
      <c r="Z241" s="32"/>
      <c r="AA241" s="32"/>
      <c r="AB241" s="32"/>
      <c r="AC241" s="32"/>
      <c r="AD241" s="221"/>
    </row>
    <row r="242" spans="18:30" x14ac:dyDescent="0.25">
      <c r="R242" s="32"/>
      <c r="S242" s="32"/>
      <c r="T242" s="32"/>
      <c r="U242" s="32"/>
      <c r="V242" s="32"/>
      <c r="W242" s="32"/>
      <c r="X242" s="32"/>
      <c r="Y242" s="32"/>
      <c r="Z242" s="32"/>
      <c r="AA242" s="32"/>
      <c r="AB242" s="32"/>
      <c r="AC242" s="32"/>
      <c r="AD242" s="221"/>
    </row>
    <row r="243" spans="18:30" x14ac:dyDescent="0.25">
      <c r="R243" s="32"/>
      <c r="S243" s="32"/>
      <c r="T243" s="32"/>
      <c r="U243" s="32"/>
      <c r="V243" s="32"/>
      <c r="W243" s="32"/>
      <c r="X243" s="32"/>
      <c r="Y243" s="32"/>
      <c r="Z243" s="32"/>
      <c r="AA243" s="32"/>
      <c r="AB243" s="32"/>
      <c r="AC243" s="32"/>
      <c r="AD243" s="221"/>
    </row>
    <row r="244" spans="18:30" x14ac:dyDescent="0.25">
      <c r="R244" s="32"/>
      <c r="S244" s="32"/>
      <c r="T244" s="32"/>
      <c r="U244" s="32"/>
      <c r="V244" s="32"/>
      <c r="W244" s="32"/>
      <c r="X244" s="32"/>
      <c r="Y244" s="32"/>
      <c r="Z244" s="32"/>
      <c r="AA244" s="32"/>
      <c r="AB244" s="32"/>
      <c r="AC244" s="32"/>
      <c r="AD244" s="221"/>
    </row>
    <row r="245" spans="18:30" x14ac:dyDescent="0.25">
      <c r="R245" s="32"/>
      <c r="S245" s="32"/>
      <c r="T245" s="32"/>
      <c r="U245" s="32"/>
      <c r="V245" s="32"/>
      <c r="W245" s="32"/>
      <c r="X245" s="32"/>
      <c r="Y245" s="32"/>
      <c r="Z245" s="32"/>
      <c r="AA245" s="32"/>
      <c r="AB245" s="32"/>
      <c r="AC245" s="32"/>
      <c r="AD245" s="221"/>
    </row>
    <row r="246" spans="18:30" x14ac:dyDescent="0.25">
      <c r="R246" s="32"/>
      <c r="S246" s="32"/>
      <c r="T246" s="32"/>
      <c r="U246" s="32"/>
      <c r="V246" s="32"/>
      <c r="W246" s="32"/>
      <c r="X246" s="32"/>
      <c r="Y246" s="32"/>
      <c r="Z246" s="32"/>
      <c r="AA246" s="32"/>
      <c r="AB246" s="32"/>
      <c r="AC246" s="32"/>
      <c r="AD246" s="221"/>
    </row>
    <row r="247" spans="18:30" x14ac:dyDescent="0.25">
      <c r="R247" s="32"/>
      <c r="S247" s="32"/>
      <c r="T247" s="32"/>
      <c r="U247" s="32"/>
      <c r="V247" s="32"/>
      <c r="W247" s="32"/>
      <c r="X247" s="32"/>
      <c r="Y247" s="32"/>
      <c r="Z247" s="32"/>
      <c r="AA247" s="32"/>
      <c r="AB247" s="32"/>
      <c r="AC247" s="32"/>
      <c r="AD247" s="221"/>
    </row>
    <row r="248" spans="18:30" x14ac:dyDescent="0.25">
      <c r="R248" s="32"/>
      <c r="S248" s="32"/>
      <c r="T248" s="32"/>
      <c r="U248" s="32"/>
      <c r="V248" s="32"/>
      <c r="W248" s="32"/>
      <c r="X248" s="32"/>
      <c r="Y248" s="32"/>
      <c r="Z248" s="32"/>
      <c r="AA248" s="32"/>
      <c r="AB248" s="32"/>
      <c r="AC248" s="32"/>
      <c r="AD248" s="221"/>
    </row>
    <row r="249" spans="18:30" x14ac:dyDescent="0.25">
      <c r="R249" s="32"/>
      <c r="S249" s="32"/>
      <c r="T249" s="32"/>
      <c r="U249" s="32"/>
      <c r="V249" s="32"/>
      <c r="W249" s="32"/>
      <c r="X249" s="32"/>
      <c r="Y249" s="32"/>
      <c r="Z249" s="32"/>
      <c r="AA249" s="32"/>
      <c r="AB249" s="32"/>
      <c r="AC249" s="32"/>
      <c r="AD249" s="221"/>
    </row>
    <row r="250" spans="18:30" x14ac:dyDescent="0.25">
      <c r="R250" s="32"/>
      <c r="S250" s="32"/>
      <c r="T250" s="32"/>
      <c r="U250" s="32"/>
      <c r="V250" s="32"/>
      <c r="W250" s="32"/>
      <c r="X250" s="32"/>
      <c r="Y250" s="32"/>
      <c r="Z250" s="32"/>
      <c r="AA250" s="32"/>
      <c r="AB250" s="32"/>
      <c r="AC250" s="32"/>
      <c r="AD250" s="221"/>
    </row>
    <row r="251" spans="18:30" x14ac:dyDescent="0.25">
      <c r="R251" s="32"/>
      <c r="S251" s="32"/>
      <c r="T251" s="32"/>
      <c r="U251" s="32"/>
      <c r="V251" s="32"/>
      <c r="W251" s="32"/>
      <c r="X251" s="32"/>
      <c r="Y251" s="32"/>
      <c r="Z251" s="32"/>
      <c r="AA251" s="32"/>
      <c r="AB251" s="32"/>
      <c r="AC251" s="32"/>
      <c r="AD251" s="221"/>
    </row>
    <row r="252" spans="18:30" x14ac:dyDescent="0.25">
      <c r="R252" s="32"/>
      <c r="S252" s="32"/>
      <c r="T252" s="32"/>
      <c r="U252" s="32"/>
      <c r="V252" s="32"/>
      <c r="W252" s="32"/>
      <c r="X252" s="32"/>
      <c r="Y252" s="32"/>
      <c r="Z252" s="32"/>
      <c r="AA252" s="32"/>
      <c r="AB252" s="32"/>
      <c r="AC252" s="32"/>
      <c r="AD252" s="221"/>
    </row>
    <row r="253" spans="18:30" x14ac:dyDescent="0.25">
      <c r="R253" s="32"/>
      <c r="S253" s="32"/>
      <c r="T253" s="32"/>
      <c r="U253" s="32"/>
      <c r="V253" s="32"/>
      <c r="W253" s="32"/>
      <c r="X253" s="32"/>
      <c r="Y253" s="32"/>
      <c r="Z253" s="32"/>
      <c r="AA253" s="32"/>
      <c r="AB253" s="32"/>
      <c r="AC253" s="32"/>
      <c r="AD253" s="221"/>
    </row>
    <row r="254" spans="18:30" x14ac:dyDescent="0.25">
      <c r="R254" s="32"/>
      <c r="S254" s="32"/>
      <c r="T254" s="32"/>
      <c r="U254" s="32"/>
      <c r="V254" s="32"/>
      <c r="W254" s="32"/>
      <c r="X254" s="32"/>
      <c r="Y254" s="32"/>
      <c r="Z254" s="32"/>
      <c r="AA254" s="32"/>
      <c r="AB254" s="32"/>
      <c r="AC254" s="32"/>
      <c r="AD254" s="221"/>
    </row>
    <row r="255" spans="18:30" x14ac:dyDescent="0.25">
      <c r="R255" s="32"/>
      <c r="S255" s="32"/>
      <c r="T255" s="32"/>
      <c r="U255" s="32"/>
      <c r="V255" s="32"/>
      <c r="W255" s="32"/>
      <c r="X255" s="32"/>
      <c r="Y255" s="32"/>
      <c r="Z255" s="32"/>
      <c r="AA255" s="32"/>
      <c r="AB255" s="32"/>
      <c r="AC255" s="32"/>
      <c r="AD255" s="221"/>
    </row>
    <row r="256" spans="18:30" x14ac:dyDescent="0.25">
      <c r="R256" s="32"/>
      <c r="S256" s="32"/>
      <c r="T256" s="32"/>
      <c r="U256" s="32"/>
      <c r="V256" s="32"/>
      <c r="W256" s="32"/>
      <c r="X256" s="32"/>
      <c r="Y256" s="32"/>
      <c r="Z256" s="32"/>
      <c r="AA256" s="32"/>
      <c r="AB256" s="32"/>
      <c r="AC256" s="32"/>
      <c r="AD256" s="221"/>
    </row>
    <row r="257" spans="18:30" x14ac:dyDescent="0.25">
      <c r="R257" s="32"/>
      <c r="S257" s="32"/>
      <c r="T257" s="32"/>
      <c r="U257" s="32"/>
      <c r="V257" s="32"/>
      <c r="W257" s="32"/>
      <c r="X257" s="32"/>
      <c r="Y257" s="32"/>
      <c r="Z257" s="32"/>
      <c r="AA257" s="32"/>
      <c r="AB257" s="32"/>
      <c r="AC257" s="32"/>
      <c r="AD257" s="221"/>
    </row>
    <row r="258" spans="18:30" x14ac:dyDescent="0.25">
      <c r="R258" s="32"/>
      <c r="S258" s="32"/>
      <c r="T258" s="32"/>
      <c r="U258" s="32"/>
      <c r="V258" s="32"/>
      <c r="W258" s="32"/>
      <c r="X258" s="32"/>
      <c r="Y258" s="32"/>
      <c r="Z258" s="32"/>
      <c r="AA258" s="32"/>
      <c r="AB258" s="32"/>
      <c r="AC258" s="32"/>
      <c r="AD258" s="221"/>
    </row>
    <row r="259" spans="18:30" x14ac:dyDescent="0.25">
      <c r="R259" s="32"/>
      <c r="S259" s="32"/>
      <c r="T259" s="32"/>
      <c r="U259" s="32"/>
      <c r="V259" s="32"/>
      <c r="W259" s="32"/>
      <c r="X259" s="32"/>
      <c r="Y259" s="32"/>
      <c r="Z259" s="32"/>
      <c r="AA259" s="32"/>
      <c r="AB259" s="32"/>
      <c r="AC259" s="32"/>
      <c r="AD259" s="221"/>
    </row>
    <row r="260" spans="18:30" x14ac:dyDescent="0.25">
      <c r="R260" s="32"/>
      <c r="S260" s="32"/>
      <c r="T260" s="32"/>
      <c r="U260" s="32"/>
      <c r="V260" s="32"/>
      <c r="W260" s="32"/>
      <c r="X260" s="32"/>
      <c r="Y260" s="32"/>
      <c r="Z260" s="32"/>
      <c r="AA260" s="32"/>
      <c r="AB260" s="32"/>
      <c r="AC260" s="32"/>
      <c r="AD260" s="221"/>
    </row>
    <row r="261" spans="18:30" x14ac:dyDescent="0.25">
      <c r="R261" s="32"/>
      <c r="S261" s="32"/>
      <c r="T261" s="32"/>
      <c r="U261" s="32"/>
      <c r="V261" s="32"/>
      <c r="W261" s="32"/>
      <c r="X261" s="32"/>
      <c r="Y261" s="32"/>
      <c r="Z261" s="32"/>
      <c r="AA261" s="32"/>
      <c r="AB261" s="32"/>
      <c r="AC261" s="32"/>
      <c r="AD261" s="221"/>
    </row>
    <row r="262" spans="18:30" x14ac:dyDescent="0.25">
      <c r="R262" s="32"/>
      <c r="S262" s="32"/>
      <c r="T262" s="32"/>
      <c r="U262" s="32"/>
      <c r="V262" s="32"/>
      <c r="W262" s="32"/>
      <c r="X262" s="32"/>
      <c r="Y262" s="32"/>
      <c r="Z262" s="32"/>
      <c r="AA262" s="32"/>
      <c r="AB262" s="32"/>
      <c r="AC262" s="32"/>
      <c r="AD262" s="221"/>
    </row>
    <row r="263" spans="18:30" x14ac:dyDescent="0.25">
      <c r="R263" s="32"/>
      <c r="S263" s="32"/>
      <c r="T263" s="32"/>
      <c r="U263" s="32"/>
      <c r="V263" s="32"/>
      <c r="W263" s="32"/>
      <c r="X263" s="32"/>
      <c r="Y263" s="32"/>
      <c r="Z263" s="32"/>
      <c r="AA263" s="32"/>
      <c r="AB263" s="32"/>
      <c r="AC263" s="32"/>
      <c r="AD263" s="221"/>
    </row>
    <row r="264" spans="18:30" x14ac:dyDescent="0.25">
      <c r="R264" s="32"/>
      <c r="S264" s="32"/>
      <c r="T264" s="32"/>
      <c r="U264" s="32"/>
      <c r="V264" s="32"/>
      <c r="W264" s="32"/>
      <c r="X264" s="32"/>
      <c r="Y264" s="32"/>
      <c r="Z264" s="32"/>
      <c r="AA264" s="32"/>
      <c r="AB264" s="32"/>
      <c r="AC264" s="32"/>
      <c r="AD264" s="221"/>
    </row>
    <row r="265" spans="18:30" x14ac:dyDescent="0.25">
      <c r="R265" s="32"/>
      <c r="S265" s="32"/>
      <c r="T265" s="32"/>
      <c r="U265" s="32"/>
      <c r="V265" s="32"/>
      <c r="W265" s="32"/>
      <c r="X265" s="32"/>
      <c r="Y265" s="32"/>
      <c r="Z265" s="32"/>
      <c r="AA265" s="32"/>
      <c r="AB265" s="32"/>
      <c r="AC265" s="32"/>
      <c r="AD265" s="221"/>
    </row>
    <row r="266" spans="18:30" x14ac:dyDescent="0.25">
      <c r="R266" s="32"/>
      <c r="S266" s="32"/>
      <c r="T266" s="32"/>
      <c r="U266" s="32"/>
      <c r="V266" s="32"/>
      <c r="W266" s="32"/>
      <c r="X266" s="32"/>
      <c r="Y266" s="32"/>
      <c r="Z266" s="32"/>
      <c r="AA266" s="32"/>
      <c r="AB266" s="32"/>
      <c r="AC266" s="32"/>
      <c r="AD266" s="221"/>
    </row>
    <row r="267" spans="18:30" x14ac:dyDescent="0.25">
      <c r="R267" s="32"/>
      <c r="S267" s="32"/>
      <c r="T267" s="32"/>
      <c r="U267" s="32"/>
      <c r="V267" s="32"/>
      <c r="W267" s="32"/>
      <c r="X267" s="32"/>
      <c r="Y267" s="32"/>
      <c r="Z267" s="32"/>
      <c r="AA267" s="32"/>
      <c r="AB267" s="32"/>
      <c r="AC267" s="32"/>
      <c r="AD267" s="221"/>
    </row>
    <row r="268" spans="18:30" x14ac:dyDescent="0.25">
      <c r="R268" s="32"/>
      <c r="S268" s="32"/>
      <c r="T268" s="32"/>
      <c r="U268" s="32"/>
      <c r="V268" s="32"/>
      <c r="W268" s="32"/>
      <c r="X268" s="32"/>
      <c r="Y268" s="32"/>
      <c r="Z268" s="32"/>
      <c r="AA268" s="32"/>
      <c r="AB268" s="32"/>
      <c r="AC268" s="32"/>
      <c r="AD268" s="221"/>
    </row>
    <row r="269" spans="18:30" x14ac:dyDescent="0.25">
      <c r="R269" s="32"/>
      <c r="S269" s="32"/>
      <c r="T269" s="32"/>
      <c r="U269" s="32"/>
      <c r="V269" s="32"/>
      <c r="W269" s="32"/>
      <c r="X269" s="32"/>
      <c r="Y269" s="32"/>
      <c r="Z269" s="32"/>
      <c r="AA269" s="32"/>
      <c r="AB269" s="32"/>
      <c r="AC269" s="32"/>
      <c r="AD269" s="221"/>
    </row>
    <row r="270" spans="18:30" x14ac:dyDescent="0.25">
      <c r="R270" s="32"/>
      <c r="S270" s="32"/>
      <c r="T270" s="32"/>
      <c r="U270" s="32"/>
      <c r="V270" s="32"/>
      <c r="W270" s="32"/>
      <c r="X270" s="32"/>
      <c r="Y270" s="32"/>
      <c r="Z270" s="32"/>
      <c r="AA270" s="32"/>
      <c r="AB270" s="32"/>
      <c r="AC270" s="32"/>
      <c r="AD270" s="221"/>
    </row>
    <row r="271" spans="18:30" x14ac:dyDescent="0.25">
      <c r="R271" s="32"/>
      <c r="S271" s="32"/>
      <c r="T271" s="32"/>
      <c r="U271" s="32"/>
      <c r="V271" s="32"/>
      <c r="W271" s="32"/>
      <c r="X271" s="32"/>
      <c r="Y271" s="32"/>
      <c r="Z271" s="32"/>
      <c r="AA271" s="32"/>
      <c r="AB271" s="32"/>
      <c r="AC271" s="32"/>
      <c r="AD271" s="221"/>
    </row>
    <row r="272" spans="18:30" x14ac:dyDescent="0.25">
      <c r="R272" s="32"/>
      <c r="S272" s="32"/>
      <c r="T272" s="32"/>
      <c r="U272" s="32"/>
      <c r="V272" s="32"/>
      <c r="W272" s="32"/>
      <c r="X272" s="32"/>
      <c r="Y272" s="32"/>
      <c r="Z272" s="32"/>
      <c r="AA272" s="32"/>
      <c r="AB272" s="32"/>
      <c r="AC272" s="32"/>
      <c r="AD272" s="221"/>
    </row>
    <row r="273" spans="18:30" x14ac:dyDescent="0.25">
      <c r="R273" s="32"/>
      <c r="S273" s="32"/>
      <c r="T273" s="32"/>
      <c r="U273" s="32"/>
      <c r="V273" s="32"/>
      <c r="W273" s="32"/>
      <c r="X273" s="32"/>
      <c r="Y273" s="32"/>
      <c r="Z273" s="32"/>
      <c r="AA273" s="32"/>
      <c r="AB273" s="32"/>
      <c r="AC273" s="32"/>
      <c r="AD273" s="221"/>
    </row>
    <row r="274" spans="18:30" x14ac:dyDescent="0.25">
      <c r="R274" s="32"/>
      <c r="S274" s="32"/>
      <c r="T274" s="32"/>
      <c r="U274" s="32"/>
      <c r="V274" s="32"/>
      <c r="W274" s="32"/>
      <c r="X274" s="32"/>
      <c r="Y274" s="32"/>
      <c r="Z274" s="32"/>
      <c r="AA274" s="32"/>
      <c r="AB274" s="32"/>
      <c r="AC274" s="32"/>
      <c r="AD274" s="221"/>
    </row>
    <row r="275" spans="18:30" x14ac:dyDescent="0.25">
      <c r="R275" s="32"/>
      <c r="S275" s="32"/>
      <c r="T275" s="32"/>
      <c r="U275" s="32"/>
      <c r="V275" s="32"/>
      <c r="W275" s="32"/>
      <c r="X275" s="32"/>
      <c r="Y275" s="32"/>
      <c r="Z275" s="32"/>
      <c r="AA275" s="32"/>
      <c r="AB275" s="32"/>
      <c r="AC275" s="32"/>
      <c r="AD275" s="221"/>
    </row>
    <row r="276" spans="18:30" x14ac:dyDescent="0.25">
      <c r="R276" s="32"/>
      <c r="S276" s="32"/>
      <c r="T276" s="32"/>
      <c r="U276" s="32"/>
      <c r="V276" s="32"/>
      <c r="W276" s="32"/>
      <c r="X276" s="32"/>
      <c r="Y276" s="32"/>
      <c r="Z276" s="32"/>
      <c r="AA276" s="32"/>
      <c r="AB276" s="32"/>
      <c r="AC276" s="32"/>
      <c r="AD276" s="221"/>
    </row>
    <row r="277" spans="18:30" x14ac:dyDescent="0.25">
      <c r="R277" s="32"/>
      <c r="S277" s="32"/>
      <c r="T277" s="32"/>
      <c r="U277" s="32"/>
      <c r="V277" s="32"/>
      <c r="W277" s="32"/>
      <c r="X277" s="32"/>
      <c r="Y277" s="32"/>
      <c r="Z277" s="32"/>
      <c r="AA277" s="32"/>
      <c r="AB277" s="32"/>
      <c r="AC277" s="32"/>
      <c r="AD277" s="221"/>
    </row>
    <row r="278" spans="18:30" x14ac:dyDescent="0.25">
      <c r="R278" s="32"/>
      <c r="S278" s="32"/>
      <c r="T278" s="32"/>
      <c r="U278" s="32"/>
      <c r="V278" s="32"/>
      <c r="W278" s="32"/>
      <c r="X278" s="32"/>
      <c r="Y278" s="32"/>
      <c r="Z278" s="32"/>
      <c r="AA278" s="32"/>
      <c r="AB278" s="32"/>
      <c r="AC278" s="32"/>
      <c r="AD278" s="221"/>
    </row>
    <row r="279" spans="18:30" x14ac:dyDescent="0.25">
      <c r="R279" s="32"/>
      <c r="S279" s="32"/>
      <c r="T279" s="32"/>
      <c r="U279" s="32"/>
      <c r="V279" s="32"/>
      <c r="W279" s="32"/>
      <c r="X279" s="32"/>
      <c r="Y279" s="32"/>
      <c r="Z279" s="32"/>
      <c r="AA279" s="32"/>
      <c r="AB279" s="32"/>
      <c r="AC279" s="32"/>
      <c r="AD279" s="221"/>
    </row>
    <row r="280" spans="18:30" x14ac:dyDescent="0.25">
      <c r="R280" s="32"/>
      <c r="S280" s="32"/>
      <c r="T280" s="32"/>
      <c r="U280" s="32"/>
      <c r="V280" s="32"/>
      <c r="W280" s="32"/>
      <c r="X280" s="32"/>
      <c r="Y280" s="32"/>
      <c r="Z280" s="32"/>
      <c r="AA280" s="32"/>
      <c r="AB280" s="32"/>
      <c r="AC280" s="32"/>
      <c r="AD280" s="221"/>
    </row>
    <row r="281" spans="18:30" x14ac:dyDescent="0.25">
      <c r="R281" s="32"/>
      <c r="S281" s="32"/>
      <c r="T281" s="32"/>
      <c r="U281" s="32"/>
      <c r="V281" s="32"/>
      <c r="W281" s="32"/>
      <c r="X281" s="32"/>
      <c r="Y281" s="32"/>
      <c r="Z281" s="32"/>
      <c r="AA281" s="32"/>
      <c r="AB281" s="32"/>
      <c r="AC281" s="32"/>
      <c r="AD281" s="221"/>
    </row>
    <row r="282" spans="18:30" x14ac:dyDescent="0.25">
      <c r="R282" s="32"/>
      <c r="S282" s="32"/>
      <c r="T282" s="32"/>
      <c r="U282" s="32"/>
      <c r="V282" s="32"/>
      <c r="W282" s="32"/>
      <c r="X282" s="32"/>
      <c r="Y282" s="32"/>
      <c r="Z282" s="32"/>
      <c r="AA282" s="32"/>
      <c r="AB282" s="32"/>
      <c r="AC282" s="32"/>
      <c r="AD282" s="221"/>
    </row>
    <row r="283" spans="18:30" x14ac:dyDescent="0.25">
      <c r="R283" s="32"/>
      <c r="S283" s="32"/>
      <c r="T283" s="32"/>
      <c r="U283" s="32"/>
      <c r="V283" s="32"/>
      <c r="W283" s="32"/>
      <c r="X283" s="32"/>
      <c r="Y283" s="32"/>
      <c r="Z283" s="32"/>
      <c r="AA283" s="32"/>
      <c r="AB283" s="32"/>
      <c r="AC283" s="32"/>
      <c r="AD283" s="221"/>
    </row>
    <row r="284" spans="18:30" x14ac:dyDescent="0.25">
      <c r="R284" s="32"/>
      <c r="S284" s="32"/>
      <c r="T284" s="32"/>
      <c r="U284" s="32"/>
      <c r="V284" s="32"/>
      <c r="W284" s="32"/>
      <c r="X284" s="32"/>
      <c r="Y284" s="32"/>
      <c r="Z284" s="32"/>
      <c r="AA284" s="32"/>
      <c r="AB284" s="32"/>
      <c r="AC284" s="32"/>
      <c r="AD284" s="221"/>
    </row>
    <row r="285" spans="18:30" x14ac:dyDescent="0.25">
      <c r="R285" s="32"/>
      <c r="S285" s="32"/>
      <c r="T285" s="32"/>
      <c r="U285" s="32"/>
      <c r="V285" s="32"/>
      <c r="W285" s="32"/>
      <c r="X285" s="32"/>
      <c r="Y285" s="32"/>
      <c r="Z285" s="32"/>
      <c r="AA285" s="32"/>
      <c r="AB285" s="32"/>
      <c r="AC285" s="32"/>
      <c r="AD285" s="221"/>
    </row>
    <row r="286" spans="18:30" x14ac:dyDescent="0.25">
      <c r="R286" s="32"/>
      <c r="S286" s="32"/>
      <c r="T286" s="32"/>
      <c r="U286" s="32"/>
      <c r="V286" s="32"/>
      <c r="W286" s="32"/>
      <c r="X286" s="32"/>
      <c r="Y286" s="32"/>
      <c r="Z286" s="32"/>
      <c r="AA286" s="32"/>
      <c r="AB286" s="32"/>
      <c r="AC286" s="32"/>
      <c r="AD286" s="221"/>
    </row>
    <row r="287" spans="18:30" x14ac:dyDescent="0.25">
      <c r="R287" s="32"/>
      <c r="S287" s="32"/>
      <c r="T287" s="32"/>
      <c r="U287" s="32"/>
      <c r="V287" s="32"/>
      <c r="W287" s="32"/>
      <c r="X287" s="32"/>
      <c r="Y287" s="32"/>
      <c r="Z287" s="32"/>
      <c r="AA287" s="32"/>
      <c r="AB287" s="32"/>
      <c r="AC287" s="32"/>
      <c r="AD287" s="221"/>
    </row>
    <row r="288" spans="18:30" x14ac:dyDescent="0.25">
      <c r="R288" s="32"/>
      <c r="S288" s="32"/>
      <c r="T288" s="32"/>
      <c r="U288" s="32"/>
      <c r="V288" s="32"/>
      <c r="W288" s="32"/>
      <c r="X288" s="32"/>
      <c r="Y288" s="32"/>
      <c r="Z288" s="32"/>
      <c r="AA288" s="32"/>
      <c r="AB288" s="32"/>
      <c r="AC288" s="32"/>
      <c r="AD288" s="221"/>
    </row>
    <row r="289" spans="18:30" x14ac:dyDescent="0.25">
      <c r="R289" s="32"/>
      <c r="S289" s="32"/>
      <c r="T289" s="32"/>
      <c r="U289" s="32"/>
      <c r="V289" s="32"/>
      <c r="W289" s="32"/>
      <c r="X289" s="32"/>
      <c r="Y289" s="32"/>
      <c r="Z289" s="32"/>
      <c r="AA289" s="32"/>
      <c r="AB289" s="32"/>
      <c r="AC289" s="32"/>
      <c r="AD289" s="221"/>
    </row>
    <row r="290" spans="18:30" x14ac:dyDescent="0.25">
      <c r="R290" s="32"/>
      <c r="S290" s="32"/>
      <c r="T290" s="32"/>
      <c r="U290" s="32"/>
      <c r="V290" s="32"/>
      <c r="W290" s="32"/>
      <c r="X290" s="32"/>
      <c r="Y290" s="32"/>
      <c r="Z290" s="32"/>
      <c r="AA290" s="32"/>
      <c r="AB290" s="32"/>
      <c r="AC290" s="32"/>
      <c r="AD290" s="221"/>
    </row>
    <row r="291" spans="18:30" x14ac:dyDescent="0.25">
      <c r="R291" s="32"/>
      <c r="S291" s="32"/>
      <c r="T291" s="32"/>
      <c r="U291" s="32"/>
      <c r="V291" s="32"/>
      <c r="W291" s="32"/>
      <c r="X291" s="32"/>
      <c r="Y291" s="32"/>
      <c r="Z291" s="32"/>
      <c r="AA291" s="32"/>
      <c r="AB291" s="32"/>
      <c r="AC291" s="32"/>
      <c r="AD291" s="221"/>
    </row>
    <row r="292" spans="18:30" x14ac:dyDescent="0.25">
      <c r="R292" s="32"/>
      <c r="S292" s="32"/>
      <c r="T292" s="32"/>
      <c r="U292" s="32"/>
      <c r="V292" s="32"/>
      <c r="W292" s="32"/>
      <c r="X292" s="32"/>
      <c r="Y292" s="32"/>
      <c r="Z292" s="32"/>
      <c r="AA292" s="32"/>
      <c r="AB292" s="32"/>
      <c r="AC292" s="32"/>
      <c r="AD292" s="221"/>
    </row>
    <row r="293" spans="18:30" x14ac:dyDescent="0.25">
      <c r="R293" s="32"/>
      <c r="S293" s="32"/>
      <c r="T293" s="32"/>
      <c r="U293" s="32"/>
      <c r="V293" s="32"/>
      <c r="W293" s="32"/>
      <c r="X293" s="32"/>
      <c r="Y293" s="32"/>
      <c r="Z293" s="32"/>
      <c r="AA293" s="32"/>
      <c r="AB293" s="32"/>
      <c r="AC293" s="32"/>
      <c r="AD293" s="221"/>
    </row>
    <row r="294" spans="18:30" x14ac:dyDescent="0.25">
      <c r="R294" s="32"/>
      <c r="S294" s="32"/>
      <c r="T294" s="32"/>
      <c r="U294" s="32"/>
      <c r="V294" s="32"/>
      <c r="W294" s="32"/>
      <c r="X294" s="32"/>
      <c r="Y294" s="32"/>
      <c r="Z294" s="32"/>
      <c r="AA294" s="32"/>
      <c r="AB294" s="32"/>
      <c r="AC294" s="32"/>
      <c r="AD294" s="221"/>
    </row>
    <row r="295" spans="18:30" x14ac:dyDescent="0.25">
      <c r="R295" s="32"/>
      <c r="S295" s="32"/>
      <c r="T295" s="32"/>
      <c r="U295" s="32"/>
      <c r="V295" s="32"/>
      <c r="W295" s="32"/>
      <c r="X295" s="32"/>
      <c r="Y295" s="32"/>
      <c r="Z295" s="32"/>
      <c r="AA295" s="32"/>
      <c r="AB295" s="32"/>
      <c r="AC295" s="32"/>
      <c r="AD295" s="221"/>
    </row>
    <row r="296" spans="18:30" x14ac:dyDescent="0.25">
      <c r="R296" s="32"/>
      <c r="S296" s="32"/>
      <c r="T296" s="32"/>
      <c r="U296" s="32"/>
      <c r="V296" s="32"/>
      <c r="W296" s="32"/>
      <c r="X296" s="32"/>
      <c r="Y296" s="32"/>
      <c r="Z296" s="32"/>
      <c r="AA296" s="32"/>
      <c r="AB296" s="32"/>
      <c r="AC296" s="32"/>
      <c r="AD296" s="221"/>
    </row>
    <row r="297" spans="18:30" x14ac:dyDescent="0.25">
      <c r="R297" s="32"/>
      <c r="S297" s="32"/>
      <c r="T297" s="32"/>
      <c r="U297" s="32"/>
      <c r="V297" s="32"/>
      <c r="W297" s="32"/>
      <c r="X297" s="32"/>
      <c r="Y297" s="32"/>
      <c r="Z297" s="32"/>
      <c r="AA297" s="32"/>
      <c r="AB297" s="32"/>
      <c r="AC297" s="32"/>
      <c r="AD297" s="221"/>
    </row>
    <row r="298" spans="18:30" x14ac:dyDescent="0.25">
      <c r="R298" s="32"/>
      <c r="S298" s="32"/>
      <c r="T298" s="32"/>
      <c r="U298" s="32"/>
      <c r="V298" s="32"/>
      <c r="W298" s="32"/>
      <c r="X298" s="32"/>
      <c r="Y298" s="32"/>
      <c r="Z298" s="32"/>
      <c r="AA298" s="32"/>
      <c r="AB298" s="32"/>
      <c r="AC298" s="32"/>
      <c r="AD298" s="221"/>
    </row>
    <row r="299" spans="18:30" x14ac:dyDescent="0.25">
      <c r="R299" s="32"/>
      <c r="S299" s="32"/>
      <c r="T299" s="32"/>
      <c r="U299" s="32"/>
      <c r="V299" s="32"/>
      <c r="W299" s="32"/>
      <c r="X299" s="32"/>
      <c r="Y299" s="32"/>
      <c r="Z299" s="32"/>
      <c r="AA299" s="32"/>
      <c r="AB299" s="32"/>
      <c r="AC299" s="32"/>
      <c r="AD299" s="221"/>
    </row>
    <row r="300" spans="18:30" x14ac:dyDescent="0.25">
      <c r="R300" s="32"/>
      <c r="S300" s="32"/>
      <c r="T300" s="32"/>
      <c r="U300" s="32"/>
      <c r="V300" s="32"/>
      <c r="W300" s="32"/>
      <c r="X300" s="32"/>
      <c r="Y300" s="32"/>
      <c r="Z300" s="32"/>
      <c r="AA300" s="32"/>
      <c r="AB300" s="32"/>
      <c r="AC300" s="32"/>
      <c r="AD300" s="221"/>
    </row>
    <row r="301" spans="18:30" x14ac:dyDescent="0.25">
      <c r="R301" s="32"/>
      <c r="S301" s="32"/>
      <c r="T301" s="32"/>
      <c r="U301" s="32"/>
      <c r="V301" s="32"/>
      <c r="W301" s="32"/>
      <c r="X301" s="32"/>
      <c r="Y301" s="32"/>
      <c r="Z301" s="32"/>
      <c r="AA301" s="32"/>
      <c r="AB301" s="32"/>
      <c r="AC301" s="32"/>
      <c r="AD301" s="221"/>
    </row>
    <row r="302" spans="18:30" x14ac:dyDescent="0.25">
      <c r="R302" s="32"/>
      <c r="S302" s="32"/>
      <c r="T302" s="32"/>
      <c r="U302" s="32"/>
      <c r="V302" s="32"/>
      <c r="W302" s="32"/>
      <c r="X302" s="32"/>
      <c r="Y302" s="32"/>
      <c r="Z302" s="32"/>
      <c r="AA302" s="32"/>
      <c r="AB302" s="32"/>
      <c r="AC302" s="32"/>
      <c r="AD302" s="221"/>
    </row>
    <row r="303" spans="18:30" x14ac:dyDescent="0.25">
      <c r="R303" s="32"/>
      <c r="S303" s="32"/>
      <c r="T303" s="32"/>
      <c r="U303" s="32"/>
      <c r="V303" s="32"/>
      <c r="W303" s="32"/>
      <c r="X303" s="32"/>
      <c r="Y303" s="32"/>
      <c r="Z303" s="32"/>
      <c r="AA303" s="32"/>
      <c r="AB303" s="32"/>
      <c r="AC303" s="32"/>
      <c r="AD303" s="221"/>
    </row>
    <row r="304" spans="18:30" x14ac:dyDescent="0.25">
      <c r="R304" s="32"/>
      <c r="S304" s="32"/>
      <c r="T304" s="32"/>
      <c r="U304" s="32"/>
      <c r="V304" s="32"/>
      <c r="W304" s="32"/>
      <c r="X304" s="32"/>
      <c r="Y304" s="32"/>
      <c r="Z304" s="32"/>
      <c r="AA304" s="32"/>
      <c r="AB304" s="32"/>
      <c r="AC304" s="32"/>
      <c r="AD304" s="221"/>
    </row>
    <row r="305" spans="18:30" x14ac:dyDescent="0.25">
      <c r="R305" s="32"/>
      <c r="S305" s="32"/>
      <c r="T305" s="32"/>
      <c r="U305" s="32"/>
      <c r="V305" s="32"/>
      <c r="W305" s="32"/>
      <c r="X305" s="32"/>
      <c r="Y305" s="32"/>
      <c r="Z305" s="32"/>
      <c r="AA305" s="32"/>
      <c r="AB305" s="32"/>
      <c r="AC305" s="32"/>
      <c r="AD305" s="221"/>
    </row>
    <row r="306" spans="18:30" x14ac:dyDescent="0.25">
      <c r="R306" s="32"/>
      <c r="S306" s="32"/>
      <c r="T306" s="32"/>
      <c r="U306" s="32"/>
      <c r="V306" s="32"/>
      <c r="W306" s="32"/>
      <c r="X306" s="32"/>
      <c r="Y306" s="32"/>
      <c r="Z306" s="32"/>
      <c r="AA306" s="32"/>
      <c r="AB306" s="32"/>
      <c r="AC306" s="32"/>
      <c r="AD306" s="221"/>
    </row>
    <row r="307" spans="18:30" x14ac:dyDescent="0.25">
      <c r="R307" s="32"/>
      <c r="S307" s="32"/>
      <c r="T307" s="32"/>
      <c r="U307" s="32"/>
      <c r="V307" s="32"/>
      <c r="W307" s="32"/>
      <c r="X307" s="32"/>
      <c r="Y307" s="32"/>
      <c r="Z307" s="32"/>
      <c r="AA307" s="32"/>
      <c r="AB307" s="32"/>
      <c r="AC307" s="32"/>
      <c r="AD307" s="221"/>
    </row>
    <row r="308" spans="18:30" x14ac:dyDescent="0.25">
      <c r="R308" s="32"/>
      <c r="S308" s="32"/>
      <c r="T308" s="32"/>
      <c r="U308" s="32"/>
      <c r="V308" s="32"/>
      <c r="W308" s="32"/>
      <c r="X308" s="32"/>
      <c r="Y308" s="32"/>
      <c r="Z308" s="32"/>
      <c r="AA308" s="32"/>
      <c r="AB308" s="32"/>
      <c r="AC308" s="32"/>
      <c r="AD308" s="221"/>
    </row>
    <row r="309" spans="18:30" x14ac:dyDescent="0.25">
      <c r="R309" s="32"/>
      <c r="S309" s="32"/>
      <c r="T309" s="32"/>
      <c r="U309" s="32"/>
      <c r="V309" s="32"/>
      <c r="W309" s="32"/>
      <c r="X309" s="32"/>
      <c r="Y309" s="32"/>
      <c r="Z309" s="32"/>
      <c r="AA309" s="32"/>
      <c r="AB309" s="32"/>
      <c r="AC309" s="32"/>
      <c r="AD309" s="221"/>
    </row>
    <row r="310" spans="18:30" x14ac:dyDescent="0.25">
      <c r="R310" s="32"/>
      <c r="S310" s="32"/>
      <c r="T310" s="32"/>
      <c r="U310" s="32"/>
      <c r="V310" s="32"/>
      <c r="W310" s="32"/>
      <c r="X310" s="32"/>
      <c r="Y310" s="32"/>
      <c r="Z310" s="32"/>
      <c r="AA310" s="32"/>
      <c r="AB310" s="32"/>
      <c r="AC310" s="32"/>
      <c r="AD310" s="221"/>
    </row>
    <row r="311" spans="18:30" x14ac:dyDescent="0.25">
      <c r="R311" s="32"/>
      <c r="S311" s="32"/>
      <c r="T311" s="32"/>
      <c r="U311" s="32"/>
      <c r="V311" s="32"/>
      <c r="W311" s="32"/>
      <c r="X311" s="32"/>
      <c r="Y311" s="32"/>
      <c r="Z311" s="32"/>
      <c r="AA311" s="32"/>
      <c r="AB311" s="32"/>
      <c r="AC311" s="32"/>
      <c r="AD311" s="221"/>
    </row>
    <row r="312" spans="18:30" x14ac:dyDescent="0.25">
      <c r="R312" s="32"/>
      <c r="S312" s="32"/>
      <c r="T312" s="32"/>
      <c r="U312" s="32"/>
      <c r="V312" s="32"/>
      <c r="W312" s="32"/>
      <c r="X312" s="32"/>
      <c r="Y312" s="32"/>
      <c r="Z312" s="32"/>
      <c r="AA312" s="32"/>
      <c r="AB312" s="32"/>
      <c r="AC312" s="32"/>
      <c r="AD312" s="221"/>
    </row>
    <row r="313" spans="18:30" x14ac:dyDescent="0.25">
      <c r="R313" s="32"/>
      <c r="S313" s="32"/>
      <c r="T313" s="32"/>
      <c r="U313" s="32"/>
      <c r="V313" s="32"/>
      <c r="W313" s="32"/>
      <c r="X313" s="32"/>
      <c r="Y313" s="32"/>
      <c r="Z313" s="32"/>
      <c r="AA313" s="32"/>
      <c r="AB313" s="32"/>
      <c r="AC313" s="32"/>
      <c r="AD313" s="221"/>
    </row>
    <row r="314" spans="18:30" x14ac:dyDescent="0.25">
      <c r="R314" s="32"/>
      <c r="S314" s="32"/>
      <c r="T314" s="32"/>
      <c r="U314" s="32"/>
      <c r="V314" s="32"/>
      <c r="W314" s="32"/>
      <c r="X314" s="32"/>
      <c r="Y314" s="32"/>
      <c r="Z314" s="32"/>
      <c r="AA314" s="32"/>
      <c r="AB314" s="32"/>
      <c r="AC314" s="32"/>
      <c r="AD314" s="221"/>
    </row>
    <row r="315" spans="18:30" x14ac:dyDescent="0.25">
      <c r="R315" s="32"/>
      <c r="S315" s="32"/>
      <c r="T315" s="32"/>
      <c r="U315" s="32"/>
      <c r="V315" s="32"/>
      <c r="W315" s="32"/>
      <c r="X315" s="32"/>
      <c r="Y315" s="32"/>
      <c r="Z315" s="32"/>
      <c r="AA315" s="32"/>
      <c r="AB315" s="32"/>
      <c r="AC315" s="32"/>
      <c r="AD315" s="221"/>
    </row>
    <row r="316" spans="18:30" x14ac:dyDescent="0.25">
      <c r="R316" s="32"/>
      <c r="S316" s="32"/>
      <c r="T316" s="32"/>
      <c r="U316" s="32"/>
      <c r="V316" s="32"/>
      <c r="W316" s="32"/>
      <c r="X316" s="32"/>
      <c r="Y316" s="32"/>
      <c r="Z316" s="32"/>
      <c r="AA316" s="32"/>
      <c r="AB316" s="32"/>
      <c r="AC316" s="32"/>
      <c r="AD316" s="221"/>
    </row>
    <row r="317" spans="18:30" x14ac:dyDescent="0.25">
      <c r="R317" s="32"/>
      <c r="S317" s="32"/>
      <c r="T317" s="32"/>
      <c r="U317" s="32"/>
      <c r="V317" s="32"/>
      <c r="W317" s="32"/>
      <c r="X317" s="32"/>
      <c r="Y317" s="32"/>
      <c r="Z317" s="32"/>
      <c r="AA317" s="32"/>
      <c r="AB317" s="32"/>
      <c r="AC317" s="32"/>
      <c r="AD317" s="221"/>
    </row>
    <row r="318" spans="18:30" x14ac:dyDescent="0.25">
      <c r="R318" s="32"/>
      <c r="S318" s="32"/>
      <c r="T318" s="32"/>
      <c r="U318" s="32"/>
      <c r="V318" s="32"/>
      <c r="W318" s="32"/>
      <c r="X318" s="32"/>
      <c r="Y318" s="32"/>
      <c r="Z318" s="32"/>
      <c r="AA318" s="32"/>
      <c r="AB318" s="32"/>
      <c r="AC318" s="32"/>
      <c r="AD318" s="221"/>
    </row>
    <row r="319" spans="18:30" x14ac:dyDescent="0.25">
      <c r="R319" s="32"/>
      <c r="S319" s="32"/>
      <c r="T319" s="32"/>
      <c r="U319" s="32"/>
      <c r="V319" s="32"/>
      <c r="W319" s="32"/>
      <c r="X319" s="32"/>
      <c r="Y319" s="32"/>
      <c r="Z319" s="32"/>
      <c r="AA319" s="32"/>
      <c r="AB319" s="32"/>
      <c r="AC319" s="32"/>
      <c r="AD319" s="221"/>
    </row>
    <row r="320" spans="18:30" x14ac:dyDescent="0.25">
      <c r="R320" s="32"/>
      <c r="S320" s="32"/>
      <c r="T320" s="32"/>
      <c r="U320" s="32"/>
      <c r="V320" s="32"/>
      <c r="W320" s="32"/>
      <c r="X320" s="32"/>
      <c r="Y320" s="32"/>
      <c r="Z320" s="32"/>
      <c r="AA320" s="32"/>
      <c r="AB320" s="32"/>
      <c r="AC320" s="32"/>
      <c r="AD320" s="221"/>
    </row>
    <row r="321" spans="18:30" x14ac:dyDescent="0.25">
      <c r="R321" s="32"/>
      <c r="S321" s="32"/>
      <c r="T321" s="32"/>
      <c r="U321" s="32"/>
      <c r="V321" s="32"/>
      <c r="W321" s="32"/>
      <c r="X321" s="32"/>
      <c r="Y321" s="32"/>
      <c r="Z321" s="32"/>
      <c r="AA321" s="32"/>
      <c r="AB321" s="32"/>
      <c r="AC321" s="32"/>
      <c r="AD321" s="221"/>
    </row>
    <row r="322" spans="18:30" x14ac:dyDescent="0.25">
      <c r="R322" s="32"/>
      <c r="S322" s="32"/>
      <c r="T322" s="32"/>
      <c r="U322" s="32"/>
      <c r="V322" s="32"/>
      <c r="W322" s="32"/>
      <c r="X322" s="32"/>
      <c r="Y322" s="32"/>
      <c r="Z322" s="32"/>
      <c r="AA322" s="32"/>
      <c r="AB322" s="32"/>
      <c r="AC322" s="32"/>
      <c r="AD322" s="221"/>
    </row>
    <row r="323" spans="18:30" x14ac:dyDescent="0.25">
      <c r="R323" s="32"/>
      <c r="S323" s="32"/>
      <c r="T323" s="32"/>
      <c r="U323" s="32"/>
      <c r="V323" s="32"/>
      <c r="W323" s="32"/>
      <c r="X323" s="32"/>
      <c r="Y323" s="32"/>
      <c r="Z323" s="32"/>
      <c r="AA323" s="32"/>
      <c r="AB323" s="32"/>
      <c r="AC323" s="32"/>
      <c r="AD323" s="221"/>
    </row>
    <row r="324" spans="18:30" x14ac:dyDescent="0.25">
      <c r="R324" s="32"/>
      <c r="S324" s="32"/>
      <c r="T324" s="32"/>
      <c r="U324" s="32"/>
      <c r="V324" s="32"/>
      <c r="W324" s="32"/>
      <c r="X324" s="32"/>
      <c r="Y324" s="32"/>
      <c r="Z324" s="32"/>
      <c r="AA324" s="32"/>
      <c r="AB324" s="32"/>
      <c r="AC324" s="32"/>
      <c r="AD324" s="221"/>
    </row>
    <row r="325" spans="18:30" x14ac:dyDescent="0.25">
      <c r="R325" s="32"/>
      <c r="S325" s="32"/>
      <c r="T325" s="32"/>
      <c r="U325" s="32"/>
      <c r="V325" s="32"/>
      <c r="W325" s="32"/>
      <c r="X325" s="32"/>
      <c r="Y325" s="32"/>
      <c r="Z325" s="32"/>
      <c r="AA325" s="32"/>
      <c r="AB325" s="32"/>
      <c r="AC325" s="32"/>
      <c r="AD325" s="221"/>
    </row>
    <row r="326" spans="18:30" x14ac:dyDescent="0.25">
      <c r="R326" s="32"/>
      <c r="S326" s="32"/>
      <c r="T326" s="32"/>
      <c r="U326" s="32"/>
      <c r="V326" s="32"/>
      <c r="W326" s="32"/>
      <c r="X326" s="32"/>
      <c r="Y326" s="32"/>
      <c r="Z326" s="32"/>
      <c r="AA326" s="32"/>
      <c r="AB326" s="32"/>
      <c r="AC326" s="32"/>
      <c r="AD326" s="221"/>
    </row>
    <row r="327" spans="18:30" x14ac:dyDescent="0.25">
      <c r="R327" s="32"/>
      <c r="S327" s="32"/>
      <c r="T327" s="32"/>
      <c r="U327" s="32"/>
      <c r="V327" s="32"/>
      <c r="W327" s="32"/>
      <c r="X327" s="32"/>
      <c r="Y327" s="32"/>
      <c r="Z327" s="32"/>
      <c r="AA327" s="32"/>
      <c r="AB327" s="32"/>
      <c r="AC327" s="32"/>
      <c r="AD327" s="221"/>
    </row>
    <row r="328" spans="18:30" x14ac:dyDescent="0.25">
      <c r="R328" s="32"/>
      <c r="S328" s="32"/>
      <c r="T328" s="32"/>
      <c r="U328" s="32"/>
      <c r="V328" s="32"/>
      <c r="W328" s="32"/>
      <c r="X328" s="32"/>
      <c r="Y328" s="32"/>
      <c r="Z328" s="32"/>
      <c r="AA328" s="32"/>
      <c r="AB328" s="32"/>
      <c r="AC328" s="32"/>
      <c r="AD328" s="221"/>
    </row>
    <row r="329" spans="18:30" x14ac:dyDescent="0.25">
      <c r="R329" s="32"/>
      <c r="S329" s="32"/>
      <c r="T329" s="32"/>
      <c r="U329" s="32"/>
      <c r="V329" s="32"/>
      <c r="W329" s="32"/>
      <c r="X329" s="32"/>
      <c r="Y329" s="32"/>
      <c r="Z329" s="32"/>
      <c r="AA329" s="32"/>
      <c r="AB329" s="32"/>
      <c r="AC329" s="32"/>
      <c r="AD329" s="221"/>
    </row>
    <row r="330" spans="18:30" x14ac:dyDescent="0.25">
      <c r="R330" s="32"/>
      <c r="S330" s="32"/>
      <c r="T330" s="32"/>
      <c r="U330" s="32"/>
      <c r="V330" s="32"/>
      <c r="W330" s="32"/>
      <c r="X330" s="32"/>
      <c r="Y330" s="32"/>
      <c r="Z330" s="32"/>
      <c r="AA330" s="32"/>
      <c r="AB330" s="32"/>
      <c r="AC330" s="32"/>
      <c r="AD330" s="221"/>
    </row>
    <row r="331" spans="18:30" x14ac:dyDescent="0.25">
      <c r="R331" s="32"/>
      <c r="S331" s="32"/>
      <c r="T331" s="32"/>
      <c r="U331" s="32"/>
      <c r="V331" s="32"/>
      <c r="W331" s="32"/>
      <c r="X331" s="32"/>
      <c r="Y331" s="32"/>
      <c r="Z331" s="32"/>
      <c r="AA331" s="32"/>
      <c r="AB331" s="32"/>
      <c r="AC331" s="32"/>
      <c r="AD331" s="221"/>
    </row>
    <row r="332" spans="18:30" x14ac:dyDescent="0.25">
      <c r="R332" s="32"/>
      <c r="S332" s="32"/>
      <c r="T332" s="32"/>
      <c r="U332" s="32"/>
      <c r="V332" s="32"/>
      <c r="W332" s="32"/>
      <c r="X332" s="32"/>
      <c r="Y332" s="32"/>
      <c r="Z332" s="32"/>
      <c r="AA332" s="32"/>
      <c r="AB332" s="32"/>
      <c r="AC332" s="32"/>
      <c r="AD332" s="221"/>
    </row>
    <row r="333" spans="18:30" x14ac:dyDescent="0.25">
      <c r="R333" s="32"/>
      <c r="S333" s="32"/>
      <c r="T333" s="32"/>
      <c r="U333" s="32"/>
      <c r="V333" s="32"/>
      <c r="W333" s="32"/>
      <c r="X333" s="32"/>
      <c r="Y333" s="32"/>
      <c r="Z333" s="32"/>
      <c r="AA333" s="32"/>
      <c r="AB333" s="32"/>
      <c r="AC333" s="32"/>
      <c r="AD333" s="221"/>
    </row>
    <row r="334" spans="18:30" x14ac:dyDescent="0.25">
      <c r="R334" s="32"/>
      <c r="S334" s="32"/>
      <c r="T334" s="32"/>
      <c r="U334" s="32"/>
      <c r="V334" s="32"/>
      <c r="W334" s="32"/>
      <c r="X334" s="32"/>
      <c r="Y334" s="32"/>
      <c r="Z334" s="32"/>
      <c r="AA334" s="32"/>
      <c r="AB334" s="32"/>
      <c r="AC334" s="32"/>
      <c r="AD334" s="221"/>
    </row>
    <row r="335" spans="18:30" x14ac:dyDescent="0.25">
      <c r="R335" s="32"/>
      <c r="S335" s="32"/>
      <c r="T335" s="32"/>
      <c r="U335" s="32"/>
      <c r="V335" s="32"/>
      <c r="W335" s="32"/>
      <c r="X335" s="32"/>
      <c r="Y335" s="32"/>
      <c r="Z335" s="32"/>
      <c r="AA335" s="32"/>
      <c r="AB335" s="32"/>
      <c r="AC335" s="32"/>
      <c r="AD335" s="221"/>
    </row>
    <row r="336" spans="18:30" x14ac:dyDescent="0.25">
      <c r="R336" s="32"/>
      <c r="S336" s="32"/>
      <c r="T336" s="32"/>
      <c r="U336" s="32"/>
      <c r="V336" s="32"/>
      <c r="W336" s="32"/>
      <c r="X336" s="32"/>
      <c r="Y336" s="32"/>
      <c r="Z336" s="32"/>
      <c r="AA336" s="32"/>
      <c r="AB336" s="32"/>
      <c r="AC336" s="32"/>
      <c r="AD336" s="221"/>
    </row>
    <row r="337" spans="18:30" x14ac:dyDescent="0.25">
      <c r="R337" s="32"/>
      <c r="S337" s="32"/>
      <c r="T337" s="32"/>
      <c r="U337" s="32"/>
      <c r="V337" s="32"/>
      <c r="W337" s="32"/>
      <c r="X337" s="32"/>
      <c r="Y337" s="32"/>
      <c r="Z337" s="32"/>
      <c r="AA337" s="32"/>
      <c r="AB337" s="32"/>
      <c r="AC337" s="32"/>
      <c r="AD337" s="221"/>
    </row>
    <row r="338" spans="18:30" x14ac:dyDescent="0.25">
      <c r="R338" s="32"/>
      <c r="S338" s="32"/>
      <c r="T338" s="32"/>
      <c r="U338" s="32"/>
      <c r="V338" s="32"/>
      <c r="W338" s="32"/>
      <c r="X338" s="32"/>
      <c r="Y338" s="32"/>
      <c r="Z338" s="32"/>
      <c r="AA338" s="32"/>
      <c r="AB338" s="32"/>
      <c r="AC338" s="32"/>
      <c r="AD338" s="221"/>
    </row>
    <row r="339" spans="18:30" x14ac:dyDescent="0.25">
      <c r="R339" s="32"/>
      <c r="S339" s="32"/>
      <c r="T339" s="32"/>
      <c r="U339" s="32"/>
      <c r="V339" s="32"/>
      <c r="W339" s="32"/>
      <c r="X339" s="32"/>
      <c r="Y339" s="32"/>
      <c r="Z339" s="32"/>
      <c r="AA339" s="32"/>
      <c r="AB339" s="32"/>
      <c r="AC339" s="32"/>
      <c r="AD339" s="221"/>
    </row>
    <row r="340" spans="18:30" x14ac:dyDescent="0.25">
      <c r="R340" s="32"/>
      <c r="S340" s="32"/>
      <c r="T340" s="32"/>
      <c r="U340" s="32"/>
      <c r="V340" s="32"/>
      <c r="W340" s="32"/>
      <c r="X340" s="32"/>
      <c r="Y340" s="32"/>
      <c r="Z340" s="32"/>
      <c r="AA340" s="32"/>
      <c r="AB340" s="32"/>
      <c r="AC340" s="32"/>
      <c r="AD340" s="221"/>
    </row>
    <row r="341" spans="18:30" x14ac:dyDescent="0.25">
      <c r="R341" s="32"/>
      <c r="S341" s="32"/>
      <c r="T341" s="32"/>
      <c r="U341" s="32"/>
      <c r="V341" s="32"/>
      <c r="W341" s="32"/>
      <c r="X341" s="32"/>
      <c r="Y341" s="32"/>
      <c r="Z341" s="32"/>
      <c r="AA341" s="32"/>
      <c r="AB341" s="32"/>
      <c r="AC341" s="32"/>
      <c r="AD341" s="221"/>
    </row>
    <row r="342" spans="18:30" x14ac:dyDescent="0.25">
      <c r="R342" s="32"/>
      <c r="S342" s="32"/>
      <c r="T342" s="32"/>
      <c r="U342" s="32"/>
      <c r="V342" s="32"/>
      <c r="W342" s="32"/>
      <c r="X342" s="32"/>
      <c r="Y342" s="32"/>
      <c r="Z342" s="32"/>
      <c r="AA342" s="32"/>
      <c r="AB342" s="32"/>
      <c r="AC342" s="32"/>
      <c r="AD342" s="221"/>
    </row>
    <row r="343" spans="18:30" x14ac:dyDescent="0.25">
      <c r="R343" s="32"/>
      <c r="S343" s="32"/>
      <c r="T343" s="32"/>
      <c r="U343" s="32"/>
      <c r="V343" s="32"/>
      <c r="W343" s="32"/>
      <c r="X343" s="32"/>
      <c r="Y343" s="32"/>
      <c r="Z343" s="32"/>
      <c r="AA343" s="32"/>
      <c r="AB343" s="32"/>
      <c r="AC343" s="32"/>
      <c r="AD343" s="221"/>
    </row>
    <row r="344" spans="18:30" x14ac:dyDescent="0.25">
      <c r="R344" s="32"/>
      <c r="S344" s="32"/>
      <c r="T344" s="32"/>
      <c r="U344" s="32"/>
      <c r="V344" s="32"/>
      <c r="W344" s="32"/>
      <c r="X344" s="32"/>
      <c r="Y344" s="32"/>
      <c r="Z344" s="32"/>
      <c r="AA344" s="32"/>
      <c r="AB344" s="32"/>
      <c r="AC344" s="32"/>
      <c r="AD344" s="221"/>
    </row>
    <row r="345" spans="18:30" x14ac:dyDescent="0.25">
      <c r="R345" s="32"/>
      <c r="S345" s="32"/>
      <c r="T345" s="32"/>
      <c r="U345" s="32"/>
      <c r="V345" s="32"/>
      <c r="W345" s="32"/>
      <c r="X345" s="32"/>
      <c r="Y345" s="32"/>
      <c r="Z345" s="32"/>
      <c r="AA345" s="32"/>
      <c r="AB345" s="32"/>
      <c r="AC345" s="32"/>
      <c r="AD345" s="221"/>
    </row>
    <row r="346" spans="18:30" x14ac:dyDescent="0.25">
      <c r="R346" s="32"/>
      <c r="S346" s="32"/>
      <c r="T346" s="32"/>
      <c r="U346" s="32"/>
      <c r="V346" s="32"/>
      <c r="W346" s="32"/>
      <c r="X346" s="32"/>
      <c r="Y346" s="32"/>
      <c r="Z346" s="32"/>
      <c r="AA346" s="32"/>
      <c r="AB346" s="32"/>
      <c r="AC346" s="32"/>
      <c r="AD346" s="221"/>
    </row>
    <row r="347" spans="18:30" x14ac:dyDescent="0.25">
      <c r="R347" s="32"/>
      <c r="S347" s="32"/>
      <c r="T347" s="32"/>
      <c r="U347" s="32"/>
      <c r="V347" s="32"/>
      <c r="W347" s="32"/>
      <c r="X347" s="32"/>
      <c r="Y347" s="32"/>
      <c r="Z347" s="32"/>
      <c r="AA347" s="32"/>
      <c r="AB347" s="32"/>
      <c r="AC347" s="32"/>
      <c r="AD347" s="221"/>
    </row>
    <row r="348" spans="18:30" x14ac:dyDescent="0.25">
      <c r="R348" s="32"/>
      <c r="S348" s="32"/>
      <c r="T348" s="32"/>
      <c r="U348" s="32"/>
      <c r="V348" s="32"/>
      <c r="W348" s="32"/>
      <c r="X348" s="32"/>
      <c r="Y348" s="32"/>
      <c r="Z348" s="32"/>
      <c r="AA348" s="32"/>
      <c r="AB348" s="32"/>
      <c r="AC348" s="32"/>
      <c r="AD348" s="221"/>
    </row>
    <row r="349" spans="18:30" x14ac:dyDescent="0.25">
      <c r="R349" s="32"/>
      <c r="S349" s="32"/>
      <c r="T349" s="32"/>
      <c r="U349" s="32"/>
      <c r="V349" s="32"/>
      <c r="W349" s="32"/>
      <c r="X349" s="32"/>
      <c r="Y349" s="32"/>
      <c r="Z349" s="32"/>
      <c r="AA349" s="32"/>
      <c r="AB349" s="32"/>
      <c r="AC349" s="32"/>
      <c r="AD349" s="221"/>
    </row>
    <row r="350" spans="18:30" x14ac:dyDescent="0.25">
      <c r="R350" s="32"/>
      <c r="S350" s="32"/>
      <c r="T350" s="32"/>
      <c r="U350" s="32"/>
      <c r="V350" s="32"/>
      <c r="W350" s="32"/>
      <c r="X350" s="32"/>
      <c r="Y350" s="32"/>
      <c r="Z350" s="32"/>
      <c r="AA350" s="32"/>
      <c r="AB350" s="32"/>
      <c r="AC350" s="32"/>
      <c r="AD350" s="221"/>
    </row>
    <row r="351" spans="18:30" x14ac:dyDescent="0.25">
      <c r="R351" s="32"/>
      <c r="S351" s="32"/>
      <c r="T351" s="32"/>
      <c r="U351" s="32"/>
      <c r="V351" s="32"/>
      <c r="W351" s="32"/>
      <c r="X351" s="32"/>
      <c r="Y351" s="32"/>
      <c r="Z351" s="32"/>
      <c r="AA351" s="32"/>
      <c r="AB351" s="32"/>
      <c r="AC351" s="32"/>
      <c r="AD351" s="221"/>
    </row>
    <row r="352" spans="18:30" x14ac:dyDescent="0.25">
      <c r="R352" s="32"/>
      <c r="S352" s="32"/>
      <c r="T352" s="32"/>
      <c r="U352" s="32"/>
      <c r="V352" s="32"/>
      <c r="W352" s="32"/>
      <c r="X352" s="32"/>
      <c r="Y352" s="32"/>
      <c r="Z352" s="32"/>
      <c r="AA352" s="32"/>
      <c r="AB352" s="32"/>
      <c r="AC352" s="32"/>
      <c r="AD352" s="221"/>
    </row>
    <row r="353" spans="18:30" x14ac:dyDescent="0.25">
      <c r="R353" s="32"/>
      <c r="S353" s="32"/>
      <c r="T353" s="32"/>
      <c r="U353" s="32"/>
      <c r="V353" s="32"/>
      <c r="W353" s="32"/>
      <c r="X353" s="32"/>
      <c r="Y353" s="32"/>
      <c r="Z353" s="32"/>
      <c r="AA353" s="32"/>
      <c r="AB353" s="32"/>
      <c r="AC353" s="32"/>
      <c r="AD353" s="221"/>
    </row>
    <row r="354" spans="18:30" x14ac:dyDescent="0.25">
      <c r="R354" s="32"/>
      <c r="S354" s="32"/>
      <c r="T354" s="32"/>
      <c r="U354" s="32"/>
      <c r="V354" s="32"/>
      <c r="W354" s="32"/>
      <c r="X354" s="32"/>
      <c r="Y354" s="32"/>
      <c r="Z354" s="32"/>
      <c r="AA354" s="32"/>
      <c r="AB354" s="32"/>
      <c r="AC354" s="32"/>
      <c r="AD354" s="221"/>
    </row>
    <row r="355" spans="18:30" x14ac:dyDescent="0.25">
      <c r="R355" s="32"/>
      <c r="S355" s="32"/>
      <c r="T355" s="32"/>
      <c r="U355" s="32"/>
      <c r="V355" s="32"/>
      <c r="W355" s="32"/>
      <c r="X355" s="32"/>
      <c r="Y355" s="32"/>
      <c r="Z355" s="32"/>
      <c r="AA355" s="32"/>
      <c r="AB355" s="32"/>
      <c r="AC355" s="32"/>
      <c r="AD355" s="221"/>
    </row>
    <row r="356" spans="18:30" x14ac:dyDescent="0.25">
      <c r="R356" s="32"/>
      <c r="S356" s="32"/>
      <c r="T356" s="32"/>
      <c r="U356" s="32"/>
      <c r="V356" s="32"/>
      <c r="W356" s="32"/>
      <c r="X356" s="32"/>
      <c r="Y356" s="32"/>
      <c r="Z356" s="32"/>
      <c r="AA356" s="32"/>
      <c r="AB356" s="32"/>
      <c r="AC356" s="32"/>
      <c r="AD356" s="221"/>
    </row>
    <row r="357" spans="18:30" x14ac:dyDescent="0.25">
      <c r="R357" s="32"/>
      <c r="S357" s="32"/>
      <c r="T357" s="32"/>
      <c r="U357" s="32"/>
      <c r="V357" s="32"/>
      <c r="W357" s="32"/>
      <c r="X357" s="32"/>
      <c r="Y357" s="32"/>
      <c r="Z357" s="32"/>
      <c r="AA357" s="32"/>
      <c r="AB357" s="32"/>
      <c r="AC357" s="32"/>
      <c r="AD357" s="221"/>
    </row>
    <row r="358" spans="18:30" x14ac:dyDescent="0.25">
      <c r="R358" s="32"/>
      <c r="S358" s="32"/>
      <c r="T358" s="32"/>
      <c r="U358" s="32"/>
      <c r="V358" s="32"/>
      <c r="W358" s="32"/>
      <c r="X358" s="32"/>
      <c r="Y358" s="32"/>
      <c r="Z358" s="32"/>
      <c r="AA358" s="32"/>
      <c r="AB358" s="32"/>
      <c r="AC358" s="32"/>
      <c r="AD358" s="221"/>
    </row>
    <row r="359" spans="18:30" x14ac:dyDescent="0.25">
      <c r="R359" s="32"/>
      <c r="S359" s="32"/>
      <c r="T359" s="32"/>
      <c r="U359" s="32"/>
      <c r="V359" s="32"/>
      <c r="W359" s="32"/>
      <c r="X359" s="32"/>
      <c r="Y359" s="32"/>
      <c r="Z359" s="32"/>
      <c r="AA359" s="32"/>
      <c r="AB359" s="32"/>
      <c r="AC359" s="32"/>
      <c r="AD359" s="221"/>
    </row>
    <row r="360" spans="18:30" x14ac:dyDescent="0.25">
      <c r="R360" s="32"/>
      <c r="S360" s="32"/>
      <c r="T360" s="32"/>
      <c r="U360" s="32"/>
      <c r="V360" s="32"/>
      <c r="W360" s="32"/>
      <c r="X360" s="32"/>
      <c r="Y360" s="32"/>
      <c r="Z360" s="32"/>
      <c r="AA360" s="32"/>
      <c r="AB360" s="32"/>
      <c r="AC360" s="32"/>
      <c r="AD360" s="221"/>
    </row>
    <row r="361" spans="18:30" x14ac:dyDescent="0.25">
      <c r="R361" s="32"/>
      <c r="S361" s="32"/>
      <c r="T361" s="32"/>
      <c r="U361" s="32"/>
      <c r="V361" s="32"/>
      <c r="W361" s="32"/>
      <c r="X361" s="32"/>
      <c r="Y361" s="32"/>
      <c r="Z361" s="32"/>
      <c r="AA361" s="32"/>
      <c r="AB361" s="32"/>
      <c r="AC361" s="32"/>
      <c r="AD361" s="221"/>
    </row>
    <row r="362" spans="18:30" x14ac:dyDescent="0.25">
      <c r="R362" s="32"/>
      <c r="S362" s="32"/>
      <c r="T362" s="32"/>
      <c r="U362" s="32"/>
      <c r="V362" s="32"/>
      <c r="W362" s="32"/>
      <c r="X362" s="32"/>
      <c r="Y362" s="32"/>
      <c r="Z362" s="32"/>
      <c r="AA362" s="32"/>
      <c r="AB362" s="32"/>
      <c r="AC362" s="32"/>
      <c r="AD362" s="221"/>
    </row>
    <row r="363" spans="18:30" x14ac:dyDescent="0.25">
      <c r="R363" s="32"/>
      <c r="S363" s="32"/>
      <c r="T363" s="32"/>
      <c r="U363" s="32"/>
      <c r="V363" s="32"/>
      <c r="W363" s="32"/>
      <c r="X363" s="32"/>
      <c r="Y363" s="32"/>
      <c r="Z363" s="32"/>
      <c r="AA363" s="32"/>
      <c r="AB363" s="32"/>
      <c r="AC363" s="32"/>
      <c r="AD363" s="221"/>
    </row>
    <row r="364" spans="18:30" x14ac:dyDescent="0.25">
      <c r="R364" s="32"/>
      <c r="S364" s="32"/>
      <c r="T364" s="32"/>
      <c r="U364" s="32"/>
      <c r="V364" s="32"/>
      <c r="W364" s="32"/>
      <c r="X364" s="32"/>
      <c r="Y364" s="32"/>
      <c r="Z364" s="32"/>
      <c r="AA364" s="32"/>
      <c r="AB364" s="32"/>
      <c r="AC364" s="32"/>
      <c r="AD364" s="221"/>
    </row>
    <row r="365" spans="18:30" x14ac:dyDescent="0.25">
      <c r="R365" s="32"/>
      <c r="S365" s="32"/>
      <c r="T365" s="32"/>
      <c r="U365" s="32"/>
      <c r="V365" s="32"/>
      <c r="W365" s="32"/>
      <c r="X365" s="32"/>
      <c r="Y365" s="32"/>
      <c r="Z365" s="32"/>
      <c r="AA365" s="32"/>
      <c r="AB365" s="32"/>
      <c r="AC365" s="32"/>
      <c r="AD365" s="221"/>
    </row>
    <row r="366" spans="18:30" x14ac:dyDescent="0.25">
      <c r="R366" s="32"/>
      <c r="S366" s="32"/>
      <c r="T366" s="32"/>
      <c r="U366" s="32"/>
      <c r="V366" s="32"/>
      <c r="W366" s="32"/>
      <c r="X366" s="32"/>
      <c r="Y366" s="32"/>
      <c r="Z366" s="32"/>
      <c r="AA366" s="32"/>
      <c r="AB366" s="32"/>
      <c r="AC366" s="32"/>
      <c r="AD366" s="221"/>
    </row>
    <row r="367" spans="18:30" x14ac:dyDescent="0.25">
      <c r="R367" s="32"/>
      <c r="S367" s="32"/>
      <c r="T367" s="32"/>
      <c r="U367" s="32"/>
      <c r="V367" s="32"/>
      <c r="W367" s="32"/>
      <c r="X367" s="32"/>
      <c r="Y367" s="32"/>
      <c r="Z367" s="32"/>
      <c r="AA367" s="32"/>
      <c r="AB367" s="32"/>
      <c r="AC367" s="32"/>
      <c r="AD367" s="221"/>
    </row>
    <row r="368" spans="18:30" x14ac:dyDescent="0.25">
      <c r="R368" s="32"/>
      <c r="S368" s="32"/>
      <c r="T368" s="32"/>
      <c r="U368" s="32"/>
      <c r="V368" s="32"/>
      <c r="W368" s="32"/>
      <c r="X368" s="32"/>
      <c r="Y368" s="32"/>
      <c r="Z368" s="32"/>
      <c r="AA368" s="32"/>
      <c r="AB368" s="32"/>
      <c r="AC368" s="32"/>
      <c r="AD368" s="221"/>
    </row>
    <row r="369" spans="18:30" x14ac:dyDescent="0.25">
      <c r="R369" s="32"/>
      <c r="S369" s="32"/>
      <c r="T369" s="32"/>
      <c r="U369" s="32"/>
      <c r="V369" s="32"/>
      <c r="W369" s="32"/>
      <c r="X369" s="32"/>
      <c r="Y369" s="32"/>
      <c r="Z369" s="32"/>
      <c r="AA369" s="32"/>
      <c r="AB369" s="32"/>
      <c r="AC369" s="32"/>
      <c r="AD369" s="221"/>
    </row>
    <row r="370" spans="18:30" x14ac:dyDescent="0.25">
      <c r="R370" s="32"/>
      <c r="S370" s="32"/>
      <c r="T370" s="32"/>
      <c r="U370" s="32"/>
      <c r="V370" s="32"/>
      <c r="W370" s="32"/>
      <c r="X370" s="32"/>
      <c r="Y370" s="32"/>
      <c r="Z370" s="32"/>
      <c r="AA370" s="32"/>
      <c r="AB370" s="32"/>
      <c r="AC370" s="32"/>
      <c r="AD370" s="221"/>
    </row>
    <row r="371" spans="18:30" x14ac:dyDescent="0.25">
      <c r="R371" s="32"/>
      <c r="S371" s="32"/>
      <c r="T371" s="32"/>
      <c r="U371" s="32"/>
      <c r="V371" s="32"/>
      <c r="W371" s="32"/>
      <c r="X371" s="32"/>
      <c r="Y371" s="32"/>
      <c r="Z371" s="32"/>
      <c r="AA371" s="32"/>
      <c r="AB371" s="32"/>
      <c r="AC371" s="32"/>
      <c r="AD371" s="221"/>
    </row>
    <row r="372" spans="18:30" x14ac:dyDescent="0.25">
      <c r="R372" s="32"/>
      <c r="S372" s="32"/>
      <c r="T372" s="32"/>
      <c r="U372" s="32"/>
      <c r="V372" s="32"/>
      <c r="W372" s="32"/>
      <c r="X372" s="32"/>
      <c r="Y372" s="32"/>
      <c r="Z372" s="32"/>
      <c r="AA372" s="32"/>
      <c r="AB372" s="32"/>
      <c r="AC372" s="32"/>
      <c r="AD372" s="221"/>
    </row>
    <row r="373" spans="18:30" x14ac:dyDescent="0.25">
      <c r="R373" s="32"/>
      <c r="S373" s="32"/>
      <c r="T373" s="32"/>
      <c r="U373" s="32"/>
      <c r="V373" s="32"/>
      <c r="W373" s="32"/>
      <c r="X373" s="32"/>
      <c r="Y373" s="32"/>
      <c r="Z373" s="32"/>
      <c r="AA373" s="32"/>
      <c r="AB373" s="32"/>
      <c r="AC373" s="32"/>
      <c r="AD373" s="221"/>
    </row>
    <row r="374" spans="18:30" x14ac:dyDescent="0.25">
      <c r="R374" s="32"/>
      <c r="S374" s="32"/>
      <c r="T374" s="32"/>
      <c r="U374" s="32"/>
      <c r="V374" s="32"/>
      <c r="W374" s="32"/>
      <c r="X374" s="32"/>
      <c r="Y374" s="32"/>
      <c r="Z374" s="32"/>
      <c r="AA374" s="32"/>
      <c r="AB374" s="32"/>
      <c r="AC374" s="32"/>
      <c r="AD374" s="221"/>
    </row>
    <row r="375" spans="18:30" x14ac:dyDescent="0.25">
      <c r="R375" s="32"/>
      <c r="S375" s="32"/>
      <c r="T375" s="32"/>
      <c r="U375" s="32"/>
      <c r="V375" s="32"/>
      <c r="W375" s="32"/>
      <c r="X375" s="32"/>
      <c r="Y375" s="32"/>
      <c r="Z375" s="32"/>
      <c r="AA375" s="32"/>
      <c r="AB375" s="32"/>
      <c r="AC375" s="32"/>
      <c r="AD375" s="221"/>
    </row>
    <row r="376" spans="18:30" x14ac:dyDescent="0.25">
      <c r="R376" s="32"/>
      <c r="S376" s="32"/>
      <c r="T376" s="32"/>
      <c r="U376" s="32"/>
      <c r="V376" s="32"/>
      <c r="W376" s="32"/>
      <c r="X376" s="32"/>
      <c r="Y376" s="32"/>
      <c r="Z376" s="32"/>
      <c r="AA376" s="32"/>
      <c r="AB376" s="32"/>
      <c r="AC376" s="32"/>
      <c r="AD376" s="221"/>
    </row>
    <row r="377" spans="18:30" x14ac:dyDescent="0.25">
      <c r="R377" s="32"/>
      <c r="S377" s="32"/>
      <c r="T377" s="32"/>
      <c r="U377" s="32"/>
      <c r="V377" s="32"/>
      <c r="W377" s="32"/>
      <c r="X377" s="32"/>
      <c r="Y377" s="32"/>
      <c r="Z377" s="32"/>
      <c r="AA377" s="32"/>
      <c r="AB377" s="32"/>
      <c r="AC377" s="32"/>
      <c r="AD377" s="221"/>
    </row>
    <row r="378" spans="18:30" x14ac:dyDescent="0.25">
      <c r="R378" s="32"/>
      <c r="S378" s="32"/>
      <c r="T378" s="32"/>
      <c r="U378" s="32"/>
      <c r="V378" s="32"/>
      <c r="W378" s="32"/>
      <c r="X378" s="32"/>
      <c r="Y378" s="32"/>
      <c r="Z378" s="32"/>
      <c r="AA378" s="32"/>
      <c r="AB378" s="32"/>
      <c r="AC378" s="32"/>
      <c r="AD378" s="221"/>
    </row>
    <row r="379" spans="18:30" x14ac:dyDescent="0.25">
      <c r="R379" s="32"/>
      <c r="S379" s="32"/>
      <c r="T379" s="32"/>
      <c r="U379" s="32"/>
      <c r="V379" s="32"/>
      <c r="W379" s="32"/>
      <c r="X379" s="32"/>
      <c r="Y379" s="32"/>
      <c r="Z379" s="32"/>
      <c r="AA379" s="32"/>
      <c r="AB379" s="32"/>
      <c r="AC379" s="32"/>
      <c r="AD379" s="221"/>
    </row>
    <row r="380" spans="18:30" x14ac:dyDescent="0.25">
      <c r="R380" s="32"/>
      <c r="S380" s="32"/>
      <c r="T380" s="32"/>
      <c r="U380" s="32"/>
      <c r="V380" s="32"/>
      <c r="W380" s="32"/>
      <c r="X380" s="32"/>
      <c r="Y380" s="32"/>
      <c r="Z380" s="32"/>
      <c r="AA380" s="32"/>
      <c r="AB380" s="32"/>
      <c r="AC380" s="32"/>
      <c r="AD380" s="221"/>
    </row>
    <row r="381" spans="18:30" x14ac:dyDescent="0.25">
      <c r="R381" s="32"/>
      <c r="S381" s="32"/>
      <c r="T381" s="32"/>
      <c r="U381" s="32"/>
      <c r="V381" s="32"/>
      <c r="W381" s="32"/>
      <c r="X381" s="32"/>
      <c r="Y381" s="32"/>
      <c r="Z381" s="32"/>
      <c r="AA381" s="32"/>
      <c r="AB381" s="32"/>
      <c r="AC381" s="32"/>
      <c r="AD381" s="221"/>
    </row>
    <row r="382" spans="18:30" x14ac:dyDescent="0.25">
      <c r="R382" s="32"/>
      <c r="S382" s="32"/>
      <c r="T382" s="32"/>
      <c r="U382" s="32"/>
      <c r="V382" s="32"/>
      <c r="W382" s="32"/>
      <c r="X382" s="32"/>
      <c r="Y382" s="32"/>
      <c r="Z382" s="32"/>
      <c r="AA382" s="32"/>
      <c r="AB382" s="32"/>
      <c r="AC382" s="32"/>
      <c r="AD382" s="221"/>
    </row>
    <row r="383" spans="18:30" x14ac:dyDescent="0.25">
      <c r="R383" s="32"/>
      <c r="S383" s="32"/>
      <c r="T383" s="32"/>
      <c r="U383" s="32"/>
      <c r="V383" s="32"/>
      <c r="W383" s="32"/>
      <c r="X383" s="32"/>
      <c r="Y383" s="32"/>
      <c r="Z383" s="32"/>
      <c r="AA383" s="32"/>
      <c r="AB383" s="32"/>
      <c r="AC383" s="32"/>
      <c r="AD383" s="221"/>
    </row>
    <row r="384" spans="18:30" x14ac:dyDescent="0.25">
      <c r="R384" s="32"/>
      <c r="S384" s="32"/>
      <c r="T384" s="32"/>
      <c r="U384" s="32"/>
      <c r="V384" s="32"/>
      <c r="W384" s="32"/>
      <c r="X384" s="32"/>
      <c r="Y384" s="32"/>
      <c r="Z384" s="32"/>
      <c r="AA384" s="32"/>
      <c r="AB384" s="32"/>
      <c r="AC384" s="32"/>
      <c r="AD384" s="221"/>
    </row>
    <row r="385" spans="18:30" x14ac:dyDescent="0.25">
      <c r="R385" s="32"/>
      <c r="S385" s="32"/>
      <c r="T385" s="32"/>
      <c r="U385" s="32"/>
      <c r="V385" s="32"/>
      <c r="W385" s="32"/>
      <c r="X385" s="32"/>
      <c r="Y385" s="32"/>
      <c r="Z385" s="32"/>
      <c r="AA385" s="32"/>
      <c r="AB385" s="32"/>
      <c r="AC385" s="32"/>
      <c r="AD385" s="221"/>
    </row>
    <row r="386" spans="18:30" x14ac:dyDescent="0.25">
      <c r="R386" s="32"/>
      <c r="S386" s="32"/>
      <c r="T386" s="32"/>
      <c r="U386" s="32"/>
      <c r="V386" s="32"/>
      <c r="W386" s="32"/>
      <c r="X386" s="32"/>
      <c r="Y386" s="32"/>
      <c r="Z386" s="32"/>
      <c r="AA386" s="32"/>
      <c r="AB386" s="32"/>
      <c r="AC386" s="32"/>
      <c r="AD386" s="221"/>
    </row>
    <row r="387" spans="18:30" x14ac:dyDescent="0.25">
      <c r="R387" s="32"/>
      <c r="S387" s="32"/>
      <c r="T387" s="32"/>
      <c r="U387" s="32"/>
      <c r="V387" s="32"/>
      <c r="W387" s="32"/>
      <c r="X387" s="32"/>
      <c r="Y387" s="32"/>
      <c r="Z387" s="32"/>
      <c r="AA387" s="32"/>
      <c r="AB387" s="32"/>
      <c r="AC387" s="32"/>
      <c r="AD387" s="221"/>
    </row>
    <row r="388" spans="18:30" x14ac:dyDescent="0.25">
      <c r="R388" s="32"/>
      <c r="S388" s="32"/>
      <c r="T388" s="32"/>
      <c r="U388" s="32"/>
      <c r="V388" s="32"/>
      <c r="W388" s="32"/>
      <c r="X388" s="32"/>
      <c r="Y388" s="32"/>
      <c r="Z388" s="32"/>
      <c r="AA388" s="32"/>
      <c r="AB388" s="32"/>
      <c r="AC388" s="32"/>
      <c r="AD388" s="221"/>
    </row>
    <row r="389" spans="18:30" x14ac:dyDescent="0.25">
      <c r="R389" s="32"/>
      <c r="S389" s="32"/>
      <c r="T389" s="32"/>
      <c r="U389" s="32"/>
      <c r="V389" s="32"/>
      <c r="W389" s="32"/>
      <c r="X389" s="32"/>
      <c r="Y389" s="32"/>
      <c r="Z389" s="32"/>
      <c r="AA389" s="32"/>
      <c r="AB389" s="32"/>
      <c r="AC389" s="32"/>
      <c r="AD389" s="221"/>
    </row>
    <row r="390" spans="18:30" x14ac:dyDescent="0.25">
      <c r="R390" s="32"/>
      <c r="S390" s="32"/>
      <c r="T390" s="32"/>
      <c r="U390" s="32"/>
      <c r="V390" s="32"/>
      <c r="W390" s="32"/>
      <c r="X390" s="32"/>
      <c r="Y390" s="32"/>
      <c r="Z390" s="32"/>
      <c r="AA390" s="32"/>
      <c r="AB390" s="32"/>
      <c r="AC390" s="32"/>
      <c r="AD390" s="221"/>
    </row>
    <row r="391" spans="18:30" x14ac:dyDescent="0.25">
      <c r="R391" s="32"/>
      <c r="S391" s="32"/>
      <c r="T391" s="32"/>
      <c r="U391" s="32"/>
      <c r="V391" s="32"/>
      <c r="W391" s="32"/>
      <c r="X391" s="32"/>
      <c r="Y391" s="32"/>
      <c r="Z391" s="32"/>
      <c r="AA391" s="32"/>
      <c r="AB391" s="32"/>
      <c r="AC391" s="32"/>
      <c r="AD391" s="221"/>
    </row>
    <row r="392" spans="18:30" x14ac:dyDescent="0.25">
      <c r="R392" s="32"/>
      <c r="S392" s="32"/>
      <c r="T392" s="32"/>
      <c r="U392" s="32"/>
      <c r="V392" s="32"/>
      <c r="W392" s="32"/>
      <c r="X392" s="32"/>
      <c r="Y392" s="32"/>
      <c r="Z392" s="32"/>
      <c r="AA392" s="32"/>
      <c r="AB392" s="32"/>
      <c r="AC392" s="32"/>
      <c r="AD392" s="221"/>
    </row>
    <row r="393" spans="18:30" x14ac:dyDescent="0.25">
      <c r="R393" s="32"/>
      <c r="S393" s="32"/>
      <c r="T393" s="32"/>
      <c r="U393" s="32"/>
      <c r="V393" s="32"/>
      <c r="W393" s="32"/>
      <c r="X393" s="32"/>
      <c r="Y393" s="32"/>
      <c r="Z393" s="32"/>
      <c r="AA393" s="32"/>
      <c r="AB393" s="32"/>
      <c r="AC393" s="32"/>
      <c r="AD393" s="221"/>
    </row>
    <row r="394" spans="18:30" x14ac:dyDescent="0.25">
      <c r="R394" s="32"/>
      <c r="S394" s="32"/>
      <c r="T394" s="32"/>
      <c r="U394" s="32"/>
      <c r="V394" s="32"/>
      <c r="W394" s="32"/>
      <c r="X394" s="32"/>
      <c r="Y394" s="32"/>
      <c r="Z394" s="32"/>
      <c r="AA394" s="32"/>
      <c r="AB394" s="32"/>
      <c r="AC394" s="32"/>
      <c r="AD394" s="221"/>
    </row>
    <row r="395" spans="18:30" x14ac:dyDescent="0.25">
      <c r="R395" s="32"/>
      <c r="S395" s="32"/>
      <c r="T395" s="32"/>
      <c r="U395" s="32"/>
      <c r="V395" s="32"/>
      <c r="W395" s="32"/>
      <c r="X395" s="32"/>
      <c r="Y395" s="32"/>
      <c r="Z395" s="32"/>
      <c r="AA395" s="32"/>
      <c r="AB395" s="32"/>
      <c r="AC395" s="32"/>
      <c r="AD395" s="221"/>
    </row>
    <row r="396" spans="18:30" x14ac:dyDescent="0.25">
      <c r="R396" s="32"/>
      <c r="S396" s="32"/>
      <c r="T396" s="32"/>
      <c r="U396" s="32"/>
      <c r="V396" s="32"/>
      <c r="W396" s="32"/>
      <c r="X396" s="32"/>
      <c r="Y396" s="32"/>
      <c r="Z396" s="32"/>
      <c r="AA396" s="32"/>
      <c r="AB396" s="32"/>
      <c r="AC396" s="32"/>
      <c r="AD396" s="221"/>
    </row>
    <row r="397" spans="18:30" x14ac:dyDescent="0.25">
      <c r="R397" s="32"/>
      <c r="S397" s="32"/>
      <c r="T397" s="32"/>
      <c r="U397" s="32"/>
      <c r="V397" s="32"/>
      <c r="W397" s="32"/>
      <c r="X397" s="32"/>
      <c r="Y397" s="32"/>
      <c r="Z397" s="32"/>
      <c r="AA397" s="32"/>
      <c r="AB397" s="32"/>
      <c r="AC397" s="32"/>
      <c r="AD397" s="221"/>
    </row>
    <row r="398" spans="18:30" x14ac:dyDescent="0.25">
      <c r="R398" s="32"/>
      <c r="S398" s="32"/>
      <c r="T398" s="32"/>
      <c r="U398" s="32"/>
      <c r="V398" s="32"/>
      <c r="W398" s="32"/>
      <c r="X398" s="32"/>
      <c r="Y398" s="32"/>
      <c r="Z398" s="32"/>
      <c r="AA398" s="32"/>
      <c r="AB398" s="32"/>
      <c r="AC398" s="32"/>
      <c r="AD398" s="221"/>
    </row>
    <row r="399" spans="18:30" x14ac:dyDescent="0.25">
      <c r="R399" s="32"/>
      <c r="S399" s="32"/>
      <c r="T399" s="32"/>
      <c r="U399" s="32"/>
      <c r="V399" s="32"/>
      <c r="W399" s="32"/>
      <c r="X399" s="32"/>
      <c r="Y399" s="32"/>
      <c r="Z399" s="32"/>
      <c r="AA399" s="32"/>
      <c r="AB399" s="32"/>
      <c r="AC399" s="32"/>
      <c r="AD399" s="221"/>
    </row>
    <row r="400" spans="18:30" x14ac:dyDescent="0.25">
      <c r="R400" s="32"/>
      <c r="S400" s="32"/>
      <c r="T400" s="32"/>
      <c r="U400" s="32"/>
      <c r="V400" s="32"/>
      <c r="W400" s="32"/>
      <c r="X400" s="32"/>
      <c r="Y400" s="32"/>
      <c r="Z400" s="32"/>
      <c r="AA400" s="32"/>
      <c r="AB400" s="32"/>
      <c r="AC400" s="32"/>
      <c r="AD400" s="221"/>
    </row>
    <row r="401" spans="18:30" x14ac:dyDescent="0.25">
      <c r="R401" s="32"/>
      <c r="S401" s="32"/>
      <c r="T401" s="32"/>
      <c r="U401" s="32"/>
      <c r="V401" s="32"/>
      <c r="W401" s="32"/>
      <c r="X401" s="32"/>
      <c r="Y401" s="32"/>
      <c r="Z401" s="32"/>
      <c r="AA401" s="32"/>
      <c r="AB401" s="32"/>
      <c r="AC401" s="32"/>
      <c r="AD401" s="221"/>
    </row>
    <row r="402" spans="18:30" x14ac:dyDescent="0.25">
      <c r="R402" s="32"/>
      <c r="S402" s="32"/>
      <c r="T402" s="32"/>
      <c r="U402" s="32"/>
      <c r="V402" s="32"/>
      <c r="W402" s="32"/>
      <c r="X402" s="32"/>
      <c r="Y402" s="32"/>
      <c r="Z402" s="32"/>
      <c r="AA402" s="32"/>
      <c r="AB402" s="32"/>
      <c r="AC402" s="32"/>
      <c r="AD402" s="221"/>
    </row>
    <row r="403" spans="18:30" x14ac:dyDescent="0.25">
      <c r="R403" s="32"/>
      <c r="S403" s="32"/>
      <c r="T403" s="32"/>
      <c r="U403" s="32"/>
      <c r="V403" s="32"/>
      <c r="W403" s="32"/>
      <c r="X403" s="32"/>
      <c r="Y403" s="32"/>
      <c r="Z403" s="32"/>
      <c r="AA403" s="32"/>
      <c r="AB403" s="32"/>
      <c r="AC403" s="32"/>
      <c r="AD403" s="221"/>
    </row>
    <row r="404" spans="18:30" x14ac:dyDescent="0.25">
      <c r="R404" s="32"/>
      <c r="S404" s="32"/>
      <c r="T404" s="32"/>
      <c r="U404" s="32"/>
      <c r="V404" s="32"/>
      <c r="W404" s="32"/>
      <c r="X404" s="32"/>
      <c r="Y404" s="32"/>
      <c r="Z404" s="32"/>
      <c r="AA404" s="32"/>
      <c r="AB404" s="32"/>
      <c r="AC404" s="32"/>
      <c r="AD404" s="221"/>
    </row>
    <row r="405" spans="18:30" x14ac:dyDescent="0.25">
      <c r="R405" s="32"/>
      <c r="S405" s="32"/>
      <c r="T405" s="32"/>
      <c r="U405" s="32"/>
      <c r="V405" s="32"/>
      <c r="W405" s="32"/>
      <c r="X405" s="32"/>
      <c r="Y405" s="32"/>
      <c r="Z405" s="32"/>
      <c r="AA405" s="32"/>
      <c r="AB405" s="32"/>
      <c r="AC405" s="32"/>
      <c r="AD405" s="221"/>
    </row>
    <row r="406" spans="18:30" x14ac:dyDescent="0.25">
      <c r="R406" s="32"/>
      <c r="S406" s="32"/>
      <c r="T406" s="32"/>
      <c r="U406" s="32"/>
      <c r="V406" s="32"/>
      <c r="W406" s="32"/>
      <c r="X406" s="32"/>
      <c r="Y406" s="32"/>
      <c r="Z406" s="32"/>
      <c r="AA406" s="32"/>
      <c r="AB406" s="32"/>
      <c r="AC406" s="32"/>
      <c r="AD406" s="221"/>
    </row>
    <row r="407" spans="18:30" x14ac:dyDescent="0.25">
      <c r="R407" s="32"/>
      <c r="S407" s="32"/>
      <c r="T407" s="32"/>
      <c r="U407" s="32"/>
      <c r="V407" s="32"/>
      <c r="W407" s="32"/>
      <c r="X407" s="32"/>
      <c r="Y407" s="32"/>
      <c r="Z407" s="32"/>
      <c r="AA407" s="32"/>
      <c r="AB407" s="32"/>
      <c r="AC407" s="32"/>
      <c r="AD407" s="221"/>
    </row>
    <row r="408" spans="18:30" x14ac:dyDescent="0.25">
      <c r="R408" s="32"/>
      <c r="S408" s="32"/>
      <c r="T408" s="32"/>
      <c r="U408" s="32"/>
      <c r="V408" s="32"/>
      <c r="W408" s="32"/>
      <c r="X408" s="32"/>
      <c r="Y408" s="32"/>
      <c r="Z408" s="32"/>
      <c r="AA408" s="32"/>
      <c r="AB408" s="32"/>
      <c r="AC408" s="32"/>
      <c r="AD408" s="221"/>
    </row>
    <row r="409" spans="18:30" x14ac:dyDescent="0.25">
      <c r="R409" s="32"/>
      <c r="S409" s="32"/>
      <c r="T409" s="32"/>
      <c r="U409" s="32"/>
      <c r="V409" s="32"/>
      <c r="W409" s="32"/>
      <c r="X409" s="32"/>
      <c r="Y409" s="32"/>
      <c r="Z409" s="32"/>
      <c r="AA409" s="32"/>
      <c r="AB409" s="32"/>
      <c r="AC409" s="32"/>
      <c r="AD409" s="221"/>
    </row>
    <row r="410" spans="18:30" x14ac:dyDescent="0.25">
      <c r="R410" s="32"/>
      <c r="S410" s="32"/>
      <c r="T410" s="32"/>
      <c r="U410" s="32"/>
      <c r="V410" s="32"/>
      <c r="W410" s="32"/>
      <c r="X410" s="32"/>
      <c r="Y410" s="32"/>
      <c r="Z410" s="32"/>
      <c r="AA410" s="32"/>
      <c r="AB410" s="32"/>
      <c r="AC410" s="32"/>
      <c r="AD410" s="221"/>
    </row>
    <row r="411" spans="18:30" x14ac:dyDescent="0.25">
      <c r="R411" s="32"/>
      <c r="S411" s="32"/>
      <c r="T411" s="32"/>
      <c r="U411" s="32"/>
      <c r="V411" s="32"/>
      <c r="W411" s="32"/>
      <c r="X411" s="32"/>
      <c r="Y411" s="32"/>
      <c r="Z411" s="32"/>
      <c r="AA411" s="32"/>
      <c r="AB411" s="32"/>
      <c r="AC411" s="32"/>
      <c r="AD411" s="221"/>
    </row>
    <row r="412" spans="18:30" x14ac:dyDescent="0.25">
      <c r="R412" s="32"/>
      <c r="S412" s="32"/>
      <c r="T412" s="32"/>
      <c r="U412" s="32"/>
      <c r="V412" s="32"/>
      <c r="W412" s="32"/>
      <c r="X412" s="32"/>
      <c r="Y412" s="32"/>
      <c r="Z412" s="32"/>
      <c r="AA412" s="32"/>
      <c r="AB412" s="32"/>
      <c r="AC412" s="32"/>
      <c r="AD412" s="221"/>
    </row>
    <row r="413" spans="18:30" x14ac:dyDescent="0.25">
      <c r="R413" s="32"/>
      <c r="S413" s="32"/>
      <c r="T413" s="32"/>
      <c r="U413" s="32"/>
      <c r="V413" s="32"/>
      <c r="W413" s="32"/>
      <c r="X413" s="32"/>
      <c r="Y413" s="32"/>
      <c r="Z413" s="32"/>
      <c r="AA413" s="32"/>
      <c r="AB413" s="32"/>
      <c r="AC413" s="32"/>
      <c r="AD413" s="221"/>
    </row>
    <row r="414" spans="18:30" x14ac:dyDescent="0.25">
      <c r="R414" s="32"/>
      <c r="S414" s="32"/>
      <c r="T414" s="32"/>
      <c r="U414" s="32"/>
      <c r="V414" s="32"/>
      <c r="W414" s="32"/>
      <c r="X414" s="32"/>
      <c r="Y414" s="32"/>
      <c r="Z414" s="32"/>
      <c r="AA414" s="32"/>
      <c r="AB414" s="32"/>
      <c r="AC414" s="32"/>
      <c r="AD414" s="221"/>
    </row>
    <row r="415" spans="18:30" x14ac:dyDescent="0.25">
      <c r="R415" s="32"/>
      <c r="S415" s="32"/>
      <c r="T415" s="32"/>
      <c r="U415" s="32"/>
      <c r="V415" s="32"/>
      <c r="W415" s="32"/>
      <c r="X415" s="32"/>
      <c r="Y415" s="32"/>
      <c r="Z415" s="32"/>
      <c r="AA415" s="32"/>
      <c r="AB415" s="32"/>
      <c r="AC415" s="32"/>
      <c r="AD415" s="221"/>
    </row>
    <row r="416" spans="18:30" x14ac:dyDescent="0.25">
      <c r="R416" s="32"/>
      <c r="S416" s="32"/>
      <c r="T416" s="32"/>
      <c r="U416" s="32"/>
      <c r="V416" s="32"/>
      <c r="W416" s="32"/>
      <c r="X416" s="32"/>
      <c r="Y416" s="32"/>
      <c r="Z416" s="32"/>
      <c r="AA416" s="32"/>
      <c r="AB416" s="32"/>
      <c r="AC416" s="32"/>
      <c r="AD416" s="221"/>
    </row>
    <row r="417" spans="18:30" x14ac:dyDescent="0.25">
      <c r="R417" s="32"/>
      <c r="S417" s="32"/>
      <c r="T417" s="32"/>
      <c r="U417" s="32"/>
      <c r="V417" s="32"/>
      <c r="W417" s="32"/>
      <c r="X417" s="32"/>
      <c r="Y417" s="32"/>
      <c r="Z417" s="32"/>
      <c r="AA417" s="32"/>
      <c r="AB417" s="32"/>
      <c r="AC417" s="32"/>
      <c r="AD417" s="221"/>
    </row>
    <row r="418" spans="18:30" x14ac:dyDescent="0.25">
      <c r="R418" s="32"/>
      <c r="S418" s="32"/>
      <c r="T418" s="32"/>
      <c r="U418" s="32"/>
      <c r="V418" s="32"/>
      <c r="W418" s="32"/>
      <c r="X418" s="32"/>
      <c r="Y418" s="32"/>
      <c r="Z418" s="32"/>
      <c r="AA418" s="32"/>
      <c r="AB418" s="32"/>
      <c r="AC418" s="32"/>
      <c r="AD418" s="221"/>
    </row>
    <row r="419" spans="18:30" x14ac:dyDescent="0.25">
      <c r="R419" s="32"/>
      <c r="S419" s="32"/>
      <c r="T419" s="32"/>
      <c r="U419" s="32"/>
      <c r="V419" s="32"/>
      <c r="W419" s="32"/>
      <c r="X419" s="32"/>
      <c r="Y419" s="32"/>
      <c r="Z419" s="32"/>
      <c r="AA419" s="32"/>
      <c r="AB419" s="32"/>
      <c r="AC419" s="32"/>
      <c r="AD419" s="221"/>
    </row>
    <row r="420" spans="18:30" x14ac:dyDescent="0.25">
      <c r="R420" s="32"/>
      <c r="S420" s="32"/>
      <c r="T420" s="32"/>
      <c r="U420" s="32"/>
      <c r="V420" s="32"/>
      <c r="W420" s="32"/>
      <c r="X420" s="32"/>
      <c r="Y420" s="32"/>
      <c r="Z420" s="32"/>
      <c r="AA420" s="32"/>
      <c r="AB420" s="32"/>
      <c r="AC420" s="32"/>
      <c r="AD420" s="221"/>
    </row>
    <row r="421" spans="18:30" x14ac:dyDescent="0.25">
      <c r="R421" s="32"/>
      <c r="S421" s="32"/>
      <c r="T421" s="32"/>
      <c r="U421" s="32"/>
      <c r="V421" s="32"/>
      <c r="W421" s="32"/>
      <c r="X421" s="32"/>
      <c r="Y421" s="32"/>
      <c r="Z421" s="32"/>
      <c r="AA421" s="32"/>
      <c r="AB421" s="32"/>
      <c r="AC421" s="32"/>
      <c r="AD421" s="221"/>
    </row>
    <row r="422" spans="18:30" x14ac:dyDescent="0.25">
      <c r="R422" s="32"/>
      <c r="S422" s="32"/>
      <c r="T422" s="32"/>
      <c r="U422" s="32"/>
      <c r="V422" s="32"/>
      <c r="W422" s="32"/>
      <c r="X422" s="32"/>
      <c r="Y422" s="32"/>
      <c r="Z422" s="32"/>
      <c r="AA422" s="32"/>
      <c r="AB422" s="32"/>
      <c r="AC422" s="32"/>
      <c r="AD422" s="221"/>
    </row>
    <row r="423" spans="18:30" x14ac:dyDescent="0.25">
      <c r="R423" s="32"/>
      <c r="S423" s="32"/>
      <c r="T423" s="32"/>
      <c r="U423" s="32"/>
      <c r="V423" s="32"/>
      <c r="W423" s="32"/>
      <c r="X423" s="32"/>
      <c r="Y423" s="32"/>
      <c r="Z423" s="32"/>
      <c r="AA423" s="32"/>
      <c r="AB423" s="32"/>
      <c r="AC423" s="32"/>
      <c r="AD423" s="221"/>
    </row>
    <row r="424" spans="18:30" x14ac:dyDescent="0.25">
      <c r="R424" s="32"/>
      <c r="S424" s="32"/>
      <c r="T424" s="32"/>
      <c r="U424" s="32"/>
      <c r="V424" s="32"/>
      <c r="W424" s="32"/>
      <c r="X424" s="32"/>
      <c r="Y424" s="32"/>
      <c r="Z424" s="32"/>
      <c r="AA424" s="32"/>
      <c r="AB424" s="32"/>
      <c r="AC424" s="32"/>
      <c r="AD424" s="221"/>
    </row>
    <row r="425" spans="18:30" x14ac:dyDescent="0.25">
      <c r="R425" s="32"/>
      <c r="S425" s="32"/>
      <c r="T425" s="32"/>
      <c r="U425" s="32"/>
      <c r="V425" s="32"/>
      <c r="W425" s="32"/>
      <c r="X425" s="32"/>
      <c r="Y425" s="32"/>
      <c r="Z425" s="32"/>
      <c r="AA425" s="32"/>
      <c r="AB425" s="32"/>
      <c r="AC425" s="32"/>
      <c r="AD425" s="221"/>
    </row>
    <row r="426" spans="18:30" x14ac:dyDescent="0.25">
      <c r="R426" s="32"/>
      <c r="S426" s="32"/>
      <c r="T426" s="32"/>
      <c r="U426" s="32"/>
      <c r="V426" s="32"/>
      <c r="W426" s="32"/>
      <c r="X426" s="32"/>
      <c r="Y426" s="32"/>
      <c r="Z426" s="32"/>
      <c r="AA426" s="32"/>
      <c r="AB426" s="32"/>
      <c r="AC426" s="32"/>
      <c r="AD426" s="221"/>
    </row>
    <row r="427" spans="18:30" x14ac:dyDescent="0.25">
      <c r="R427" s="32"/>
      <c r="S427" s="32"/>
      <c r="T427" s="32"/>
      <c r="U427" s="32"/>
      <c r="V427" s="32"/>
      <c r="W427" s="32"/>
      <c r="X427" s="32"/>
      <c r="Y427" s="32"/>
      <c r="Z427" s="32"/>
      <c r="AA427" s="32"/>
      <c r="AB427" s="32"/>
      <c r="AC427" s="32"/>
      <c r="AD427" s="221"/>
    </row>
    <row r="428" spans="18:30" x14ac:dyDescent="0.25">
      <c r="R428" s="32"/>
      <c r="S428" s="32"/>
      <c r="T428" s="32"/>
      <c r="U428" s="32"/>
      <c r="V428" s="32"/>
      <c r="W428" s="32"/>
      <c r="X428" s="32"/>
      <c r="Y428" s="32"/>
      <c r="Z428" s="32"/>
      <c r="AA428" s="32"/>
      <c r="AB428" s="32"/>
      <c r="AC428" s="32"/>
      <c r="AD428" s="221"/>
    </row>
    <row r="429" spans="18:30" x14ac:dyDescent="0.25">
      <c r="R429" s="32"/>
      <c r="S429" s="32"/>
      <c r="T429" s="32"/>
      <c r="U429" s="32"/>
      <c r="V429" s="32"/>
      <c r="W429" s="32"/>
      <c r="X429" s="32"/>
      <c r="Y429" s="32"/>
      <c r="Z429" s="32"/>
      <c r="AA429" s="32"/>
      <c r="AB429" s="32"/>
      <c r="AC429" s="32"/>
      <c r="AD429" s="221"/>
    </row>
    <row r="430" spans="18:30" x14ac:dyDescent="0.25">
      <c r="R430" s="32"/>
      <c r="S430" s="32"/>
      <c r="T430" s="32"/>
      <c r="U430" s="32"/>
      <c r="V430" s="32"/>
      <c r="W430" s="32"/>
      <c r="X430" s="32"/>
      <c r="Y430" s="32"/>
      <c r="Z430" s="32"/>
      <c r="AA430" s="32"/>
      <c r="AB430" s="32"/>
      <c r="AC430" s="32"/>
      <c r="AD430" s="221"/>
    </row>
    <row r="431" spans="18:30" x14ac:dyDescent="0.25">
      <c r="R431" s="32"/>
      <c r="S431" s="32"/>
      <c r="T431" s="32"/>
      <c r="U431" s="32"/>
      <c r="V431" s="32"/>
      <c r="W431" s="32"/>
      <c r="X431" s="32"/>
      <c r="Y431" s="32"/>
      <c r="Z431" s="32"/>
      <c r="AA431" s="32"/>
      <c r="AB431" s="32"/>
      <c r="AC431" s="32"/>
      <c r="AD431" s="221"/>
    </row>
    <row r="432" spans="18:30" x14ac:dyDescent="0.25">
      <c r="R432" s="32"/>
      <c r="S432" s="32"/>
      <c r="T432" s="32"/>
      <c r="U432" s="32"/>
      <c r="V432" s="32"/>
      <c r="W432" s="32"/>
      <c r="X432" s="32"/>
      <c r="Y432" s="32"/>
      <c r="Z432" s="32"/>
      <c r="AA432" s="32"/>
      <c r="AB432" s="32"/>
      <c r="AC432" s="32"/>
      <c r="AD432" s="221"/>
    </row>
    <row r="433" spans="18:30" x14ac:dyDescent="0.25">
      <c r="R433" s="32"/>
      <c r="S433" s="32"/>
      <c r="T433" s="32"/>
      <c r="U433" s="32"/>
      <c r="V433" s="32"/>
      <c r="W433" s="32"/>
      <c r="X433" s="32"/>
      <c r="Y433" s="32"/>
      <c r="Z433" s="32"/>
      <c r="AA433" s="32"/>
      <c r="AB433" s="32"/>
      <c r="AC433" s="32"/>
      <c r="AD433" s="221"/>
    </row>
    <row r="434" spans="18:30" x14ac:dyDescent="0.25">
      <c r="R434" s="32"/>
      <c r="S434" s="32"/>
      <c r="T434" s="32"/>
      <c r="U434" s="32"/>
      <c r="V434" s="32"/>
      <c r="W434" s="32"/>
      <c r="X434" s="32"/>
      <c r="Y434" s="32"/>
      <c r="Z434" s="32"/>
      <c r="AA434" s="32"/>
      <c r="AB434" s="32"/>
      <c r="AC434" s="32"/>
      <c r="AD434" s="221"/>
    </row>
    <row r="435" spans="18:30" x14ac:dyDescent="0.25">
      <c r="R435" s="32"/>
      <c r="S435" s="32"/>
      <c r="T435" s="32"/>
      <c r="U435" s="32"/>
      <c r="V435" s="32"/>
      <c r="W435" s="32"/>
      <c r="X435" s="32"/>
      <c r="Y435" s="32"/>
      <c r="Z435" s="32"/>
      <c r="AA435" s="32"/>
      <c r="AB435" s="32"/>
      <c r="AC435" s="32"/>
      <c r="AD435" s="221"/>
    </row>
    <row r="436" spans="18:30" x14ac:dyDescent="0.25">
      <c r="R436" s="32"/>
      <c r="S436" s="32"/>
      <c r="T436" s="32"/>
      <c r="U436" s="32"/>
      <c r="V436" s="32"/>
      <c r="W436" s="32"/>
      <c r="X436" s="32"/>
      <c r="Y436" s="32"/>
      <c r="Z436" s="32"/>
      <c r="AA436" s="32"/>
      <c r="AB436" s="32"/>
      <c r="AC436" s="32"/>
      <c r="AD436" s="221"/>
    </row>
    <row r="437" spans="18:30" x14ac:dyDescent="0.25">
      <c r="R437" s="32"/>
      <c r="S437" s="32"/>
      <c r="T437" s="32"/>
      <c r="U437" s="32"/>
      <c r="V437" s="32"/>
      <c r="W437" s="32"/>
      <c r="X437" s="32"/>
      <c r="Y437" s="32"/>
      <c r="Z437" s="32"/>
      <c r="AA437" s="32"/>
      <c r="AB437" s="32"/>
      <c r="AC437" s="32"/>
      <c r="AD437" s="221"/>
    </row>
    <row r="438" spans="18:30" x14ac:dyDescent="0.25">
      <c r="R438" s="32"/>
      <c r="S438" s="32"/>
      <c r="T438" s="32"/>
      <c r="U438" s="32"/>
      <c r="V438" s="32"/>
      <c r="W438" s="32"/>
      <c r="X438" s="32"/>
      <c r="Y438" s="32"/>
      <c r="Z438" s="32"/>
      <c r="AA438" s="32"/>
      <c r="AB438" s="32"/>
      <c r="AC438" s="32"/>
      <c r="AD438" s="221"/>
    </row>
    <row r="439" spans="18:30" x14ac:dyDescent="0.25">
      <c r="R439" s="32"/>
      <c r="S439" s="32"/>
      <c r="T439" s="32"/>
      <c r="U439" s="32"/>
      <c r="V439" s="32"/>
      <c r="W439" s="32"/>
      <c r="X439" s="32"/>
      <c r="Y439" s="32"/>
      <c r="Z439" s="32"/>
      <c r="AA439" s="32"/>
      <c r="AB439" s="32"/>
      <c r="AC439" s="32"/>
      <c r="AD439" s="221"/>
    </row>
    <row r="440" spans="18:30" x14ac:dyDescent="0.25">
      <c r="R440" s="32"/>
      <c r="S440" s="32"/>
      <c r="T440" s="32"/>
      <c r="U440" s="32"/>
      <c r="V440" s="32"/>
      <c r="W440" s="32"/>
      <c r="X440" s="32"/>
      <c r="Y440" s="32"/>
      <c r="Z440" s="32"/>
      <c r="AA440" s="32"/>
      <c r="AB440" s="32"/>
      <c r="AC440" s="32"/>
      <c r="AD440" s="221"/>
    </row>
    <row r="441" spans="18:30" x14ac:dyDescent="0.25">
      <c r="R441" s="32"/>
      <c r="S441" s="32"/>
      <c r="T441" s="32"/>
      <c r="U441" s="32"/>
      <c r="V441" s="32"/>
      <c r="W441" s="32"/>
      <c r="X441" s="32"/>
      <c r="Y441" s="32"/>
      <c r="Z441" s="32"/>
      <c r="AA441" s="32"/>
      <c r="AB441" s="32"/>
      <c r="AC441" s="32"/>
      <c r="AD441" s="221"/>
    </row>
    <row r="442" spans="18:30" x14ac:dyDescent="0.25">
      <c r="R442" s="32"/>
      <c r="S442" s="32"/>
      <c r="T442" s="32"/>
      <c r="U442" s="32"/>
      <c r="V442" s="32"/>
      <c r="W442" s="32"/>
      <c r="X442" s="32"/>
      <c r="Y442" s="32"/>
      <c r="Z442" s="32"/>
      <c r="AA442" s="32"/>
      <c r="AB442" s="32"/>
      <c r="AC442" s="32"/>
      <c r="AD442" s="221"/>
    </row>
    <row r="443" spans="18:30" x14ac:dyDescent="0.25">
      <c r="R443" s="32"/>
      <c r="S443" s="32"/>
      <c r="T443" s="32"/>
      <c r="U443" s="32"/>
      <c r="V443" s="32"/>
      <c r="W443" s="32"/>
      <c r="X443" s="32"/>
      <c r="Y443" s="32"/>
      <c r="Z443" s="32"/>
      <c r="AA443" s="32"/>
      <c r="AB443" s="32"/>
      <c r="AC443" s="32"/>
      <c r="AD443" s="221"/>
    </row>
    <row r="444" spans="18:30" x14ac:dyDescent="0.25">
      <c r="R444" s="32"/>
      <c r="S444" s="32"/>
      <c r="T444" s="32"/>
      <c r="U444" s="32"/>
      <c r="V444" s="32"/>
      <c r="W444" s="32"/>
      <c r="X444" s="32"/>
      <c r="Y444" s="32"/>
      <c r="Z444" s="32"/>
      <c r="AA444" s="32"/>
      <c r="AB444" s="32"/>
      <c r="AC444" s="32"/>
      <c r="AD444" s="221"/>
    </row>
    <row r="445" spans="18:30" x14ac:dyDescent="0.25">
      <c r="R445" s="32"/>
      <c r="S445" s="32"/>
      <c r="T445" s="32"/>
      <c r="U445" s="32"/>
      <c r="V445" s="32"/>
      <c r="W445" s="32"/>
      <c r="X445" s="32"/>
      <c r="Y445" s="32"/>
      <c r="Z445" s="32"/>
      <c r="AA445" s="32"/>
      <c r="AB445" s="32"/>
      <c r="AC445" s="32"/>
      <c r="AD445" s="221"/>
    </row>
    <row r="446" spans="18:30" x14ac:dyDescent="0.25">
      <c r="R446" s="32"/>
      <c r="S446" s="32"/>
      <c r="T446" s="32"/>
      <c r="U446" s="32"/>
      <c r="V446" s="32"/>
      <c r="W446" s="32"/>
      <c r="X446" s="32"/>
      <c r="Y446" s="32"/>
      <c r="Z446" s="32"/>
      <c r="AA446" s="32"/>
      <c r="AB446" s="32"/>
      <c r="AC446" s="32"/>
      <c r="AD446" s="221"/>
    </row>
    <row r="447" spans="18:30" x14ac:dyDescent="0.25">
      <c r="R447" s="32"/>
      <c r="S447" s="32"/>
      <c r="T447" s="32"/>
      <c r="U447" s="32"/>
      <c r="V447" s="32"/>
      <c r="W447" s="32"/>
      <c r="X447" s="32"/>
      <c r="Y447" s="32"/>
      <c r="Z447" s="32"/>
      <c r="AA447" s="32"/>
      <c r="AB447" s="32"/>
      <c r="AC447" s="32"/>
      <c r="AD447" s="221"/>
    </row>
    <row r="448" spans="18:30" x14ac:dyDescent="0.25">
      <c r="R448" s="32"/>
      <c r="S448" s="32"/>
      <c r="T448" s="32"/>
      <c r="U448" s="32"/>
      <c r="V448" s="32"/>
      <c r="W448" s="32"/>
      <c r="X448" s="32"/>
      <c r="Y448" s="32"/>
      <c r="Z448" s="32"/>
      <c r="AA448" s="32"/>
      <c r="AB448" s="32"/>
      <c r="AC448" s="32"/>
      <c r="AD448" s="221"/>
    </row>
    <row r="449" spans="18:30" x14ac:dyDescent="0.25">
      <c r="R449" s="32"/>
      <c r="S449" s="32"/>
      <c r="T449" s="32"/>
      <c r="U449" s="32"/>
      <c r="V449" s="32"/>
      <c r="W449" s="32"/>
      <c r="X449" s="32"/>
      <c r="Y449" s="32"/>
      <c r="Z449" s="32"/>
      <c r="AA449" s="32"/>
      <c r="AB449" s="32"/>
      <c r="AC449" s="32"/>
      <c r="AD449" s="221"/>
    </row>
    <row r="450" spans="18:30" x14ac:dyDescent="0.25">
      <c r="R450" s="32"/>
      <c r="S450" s="32"/>
      <c r="T450" s="32"/>
      <c r="U450" s="32"/>
      <c r="V450" s="32"/>
      <c r="W450" s="32"/>
      <c r="X450" s="32"/>
      <c r="Y450" s="32"/>
      <c r="Z450" s="32"/>
      <c r="AA450" s="32"/>
      <c r="AB450" s="32"/>
      <c r="AC450" s="32"/>
      <c r="AD450" s="221"/>
    </row>
    <row r="451" spans="18:30" x14ac:dyDescent="0.25">
      <c r="R451" s="32"/>
      <c r="S451" s="32"/>
      <c r="T451" s="32"/>
      <c r="U451" s="32"/>
      <c r="V451" s="32"/>
      <c r="W451" s="32"/>
      <c r="X451" s="32"/>
      <c r="Y451" s="32"/>
      <c r="Z451" s="32"/>
      <c r="AA451" s="32"/>
      <c r="AB451" s="32"/>
      <c r="AC451" s="32"/>
      <c r="AD451" s="221"/>
    </row>
    <row r="452" spans="18:30" x14ac:dyDescent="0.25">
      <c r="R452" s="32"/>
      <c r="S452" s="32"/>
      <c r="T452" s="32"/>
      <c r="U452" s="32"/>
      <c r="V452" s="32"/>
      <c r="W452" s="32"/>
      <c r="X452" s="32"/>
      <c r="Y452" s="32"/>
      <c r="Z452" s="32"/>
      <c r="AA452" s="32"/>
      <c r="AB452" s="32"/>
      <c r="AC452" s="32"/>
      <c r="AD452" s="221"/>
    </row>
    <row r="453" spans="18:30" x14ac:dyDescent="0.25">
      <c r="R453" s="32"/>
      <c r="S453" s="32"/>
      <c r="T453" s="32"/>
      <c r="U453" s="32"/>
      <c r="V453" s="32"/>
      <c r="W453" s="32"/>
      <c r="X453" s="32"/>
      <c r="Y453" s="32"/>
      <c r="Z453" s="32"/>
      <c r="AA453" s="32"/>
      <c r="AB453" s="32"/>
      <c r="AC453" s="32"/>
      <c r="AD453" s="221"/>
    </row>
    <row r="454" spans="18:30" x14ac:dyDescent="0.25">
      <c r="R454" s="32"/>
      <c r="S454" s="32"/>
      <c r="T454" s="32"/>
      <c r="U454" s="32"/>
      <c r="V454" s="32"/>
      <c r="W454" s="32"/>
      <c r="X454" s="32"/>
      <c r="Y454" s="32"/>
      <c r="Z454" s="32"/>
      <c r="AA454" s="32"/>
      <c r="AB454" s="32"/>
      <c r="AC454" s="32"/>
      <c r="AD454" s="221"/>
    </row>
    <row r="455" spans="18:30" x14ac:dyDescent="0.25">
      <c r="R455" s="32"/>
      <c r="S455" s="32"/>
      <c r="T455" s="32"/>
      <c r="U455" s="32"/>
      <c r="V455" s="32"/>
      <c r="W455" s="32"/>
      <c r="X455" s="32"/>
      <c r="Y455" s="32"/>
      <c r="Z455" s="32"/>
      <c r="AA455" s="32"/>
      <c r="AB455" s="32"/>
      <c r="AC455" s="32"/>
      <c r="AD455" s="221"/>
    </row>
    <row r="456" spans="18:30" x14ac:dyDescent="0.25">
      <c r="R456" s="32"/>
      <c r="S456" s="32"/>
      <c r="T456" s="32"/>
      <c r="U456" s="32"/>
      <c r="V456" s="32"/>
      <c r="W456" s="32"/>
      <c r="X456" s="32"/>
      <c r="Y456" s="32"/>
      <c r="Z456" s="32"/>
      <c r="AA456" s="32"/>
      <c r="AB456" s="32"/>
      <c r="AC456" s="32"/>
      <c r="AD456" s="221"/>
    </row>
    <row r="457" spans="18:30" x14ac:dyDescent="0.25">
      <c r="R457" s="32"/>
      <c r="S457" s="32"/>
      <c r="T457" s="32"/>
      <c r="U457" s="32"/>
      <c r="V457" s="32"/>
      <c r="W457" s="32"/>
      <c r="X457" s="32"/>
      <c r="Y457" s="32"/>
      <c r="Z457" s="32"/>
      <c r="AA457" s="32"/>
      <c r="AB457" s="32"/>
      <c r="AC457" s="32"/>
      <c r="AD457" s="221"/>
    </row>
    <row r="458" spans="18:30" x14ac:dyDescent="0.25">
      <c r="R458" s="32"/>
      <c r="S458" s="32"/>
      <c r="T458" s="32"/>
      <c r="U458" s="32"/>
      <c r="V458" s="32"/>
      <c r="W458" s="32"/>
      <c r="X458" s="32"/>
      <c r="Y458" s="32"/>
      <c r="Z458" s="32"/>
      <c r="AA458" s="32"/>
      <c r="AB458" s="32"/>
      <c r="AC458" s="32"/>
      <c r="AD458" s="221"/>
    </row>
    <row r="459" spans="18:30" x14ac:dyDescent="0.25">
      <c r="R459" s="32"/>
      <c r="S459" s="32"/>
      <c r="T459" s="32"/>
      <c r="U459" s="32"/>
      <c r="V459" s="32"/>
      <c r="W459" s="32"/>
      <c r="X459" s="32"/>
      <c r="Y459" s="32"/>
      <c r="Z459" s="32"/>
      <c r="AA459" s="32"/>
      <c r="AB459" s="32"/>
      <c r="AC459" s="32"/>
      <c r="AD459" s="221"/>
    </row>
    <row r="460" spans="18:30" x14ac:dyDescent="0.25">
      <c r="R460" s="32"/>
      <c r="S460" s="32"/>
      <c r="T460" s="32"/>
      <c r="U460" s="32"/>
      <c r="V460" s="32"/>
      <c r="W460" s="32"/>
      <c r="X460" s="32"/>
      <c r="Y460" s="32"/>
      <c r="Z460" s="32"/>
      <c r="AA460" s="32"/>
      <c r="AB460" s="32"/>
      <c r="AC460" s="32"/>
      <c r="AD460" s="221"/>
    </row>
    <row r="461" spans="18:30" x14ac:dyDescent="0.25">
      <c r="R461" s="32"/>
      <c r="S461" s="32"/>
      <c r="T461" s="32"/>
      <c r="U461" s="32"/>
      <c r="V461" s="32"/>
      <c r="W461" s="32"/>
      <c r="X461" s="32"/>
      <c r="Y461" s="32"/>
      <c r="Z461" s="32"/>
      <c r="AA461" s="32"/>
      <c r="AB461" s="32"/>
      <c r="AC461" s="32"/>
      <c r="AD461" s="221"/>
    </row>
    <row r="462" spans="18:30" x14ac:dyDescent="0.25">
      <c r="R462" s="32"/>
      <c r="S462" s="32"/>
      <c r="T462" s="32"/>
      <c r="U462" s="32"/>
      <c r="V462" s="32"/>
      <c r="W462" s="32"/>
      <c r="X462" s="32"/>
      <c r="Y462" s="32"/>
      <c r="Z462" s="32"/>
      <c r="AA462" s="32"/>
      <c r="AB462" s="32"/>
      <c r="AC462" s="32"/>
      <c r="AD462" s="221"/>
    </row>
    <row r="463" spans="18:30" x14ac:dyDescent="0.25">
      <c r="R463" s="32"/>
      <c r="S463" s="32"/>
      <c r="T463" s="32"/>
      <c r="U463" s="32"/>
      <c r="V463" s="32"/>
      <c r="W463" s="32"/>
      <c r="X463" s="32"/>
      <c r="Y463" s="32"/>
      <c r="Z463" s="32"/>
      <c r="AA463" s="32"/>
      <c r="AB463" s="32"/>
      <c r="AC463" s="32"/>
      <c r="AD463" s="221"/>
    </row>
    <row r="464" spans="18:30" x14ac:dyDescent="0.25">
      <c r="R464" s="32"/>
      <c r="S464" s="32"/>
      <c r="T464" s="32"/>
      <c r="U464" s="32"/>
      <c r="V464" s="32"/>
      <c r="W464" s="32"/>
      <c r="X464" s="32"/>
      <c r="Y464" s="32"/>
      <c r="Z464" s="32"/>
      <c r="AA464" s="32"/>
      <c r="AB464" s="32"/>
      <c r="AC464" s="32"/>
      <c r="AD464" s="221"/>
    </row>
    <row r="465" spans="18:30" x14ac:dyDescent="0.25">
      <c r="R465" s="32"/>
      <c r="S465" s="32"/>
      <c r="T465" s="32"/>
      <c r="U465" s="32"/>
      <c r="V465" s="32"/>
      <c r="W465" s="32"/>
      <c r="X465" s="32"/>
      <c r="Y465" s="32"/>
      <c r="Z465" s="32"/>
      <c r="AA465" s="32"/>
      <c r="AB465" s="32"/>
      <c r="AC465" s="32"/>
      <c r="AD465" s="221"/>
    </row>
    <row r="466" spans="18:30" x14ac:dyDescent="0.25">
      <c r="R466" s="32"/>
      <c r="S466" s="32"/>
      <c r="T466" s="32"/>
      <c r="U466" s="32"/>
      <c r="V466" s="32"/>
      <c r="W466" s="32"/>
      <c r="X466" s="32"/>
      <c r="Y466" s="32"/>
      <c r="Z466" s="32"/>
      <c r="AA466" s="32"/>
      <c r="AB466" s="32"/>
      <c r="AC466" s="32"/>
      <c r="AD466" s="221"/>
    </row>
    <row r="467" spans="18:30" x14ac:dyDescent="0.25">
      <c r="R467" s="32"/>
      <c r="S467" s="32"/>
      <c r="T467" s="32"/>
      <c r="U467" s="32"/>
      <c r="V467" s="32"/>
      <c r="W467" s="32"/>
      <c r="X467" s="32"/>
      <c r="Y467" s="32"/>
      <c r="Z467" s="32"/>
      <c r="AA467" s="32"/>
      <c r="AB467" s="32"/>
      <c r="AC467" s="32"/>
      <c r="AD467" s="221"/>
    </row>
    <row r="468" spans="18:30" x14ac:dyDescent="0.25">
      <c r="R468" s="32"/>
      <c r="S468" s="32"/>
      <c r="T468" s="32"/>
      <c r="U468" s="32"/>
      <c r="V468" s="32"/>
      <c r="W468" s="32"/>
      <c r="X468" s="32"/>
      <c r="Y468" s="32"/>
      <c r="Z468" s="32"/>
      <c r="AA468" s="32"/>
      <c r="AB468" s="32"/>
      <c r="AC468" s="32"/>
      <c r="AD468" s="221"/>
    </row>
    <row r="469" spans="18:30" x14ac:dyDescent="0.25">
      <c r="R469" s="32"/>
      <c r="S469" s="32"/>
      <c r="T469" s="32"/>
      <c r="U469" s="32"/>
      <c r="V469" s="32"/>
      <c r="W469" s="32"/>
      <c r="X469" s="32"/>
      <c r="Y469" s="32"/>
      <c r="Z469" s="32"/>
      <c r="AA469" s="32"/>
      <c r="AB469" s="32"/>
      <c r="AC469" s="32"/>
      <c r="AD469" s="221"/>
    </row>
    <row r="470" spans="18:30" x14ac:dyDescent="0.25">
      <c r="R470" s="32"/>
      <c r="S470" s="32"/>
      <c r="T470" s="32"/>
      <c r="U470" s="32"/>
      <c r="V470" s="32"/>
      <c r="W470" s="32"/>
      <c r="X470" s="32"/>
      <c r="Y470" s="32"/>
      <c r="Z470" s="32"/>
      <c r="AA470" s="32"/>
      <c r="AB470" s="32"/>
      <c r="AC470" s="32"/>
      <c r="AD470" s="221"/>
    </row>
    <row r="471" spans="18:30" x14ac:dyDescent="0.25">
      <c r="R471" s="32"/>
      <c r="S471" s="32"/>
      <c r="T471" s="32"/>
      <c r="U471" s="32"/>
      <c r="V471" s="32"/>
      <c r="W471" s="32"/>
      <c r="X471" s="32"/>
      <c r="Y471" s="32"/>
      <c r="Z471" s="32"/>
      <c r="AA471" s="32"/>
      <c r="AB471" s="32"/>
      <c r="AC471" s="32"/>
      <c r="AD471" s="221"/>
    </row>
    <row r="472" spans="18:30" x14ac:dyDescent="0.25">
      <c r="R472" s="32"/>
      <c r="S472" s="32"/>
      <c r="T472" s="32"/>
      <c r="U472" s="32"/>
      <c r="V472" s="32"/>
      <c r="W472" s="32"/>
      <c r="X472" s="32"/>
      <c r="Y472" s="32"/>
      <c r="Z472" s="32"/>
      <c r="AA472" s="32"/>
      <c r="AB472" s="32"/>
      <c r="AC472" s="32"/>
      <c r="AD472" s="221"/>
    </row>
    <row r="473" spans="18:30" x14ac:dyDescent="0.25">
      <c r="R473" s="32"/>
      <c r="S473" s="32"/>
      <c r="T473" s="32"/>
      <c r="U473" s="32"/>
      <c r="V473" s="32"/>
      <c r="W473" s="32"/>
      <c r="X473" s="32"/>
      <c r="Y473" s="32"/>
      <c r="Z473" s="32"/>
      <c r="AA473" s="32"/>
      <c r="AB473" s="32"/>
      <c r="AC473" s="32"/>
      <c r="AD473" s="221"/>
    </row>
    <row r="474" spans="18:30" x14ac:dyDescent="0.25">
      <c r="R474" s="32"/>
      <c r="S474" s="32"/>
      <c r="T474" s="32"/>
      <c r="U474" s="32"/>
      <c r="V474" s="32"/>
      <c r="W474" s="32"/>
      <c r="X474" s="32"/>
      <c r="Y474" s="32"/>
      <c r="Z474" s="32"/>
      <c r="AA474" s="32"/>
      <c r="AB474" s="32"/>
      <c r="AC474" s="32"/>
      <c r="AD474" s="221"/>
    </row>
    <row r="475" spans="18:30" x14ac:dyDescent="0.25">
      <c r="R475" s="32"/>
      <c r="S475" s="32"/>
      <c r="T475" s="32"/>
      <c r="U475" s="32"/>
      <c r="V475" s="32"/>
      <c r="W475" s="32"/>
      <c r="X475" s="32"/>
      <c r="Y475" s="32"/>
      <c r="Z475" s="32"/>
      <c r="AA475" s="32"/>
      <c r="AB475" s="32"/>
      <c r="AC475" s="32"/>
      <c r="AD475" s="221"/>
    </row>
    <row r="476" spans="18:30" x14ac:dyDescent="0.25">
      <c r="R476" s="32"/>
      <c r="S476" s="32"/>
      <c r="T476" s="32"/>
      <c r="U476" s="32"/>
      <c r="V476" s="32"/>
      <c r="W476" s="32"/>
      <c r="X476" s="32"/>
      <c r="Y476" s="32"/>
      <c r="Z476" s="32"/>
      <c r="AA476" s="32"/>
      <c r="AB476" s="32"/>
      <c r="AC476" s="32"/>
      <c r="AD476" s="221"/>
    </row>
    <row r="477" spans="18:30" x14ac:dyDescent="0.25">
      <c r="R477" s="32"/>
      <c r="S477" s="32"/>
      <c r="T477" s="32"/>
      <c r="U477" s="32"/>
      <c r="V477" s="32"/>
      <c r="W477" s="32"/>
      <c r="X477" s="32"/>
      <c r="Y477" s="32"/>
      <c r="Z477" s="32"/>
      <c r="AA477" s="32"/>
      <c r="AB477" s="32"/>
      <c r="AC477" s="32"/>
      <c r="AD477" s="221"/>
    </row>
    <row r="478" spans="18:30" x14ac:dyDescent="0.25">
      <c r="R478" s="32"/>
      <c r="S478" s="32"/>
      <c r="T478" s="32"/>
      <c r="U478" s="32"/>
      <c r="V478" s="32"/>
      <c r="W478" s="32"/>
      <c r="X478" s="32"/>
      <c r="Y478" s="32"/>
      <c r="Z478" s="32"/>
      <c r="AA478" s="32"/>
      <c r="AB478" s="32"/>
      <c r="AC478" s="32"/>
      <c r="AD478" s="221"/>
    </row>
    <row r="479" spans="18:30" x14ac:dyDescent="0.25">
      <c r="R479" s="32"/>
      <c r="S479" s="32"/>
      <c r="T479" s="32"/>
      <c r="U479" s="32"/>
      <c r="V479" s="32"/>
      <c r="W479" s="32"/>
      <c r="X479" s="32"/>
      <c r="Y479" s="32"/>
      <c r="Z479" s="32"/>
      <c r="AA479" s="32"/>
      <c r="AB479" s="32"/>
      <c r="AC479" s="32"/>
      <c r="AD479" s="221"/>
    </row>
    <row r="480" spans="18:30" x14ac:dyDescent="0.25">
      <c r="R480" s="32"/>
      <c r="S480" s="32"/>
      <c r="T480" s="32"/>
      <c r="U480" s="32"/>
      <c r="V480" s="32"/>
      <c r="W480" s="32"/>
      <c r="X480" s="32"/>
      <c r="Y480" s="32"/>
      <c r="Z480" s="32"/>
      <c r="AA480" s="32"/>
      <c r="AB480" s="32"/>
      <c r="AC480" s="32"/>
      <c r="AD480" s="221"/>
    </row>
    <row r="481" spans="18:30" x14ac:dyDescent="0.25">
      <c r="R481" s="32"/>
      <c r="S481" s="32"/>
      <c r="T481" s="32"/>
      <c r="U481" s="32"/>
      <c r="V481" s="32"/>
      <c r="W481" s="32"/>
      <c r="X481" s="32"/>
      <c r="Y481" s="32"/>
      <c r="Z481" s="32"/>
      <c r="AA481" s="32"/>
      <c r="AB481" s="32"/>
      <c r="AC481" s="32"/>
      <c r="AD481" s="221"/>
    </row>
    <row r="482" spans="18:30" x14ac:dyDescent="0.25">
      <c r="R482" s="32"/>
      <c r="S482" s="32"/>
      <c r="T482" s="32"/>
      <c r="U482" s="32"/>
      <c r="V482" s="32"/>
      <c r="W482" s="32"/>
      <c r="X482" s="32"/>
      <c r="Y482" s="32"/>
      <c r="Z482" s="32"/>
      <c r="AA482" s="32"/>
      <c r="AB482" s="32"/>
      <c r="AC482" s="32"/>
      <c r="AD482" s="221"/>
    </row>
    <row r="483" spans="18:30" x14ac:dyDescent="0.25">
      <c r="R483" s="32"/>
      <c r="S483" s="32"/>
      <c r="T483" s="32"/>
      <c r="U483" s="32"/>
      <c r="V483" s="32"/>
      <c r="W483" s="32"/>
      <c r="X483" s="32"/>
      <c r="Y483" s="32"/>
      <c r="Z483" s="32"/>
      <c r="AA483" s="32"/>
      <c r="AB483" s="32"/>
      <c r="AC483" s="32"/>
      <c r="AD483" s="221"/>
    </row>
    <row r="484" spans="18:30" x14ac:dyDescent="0.25">
      <c r="R484" s="32"/>
      <c r="S484" s="32"/>
      <c r="T484" s="32"/>
      <c r="U484" s="32"/>
      <c r="V484" s="32"/>
      <c r="W484" s="32"/>
      <c r="X484" s="32"/>
      <c r="Y484" s="32"/>
      <c r="Z484" s="32"/>
      <c r="AA484" s="32"/>
      <c r="AB484" s="32"/>
      <c r="AC484" s="32"/>
      <c r="AD484" s="221"/>
    </row>
    <row r="485" spans="18:30" x14ac:dyDescent="0.25">
      <c r="R485" s="32"/>
      <c r="S485" s="32"/>
      <c r="T485" s="32"/>
      <c r="U485" s="32"/>
      <c r="V485" s="32"/>
      <c r="W485" s="32"/>
      <c r="X485" s="32"/>
      <c r="Y485" s="32"/>
      <c r="Z485" s="32"/>
      <c r="AA485" s="32"/>
      <c r="AB485" s="32"/>
      <c r="AC485" s="32"/>
      <c r="AD485" s="221"/>
    </row>
    <row r="486" spans="18:30" x14ac:dyDescent="0.25">
      <c r="R486" s="32"/>
      <c r="S486" s="32"/>
      <c r="T486" s="32"/>
      <c r="U486" s="32"/>
      <c r="V486" s="32"/>
      <c r="W486" s="32"/>
      <c r="X486" s="32"/>
      <c r="Y486" s="32"/>
      <c r="Z486" s="32"/>
      <c r="AA486" s="32"/>
      <c r="AB486" s="32"/>
      <c r="AC486" s="32"/>
      <c r="AD486" s="221"/>
    </row>
    <row r="487" spans="18:30" x14ac:dyDescent="0.25">
      <c r="R487" s="32"/>
      <c r="S487" s="32"/>
      <c r="T487" s="32"/>
      <c r="U487" s="32"/>
      <c r="V487" s="32"/>
      <c r="W487" s="32"/>
      <c r="X487" s="32"/>
      <c r="Y487" s="32"/>
      <c r="Z487" s="32"/>
      <c r="AA487" s="32"/>
      <c r="AB487" s="32"/>
      <c r="AC487" s="32"/>
      <c r="AD487" s="221"/>
    </row>
    <row r="488" spans="18:30" x14ac:dyDescent="0.25">
      <c r="R488" s="32"/>
      <c r="S488" s="32"/>
      <c r="T488" s="32"/>
      <c r="U488" s="32"/>
      <c r="V488" s="32"/>
      <c r="W488" s="32"/>
      <c r="X488" s="32"/>
      <c r="Y488" s="32"/>
      <c r="Z488" s="32"/>
      <c r="AA488" s="32"/>
      <c r="AB488" s="32"/>
      <c r="AC488" s="32"/>
      <c r="AD488" s="221"/>
    </row>
    <row r="489" spans="18:30" x14ac:dyDescent="0.25">
      <c r="R489" s="32"/>
      <c r="S489" s="32"/>
      <c r="T489" s="32"/>
      <c r="U489" s="32"/>
      <c r="V489" s="32"/>
      <c r="W489" s="32"/>
      <c r="X489" s="32"/>
      <c r="Y489" s="32"/>
      <c r="Z489" s="32"/>
      <c r="AA489" s="32"/>
      <c r="AB489" s="32"/>
      <c r="AC489" s="32"/>
      <c r="AD489" s="221"/>
    </row>
    <row r="490" spans="18:30" x14ac:dyDescent="0.25">
      <c r="R490" s="32"/>
      <c r="S490" s="32"/>
      <c r="T490" s="32"/>
      <c r="U490" s="32"/>
      <c r="V490" s="32"/>
      <c r="W490" s="32"/>
      <c r="X490" s="32"/>
      <c r="Y490" s="32"/>
      <c r="Z490" s="32"/>
      <c r="AA490" s="32"/>
      <c r="AB490" s="32"/>
      <c r="AC490" s="32"/>
      <c r="AD490" s="221"/>
    </row>
    <row r="491" spans="18:30" x14ac:dyDescent="0.25">
      <c r="R491" s="32"/>
      <c r="S491" s="32"/>
      <c r="T491" s="32"/>
      <c r="U491" s="32"/>
      <c r="V491" s="32"/>
      <c r="W491" s="32"/>
      <c r="X491" s="32"/>
      <c r="Y491" s="32"/>
      <c r="Z491" s="32"/>
      <c r="AA491" s="32"/>
      <c r="AB491" s="32"/>
      <c r="AC491" s="32"/>
      <c r="AD491" s="221"/>
    </row>
    <row r="492" spans="18:30" x14ac:dyDescent="0.25">
      <c r="R492" s="32"/>
      <c r="S492" s="32"/>
      <c r="T492" s="32"/>
      <c r="U492" s="32"/>
      <c r="V492" s="32"/>
      <c r="W492" s="32"/>
      <c r="X492" s="32"/>
      <c r="Y492" s="32"/>
      <c r="Z492" s="32"/>
      <c r="AA492" s="32"/>
      <c r="AB492" s="32"/>
      <c r="AC492" s="32"/>
      <c r="AD492" s="221"/>
    </row>
    <row r="493" spans="18:30" x14ac:dyDescent="0.25">
      <c r="R493" s="32"/>
      <c r="S493" s="32"/>
      <c r="T493" s="32"/>
      <c r="U493" s="32"/>
      <c r="V493" s="32"/>
      <c r="W493" s="32"/>
      <c r="X493" s="32"/>
      <c r="Y493" s="32"/>
      <c r="Z493" s="32"/>
      <c r="AA493" s="32"/>
      <c r="AB493" s="32"/>
      <c r="AC493" s="32"/>
      <c r="AD493" s="221"/>
    </row>
    <row r="494" spans="18:30" x14ac:dyDescent="0.25">
      <c r="R494" s="32"/>
      <c r="S494" s="32"/>
      <c r="T494" s="32"/>
      <c r="U494" s="32"/>
      <c r="V494" s="32"/>
      <c r="W494" s="32"/>
      <c r="X494" s="32"/>
      <c r="Y494" s="32"/>
      <c r="Z494" s="32"/>
      <c r="AA494" s="32"/>
      <c r="AB494" s="32"/>
      <c r="AC494" s="32"/>
      <c r="AD494" s="221"/>
    </row>
    <row r="495" spans="18:30" x14ac:dyDescent="0.25">
      <c r="R495" s="32"/>
      <c r="S495" s="32"/>
      <c r="T495" s="32"/>
      <c r="U495" s="32"/>
      <c r="V495" s="32"/>
      <c r="W495" s="32"/>
      <c r="X495" s="32"/>
      <c r="Y495" s="32"/>
      <c r="Z495" s="32"/>
      <c r="AA495" s="32"/>
      <c r="AB495" s="32"/>
      <c r="AC495" s="32"/>
      <c r="AD495" s="221"/>
    </row>
    <row r="496" spans="18:30" x14ac:dyDescent="0.25">
      <c r="R496" s="32"/>
      <c r="S496" s="32"/>
      <c r="T496" s="32"/>
      <c r="U496" s="32"/>
      <c r="V496" s="32"/>
      <c r="W496" s="32"/>
      <c r="X496" s="32"/>
      <c r="Y496" s="32"/>
      <c r="Z496" s="32"/>
      <c r="AA496" s="32"/>
      <c r="AB496" s="32"/>
      <c r="AC496" s="32"/>
      <c r="AD496" s="221"/>
    </row>
    <row r="497" spans="18:30" x14ac:dyDescent="0.25">
      <c r="R497" s="32"/>
      <c r="S497" s="32"/>
      <c r="T497" s="32"/>
      <c r="U497" s="32"/>
      <c r="V497" s="32"/>
      <c r="W497" s="32"/>
      <c r="X497" s="32"/>
      <c r="Y497" s="32"/>
      <c r="Z497" s="32"/>
      <c r="AA497" s="32"/>
      <c r="AB497" s="32"/>
      <c r="AC497" s="32"/>
      <c r="AD497" s="221"/>
    </row>
    <row r="498" spans="18:30" x14ac:dyDescent="0.25">
      <c r="R498" s="32"/>
      <c r="S498" s="32"/>
      <c r="T498" s="32"/>
      <c r="U498" s="32"/>
      <c r="V498" s="32"/>
      <c r="W498" s="32"/>
      <c r="X498" s="32"/>
      <c r="Y498" s="32"/>
      <c r="Z498" s="32"/>
      <c r="AA498" s="32"/>
      <c r="AB498" s="32"/>
      <c r="AC498" s="32"/>
      <c r="AD498" s="221"/>
    </row>
    <row r="499" spans="18:30" x14ac:dyDescent="0.25">
      <c r="R499" s="32"/>
      <c r="S499" s="32"/>
      <c r="T499" s="32"/>
      <c r="U499" s="32"/>
      <c r="V499" s="32"/>
      <c r="W499" s="32"/>
      <c r="X499" s="32"/>
      <c r="Y499" s="32"/>
      <c r="Z499" s="32"/>
      <c r="AA499" s="32"/>
      <c r="AB499" s="32"/>
      <c r="AC499" s="32"/>
      <c r="AD499" s="221"/>
    </row>
    <row r="500" spans="18:30" x14ac:dyDescent="0.25">
      <c r="R500" s="32"/>
      <c r="S500" s="32"/>
      <c r="T500" s="32"/>
      <c r="U500" s="32"/>
      <c r="V500" s="32"/>
      <c r="W500" s="32"/>
      <c r="X500" s="32"/>
      <c r="Y500" s="32"/>
      <c r="Z500" s="32"/>
      <c r="AA500" s="32"/>
      <c r="AB500" s="32"/>
      <c r="AC500" s="32"/>
      <c r="AD500" s="221"/>
    </row>
    <row r="501" spans="18:30" x14ac:dyDescent="0.25">
      <c r="R501" s="32"/>
      <c r="S501" s="32"/>
      <c r="T501" s="32"/>
      <c r="U501" s="32"/>
      <c r="V501" s="32"/>
      <c r="W501" s="32"/>
      <c r="X501" s="32"/>
      <c r="Y501" s="32"/>
      <c r="Z501" s="32"/>
      <c r="AA501" s="32"/>
      <c r="AB501" s="32"/>
      <c r="AC501" s="32"/>
      <c r="AD501" s="221"/>
    </row>
    <row r="502" spans="18:30" x14ac:dyDescent="0.25">
      <c r="R502" s="32"/>
      <c r="S502" s="32"/>
      <c r="T502" s="32"/>
      <c r="U502" s="32"/>
      <c r="V502" s="32"/>
      <c r="W502" s="32"/>
      <c r="X502" s="32"/>
      <c r="Y502" s="32"/>
      <c r="Z502" s="32"/>
      <c r="AA502" s="32"/>
      <c r="AB502" s="32"/>
      <c r="AC502" s="32"/>
      <c r="AD502" s="221"/>
    </row>
    <row r="503" spans="18:30" x14ac:dyDescent="0.25">
      <c r="R503" s="32"/>
      <c r="S503" s="32"/>
      <c r="T503" s="32"/>
      <c r="U503" s="32"/>
      <c r="V503" s="32"/>
      <c r="W503" s="32"/>
      <c r="X503" s="32"/>
      <c r="Y503" s="32"/>
      <c r="Z503" s="32"/>
      <c r="AA503" s="32"/>
      <c r="AB503" s="32"/>
      <c r="AC503" s="32"/>
      <c r="AD503" s="221"/>
    </row>
    <row r="504" spans="18:30" x14ac:dyDescent="0.25">
      <c r="R504" s="32"/>
      <c r="S504" s="32"/>
      <c r="T504" s="32"/>
      <c r="U504" s="32"/>
      <c r="V504" s="32"/>
      <c r="W504" s="32"/>
      <c r="X504" s="32"/>
      <c r="Y504" s="32"/>
      <c r="Z504" s="32"/>
      <c r="AA504" s="32"/>
      <c r="AB504" s="32"/>
      <c r="AC504" s="32"/>
      <c r="AD504" s="221"/>
    </row>
    <row r="505" spans="18:30" x14ac:dyDescent="0.25">
      <c r="R505" s="32"/>
      <c r="S505" s="32"/>
      <c r="T505" s="32"/>
      <c r="U505" s="32"/>
      <c r="V505" s="32"/>
      <c r="W505" s="32"/>
      <c r="X505" s="32"/>
      <c r="Y505" s="32"/>
      <c r="Z505" s="32"/>
      <c r="AA505" s="32"/>
      <c r="AB505" s="32"/>
      <c r="AC505" s="32"/>
      <c r="AD505" s="221"/>
    </row>
    <row r="506" spans="18:30" x14ac:dyDescent="0.25">
      <c r="R506" s="32"/>
      <c r="S506" s="32"/>
      <c r="T506" s="32"/>
      <c r="U506" s="32"/>
      <c r="V506" s="32"/>
      <c r="W506" s="32"/>
      <c r="X506" s="32"/>
      <c r="Y506" s="32"/>
      <c r="Z506" s="32"/>
      <c r="AA506" s="32"/>
      <c r="AB506" s="32"/>
      <c r="AC506" s="32"/>
      <c r="AD506" s="221"/>
    </row>
    <row r="507" spans="18:30" x14ac:dyDescent="0.25">
      <c r="R507" s="32"/>
      <c r="S507" s="32"/>
      <c r="T507" s="32"/>
      <c r="U507" s="32"/>
      <c r="V507" s="32"/>
      <c r="W507" s="32"/>
      <c r="X507" s="32"/>
      <c r="Y507" s="32"/>
      <c r="Z507" s="32"/>
      <c r="AA507" s="32"/>
      <c r="AB507" s="32"/>
      <c r="AC507" s="32"/>
      <c r="AD507" s="221"/>
    </row>
    <row r="508" spans="18:30" x14ac:dyDescent="0.25">
      <c r="R508" s="32"/>
      <c r="S508" s="32"/>
      <c r="T508" s="32"/>
      <c r="U508" s="32"/>
      <c r="V508" s="32"/>
      <c r="W508" s="32"/>
      <c r="X508" s="32"/>
      <c r="Y508" s="32"/>
      <c r="Z508" s="32"/>
      <c r="AA508" s="32"/>
      <c r="AB508" s="32"/>
      <c r="AC508" s="32"/>
      <c r="AD508" s="221"/>
    </row>
    <row r="509" spans="18:30" x14ac:dyDescent="0.25">
      <c r="R509" s="32"/>
      <c r="S509" s="32"/>
      <c r="T509" s="32"/>
      <c r="U509" s="32"/>
      <c r="V509" s="32"/>
      <c r="W509" s="32"/>
      <c r="X509" s="32"/>
      <c r="Y509" s="32"/>
      <c r="Z509" s="32"/>
      <c r="AA509" s="32"/>
      <c r="AB509" s="32"/>
      <c r="AC509" s="32"/>
      <c r="AD509" s="221"/>
    </row>
    <row r="510" spans="18:30" x14ac:dyDescent="0.25">
      <c r="R510" s="32"/>
      <c r="S510" s="32"/>
      <c r="T510" s="32"/>
      <c r="U510" s="32"/>
      <c r="V510" s="32"/>
      <c r="W510" s="32"/>
      <c r="X510" s="32"/>
      <c r="Y510" s="32"/>
      <c r="Z510" s="32"/>
      <c r="AA510" s="32"/>
      <c r="AB510" s="32"/>
      <c r="AC510" s="32"/>
      <c r="AD510" s="221"/>
    </row>
    <row r="511" spans="18:30" x14ac:dyDescent="0.25">
      <c r="R511" s="32"/>
      <c r="S511" s="32"/>
      <c r="T511" s="32"/>
      <c r="U511" s="32"/>
      <c r="V511" s="32"/>
      <c r="W511" s="32"/>
      <c r="X511" s="32"/>
      <c r="Y511" s="32"/>
      <c r="Z511" s="32"/>
      <c r="AA511" s="32"/>
      <c r="AB511" s="32"/>
      <c r="AC511" s="32"/>
      <c r="AD511" s="221"/>
    </row>
    <row r="512" spans="18:30" x14ac:dyDescent="0.25">
      <c r="R512" s="32"/>
      <c r="S512" s="32"/>
      <c r="T512" s="32"/>
      <c r="U512" s="32"/>
      <c r="V512" s="32"/>
      <c r="W512" s="32"/>
      <c r="X512" s="32"/>
      <c r="Y512" s="32"/>
      <c r="Z512" s="32"/>
      <c r="AA512" s="32"/>
      <c r="AB512" s="32"/>
      <c r="AC512" s="32"/>
      <c r="AD512" s="221"/>
    </row>
    <row r="513" spans="18:30" x14ac:dyDescent="0.25">
      <c r="R513" s="32"/>
      <c r="S513" s="32"/>
      <c r="T513" s="32"/>
      <c r="U513" s="32"/>
      <c r="V513" s="32"/>
      <c r="W513" s="32"/>
      <c r="X513" s="32"/>
      <c r="Y513" s="32"/>
      <c r="Z513" s="32"/>
      <c r="AA513" s="32"/>
      <c r="AB513" s="32"/>
      <c r="AC513" s="32"/>
      <c r="AD513" s="221"/>
    </row>
    <row r="514" spans="18:30" x14ac:dyDescent="0.25">
      <c r="R514" s="32"/>
      <c r="S514" s="32"/>
      <c r="T514" s="32"/>
      <c r="U514" s="32"/>
      <c r="V514" s="32"/>
      <c r="W514" s="32"/>
      <c r="X514" s="32"/>
      <c r="Y514" s="32"/>
      <c r="Z514" s="32"/>
      <c r="AA514" s="32"/>
      <c r="AB514" s="32"/>
      <c r="AC514" s="32"/>
      <c r="AD514" s="221"/>
    </row>
    <row r="515" spans="18:30" x14ac:dyDescent="0.25">
      <c r="R515" s="32"/>
      <c r="S515" s="32"/>
      <c r="T515" s="32"/>
      <c r="U515" s="32"/>
      <c r="V515" s="32"/>
      <c r="W515" s="32"/>
      <c r="X515" s="32"/>
      <c r="Y515" s="32"/>
      <c r="Z515" s="32"/>
      <c r="AA515" s="32"/>
      <c r="AB515" s="32"/>
      <c r="AC515" s="32"/>
      <c r="AD515" s="221"/>
    </row>
    <row r="516" spans="18:30" x14ac:dyDescent="0.25">
      <c r="R516" s="32"/>
      <c r="S516" s="32"/>
      <c r="T516" s="32"/>
      <c r="U516" s="32"/>
      <c r="V516" s="32"/>
      <c r="W516" s="32"/>
      <c r="X516" s="32"/>
      <c r="Y516" s="32"/>
      <c r="Z516" s="32"/>
      <c r="AA516" s="32"/>
      <c r="AB516" s="32"/>
      <c r="AC516" s="32"/>
      <c r="AD516" s="221"/>
    </row>
    <row r="517" spans="18:30" x14ac:dyDescent="0.25">
      <c r="R517" s="32"/>
      <c r="S517" s="32"/>
      <c r="T517" s="32"/>
      <c r="U517" s="32"/>
      <c r="V517" s="32"/>
      <c r="W517" s="32"/>
      <c r="X517" s="32"/>
      <c r="Y517" s="32"/>
      <c r="Z517" s="32"/>
      <c r="AA517" s="32"/>
      <c r="AB517" s="32"/>
      <c r="AC517" s="32"/>
      <c r="AD517" s="221"/>
    </row>
    <row r="518" spans="18:30" x14ac:dyDescent="0.25">
      <c r="R518" s="32"/>
      <c r="S518" s="32"/>
      <c r="T518" s="32"/>
      <c r="U518" s="32"/>
      <c r="V518" s="32"/>
      <c r="W518" s="32"/>
      <c r="X518" s="32"/>
      <c r="Y518" s="32"/>
      <c r="Z518" s="32"/>
      <c r="AA518" s="32"/>
      <c r="AB518" s="32"/>
      <c r="AC518" s="32"/>
      <c r="AD518" s="221"/>
    </row>
    <row r="519" spans="18:30" x14ac:dyDescent="0.25">
      <c r="R519" s="32"/>
      <c r="S519" s="32"/>
      <c r="T519" s="32"/>
      <c r="U519" s="32"/>
      <c r="V519" s="32"/>
      <c r="W519" s="32"/>
      <c r="X519" s="32"/>
      <c r="Y519" s="32"/>
      <c r="Z519" s="32"/>
      <c r="AA519" s="32"/>
      <c r="AB519" s="32"/>
      <c r="AC519" s="32"/>
      <c r="AD519" s="221"/>
    </row>
    <row r="520" spans="18:30" x14ac:dyDescent="0.25">
      <c r="R520" s="32"/>
      <c r="S520" s="32"/>
      <c r="T520" s="32"/>
      <c r="U520" s="32"/>
      <c r="V520" s="32"/>
      <c r="W520" s="32"/>
      <c r="X520" s="32"/>
      <c r="Y520" s="32"/>
      <c r="Z520" s="32"/>
      <c r="AA520" s="32"/>
      <c r="AB520" s="32"/>
      <c r="AC520" s="32"/>
      <c r="AD520" s="221"/>
    </row>
    <row r="521" spans="18:30" x14ac:dyDescent="0.25">
      <c r="R521" s="32"/>
      <c r="S521" s="32"/>
      <c r="T521" s="32"/>
      <c r="U521" s="32"/>
      <c r="V521" s="32"/>
      <c r="W521" s="32"/>
      <c r="X521" s="32"/>
      <c r="Y521" s="32"/>
      <c r="Z521" s="32"/>
      <c r="AA521" s="32"/>
      <c r="AB521" s="32"/>
      <c r="AC521" s="32"/>
      <c r="AD521" s="221"/>
    </row>
    <row r="522" spans="18:30" x14ac:dyDescent="0.25">
      <c r="R522" s="32"/>
      <c r="S522" s="32"/>
      <c r="T522" s="32"/>
      <c r="U522" s="32"/>
      <c r="V522" s="32"/>
      <c r="W522" s="32"/>
      <c r="X522" s="32"/>
      <c r="Y522" s="32"/>
      <c r="Z522" s="32"/>
      <c r="AA522" s="32"/>
      <c r="AB522" s="32"/>
      <c r="AC522" s="32"/>
      <c r="AD522" s="221"/>
    </row>
    <row r="523" spans="18:30" x14ac:dyDescent="0.25">
      <c r="R523" s="32"/>
      <c r="S523" s="32"/>
      <c r="T523" s="32"/>
      <c r="U523" s="32"/>
      <c r="V523" s="32"/>
      <c r="W523" s="32"/>
      <c r="X523" s="32"/>
      <c r="Y523" s="32"/>
      <c r="Z523" s="32"/>
      <c r="AA523" s="32"/>
      <c r="AB523" s="32"/>
      <c r="AC523" s="32"/>
      <c r="AD523" s="221"/>
    </row>
    <row r="524" spans="18:30" x14ac:dyDescent="0.25">
      <c r="R524" s="32"/>
      <c r="S524" s="32"/>
      <c r="T524" s="32"/>
      <c r="U524" s="32"/>
      <c r="V524" s="32"/>
      <c r="W524" s="32"/>
      <c r="X524" s="32"/>
      <c r="Y524" s="32"/>
      <c r="Z524" s="32"/>
      <c r="AA524" s="32"/>
      <c r="AB524" s="32"/>
      <c r="AC524" s="32"/>
      <c r="AD524" s="221"/>
    </row>
    <row r="525" spans="18:30" x14ac:dyDescent="0.25">
      <c r="R525" s="32"/>
      <c r="S525" s="32"/>
      <c r="T525" s="32"/>
      <c r="U525" s="32"/>
      <c r="V525" s="32"/>
      <c r="W525" s="32"/>
      <c r="X525" s="32"/>
      <c r="Y525" s="32"/>
      <c r="Z525" s="32"/>
      <c r="AA525" s="32"/>
      <c r="AB525" s="32"/>
      <c r="AC525" s="32"/>
      <c r="AD525" s="221"/>
    </row>
    <row r="526" spans="18:30" x14ac:dyDescent="0.25">
      <c r="R526" s="32"/>
      <c r="S526" s="32"/>
      <c r="T526" s="32"/>
      <c r="U526" s="32"/>
      <c r="V526" s="32"/>
      <c r="W526" s="32"/>
      <c r="X526" s="32"/>
      <c r="Y526" s="32"/>
      <c r="Z526" s="32"/>
      <c r="AA526" s="32"/>
      <c r="AB526" s="32"/>
      <c r="AC526" s="32"/>
      <c r="AD526" s="221"/>
    </row>
    <row r="527" spans="18:30" x14ac:dyDescent="0.25">
      <c r="R527" s="32"/>
      <c r="S527" s="32"/>
      <c r="T527" s="32"/>
      <c r="U527" s="32"/>
      <c r="V527" s="32"/>
      <c r="W527" s="32"/>
      <c r="X527" s="32"/>
      <c r="Y527" s="32"/>
      <c r="Z527" s="32"/>
      <c r="AA527" s="32"/>
      <c r="AB527" s="32"/>
      <c r="AC527" s="32"/>
      <c r="AD527" s="221"/>
    </row>
    <row r="528" spans="18:30" x14ac:dyDescent="0.25">
      <c r="R528" s="32"/>
      <c r="S528" s="32"/>
      <c r="T528" s="32"/>
      <c r="U528" s="32"/>
      <c r="V528" s="32"/>
      <c r="W528" s="32"/>
      <c r="X528" s="32"/>
      <c r="Y528" s="32"/>
      <c r="Z528" s="32"/>
      <c r="AA528" s="32"/>
      <c r="AB528" s="32"/>
      <c r="AC528" s="32"/>
      <c r="AD528" s="221"/>
    </row>
    <row r="529" spans="18:30" x14ac:dyDescent="0.25">
      <c r="R529" s="32"/>
      <c r="S529" s="32"/>
      <c r="T529" s="32"/>
      <c r="U529" s="32"/>
      <c r="V529" s="32"/>
      <c r="W529" s="32"/>
      <c r="X529" s="32"/>
      <c r="Y529" s="32"/>
      <c r="Z529" s="32"/>
      <c r="AA529" s="32"/>
      <c r="AB529" s="32"/>
      <c r="AC529" s="32"/>
      <c r="AD529" s="221"/>
    </row>
    <row r="530" spans="18:30" x14ac:dyDescent="0.25">
      <c r="R530" s="32"/>
      <c r="S530" s="32"/>
      <c r="T530" s="32"/>
      <c r="U530" s="32"/>
      <c r="V530" s="32"/>
      <c r="W530" s="32"/>
      <c r="X530" s="32"/>
      <c r="Y530" s="32"/>
      <c r="Z530" s="32"/>
      <c r="AA530" s="32"/>
      <c r="AB530" s="32"/>
      <c r="AC530" s="32"/>
      <c r="AD530" s="221"/>
    </row>
    <row r="531" spans="18:30" x14ac:dyDescent="0.25">
      <c r="R531" s="32"/>
      <c r="S531" s="32"/>
      <c r="T531" s="32"/>
      <c r="U531" s="32"/>
      <c r="V531" s="32"/>
      <c r="W531" s="32"/>
      <c r="X531" s="32"/>
      <c r="Y531" s="32"/>
      <c r="Z531" s="32"/>
      <c r="AA531" s="32"/>
      <c r="AB531" s="32"/>
      <c r="AC531" s="32"/>
      <c r="AD531" s="221"/>
    </row>
    <row r="532" spans="18:30" x14ac:dyDescent="0.25">
      <c r="R532" s="32"/>
      <c r="S532" s="32"/>
      <c r="T532" s="32"/>
      <c r="U532" s="32"/>
      <c r="V532" s="32"/>
      <c r="W532" s="32"/>
      <c r="X532" s="32"/>
      <c r="Y532" s="32"/>
      <c r="Z532" s="32"/>
      <c r="AA532" s="32"/>
      <c r="AB532" s="32"/>
      <c r="AC532" s="32"/>
      <c r="AD532" s="221"/>
    </row>
    <row r="533" spans="18:30" x14ac:dyDescent="0.25">
      <c r="R533" s="32"/>
      <c r="S533" s="32"/>
      <c r="T533" s="32"/>
      <c r="U533" s="32"/>
      <c r="V533" s="32"/>
      <c r="W533" s="32"/>
      <c r="X533" s="32"/>
      <c r="Y533" s="32"/>
      <c r="Z533" s="32"/>
      <c r="AA533" s="32"/>
      <c r="AB533" s="32"/>
      <c r="AC533" s="32"/>
      <c r="AD533" s="221"/>
    </row>
    <row r="534" spans="18:30" x14ac:dyDescent="0.25">
      <c r="R534" s="32"/>
      <c r="S534" s="32"/>
      <c r="T534" s="32"/>
      <c r="U534" s="32"/>
      <c r="V534" s="32"/>
      <c r="W534" s="32"/>
      <c r="X534" s="32"/>
      <c r="Y534" s="32"/>
      <c r="Z534" s="32"/>
      <c r="AA534" s="32"/>
      <c r="AB534" s="32"/>
      <c r="AC534" s="32"/>
      <c r="AD534" s="221"/>
    </row>
    <row r="535" spans="18:30" x14ac:dyDescent="0.25">
      <c r="R535" s="32"/>
      <c r="S535" s="32"/>
      <c r="T535" s="32"/>
      <c r="U535" s="32"/>
      <c r="V535" s="32"/>
      <c r="W535" s="32"/>
      <c r="X535" s="32"/>
      <c r="Y535" s="32"/>
      <c r="Z535" s="32"/>
      <c r="AA535" s="32"/>
      <c r="AB535" s="32"/>
      <c r="AC535" s="32"/>
      <c r="AD535" s="221"/>
    </row>
    <row r="536" spans="18:30" x14ac:dyDescent="0.25">
      <c r="R536" s="32"/>
      <c r="S536" s="32"/>
      <c r="T536" s="32"/>
      <c r="U536" s="32"/>
      <c r="V536" s="32"/>
      <c r="W536" s="32"/>
      <c r="X536" s="32"/>
      <c r="Y536" s="32"/>
      <c r="Z536" s="32"/>
      <c r="AA536" s="32"/>
      <c r="AB536" s="32"/>
      <c r="AC536" s="32"/>
      <c r="AD536" s="221"/>
    </row>
    <row r="537" spans="18:30" x14ac:dyDescent="0.25">
      <c r="R537" s="32"/>
      <c r="S537" s="32"/>
      <c r="T537" s="32"/>
      <c r="U537" s="32"/>
      <c r="V537" s="32"/>
      <c r="W537" s="32"/>
      <c r="X537" s="32"/>
      <c r="Y537" s="32"/>
      <c r="Z537" s="32"/>
      <c r="AA537" s="32"/>
      <c r="AB537" s="32"/>
      <c r="AC537" s="32"/>
      <c r="AD537" s="221"/>
    </row>
    <row r="538" spans="18:30" x14ac:dyDescent="0.25">
      <c r="R538" s="32"/>
      <c r="S538" s="32"/>
      <c r="T538" s="32"/>
      <c r="U538" s="32"/>
      <c r="V538" s="32"/>
      <c r="W538" s="32"/>
      <c r="X538" s="32"/>
      <c r="Y538" s="32"/>
      <c r="Z538" s="32"/>
      <c r="AA538" s="32"/>
      <c r="AB538" s="32"/>
      <c r="AC538" s="32"/>
      <c r="AD538" s="221"/>
    </row>
    <row r="539" spans="18:30" x14ac:dyDescent="0.25">
      <c r="R539" s="32"/>
      <c r="S539" s="32"/>
      <c r="T539" s="32"/>
      <c r="U539" s="32"/>
      <c r="V539" s="32"/>
      <c r="W539" s="32"/>
      <c r="X539" s="32"/>
      <c r="Y539" s="32"/>
      <c r="Z539" s="32"/>
      <c r="AA539" s="32"/>
      <c r="AB539" s="32"/>
      <c r="AC539" s="32"/>
      <c r="AD539" s="221"/>
    </row>
    <row r="540" spans="18:30" x14ac:dyDescent="0.25">
      <c r="R540" s="32"/>
      <c r="S540" s="32"/>
      <c r="T540" s="32"/>
      <c r="U540" s="32"/>
      <c r="V540" s="32"/>
      <c r="W540" s="32"/>
      <c r="X540" s="32"/>
      <c r="Y540" s="32"/>
      <c r="Z540" s="32"/>
      <c r="AA540" s="32"/>
      <c r="AB540" s="32"/>
      <c r="AC540" s="32"/>
      <c r="AD540" s="221"/>
    </row>
    <row r="541" spans="18:30" x14ac:dyDescent="0.25">
      <c r="R541" s="32"/>
      <c r="S541" s="32"/>
      <c r="T541" s="32"/>
      <c r="U541" s="32"/>
      <c r="V541" s="32"/>
      <c r="W541" s="32"/>
      <c r="X541" s="32"/>
      <c r="Y541" s="32"/>
      <c r="Z541" s="32"/>
      <c r="AA541" s="32"/>
      <c r="AB541" s="32"/>
      <c r="AC541" s="32"/>
      <c r="AD541" s="221"/>
    </row>
    <row r="542" spans="18:30" x14ac:dyDescent="0.25">
      <c r="R542" s="32"/>
      <c r="S542" s="32"/>
      <c r="T542" s="32"/>
      <c r="U542" s="32"/>
      <c r="V542" s="32"/>
      <c r="W542" s="32"/>
      <c r="X542" s="32"/>
      <c r="Y542" s="32"/>
      <c r="Z542" s="32"/>
      <c r="AA542" s="32"/>
      <c r="AB542" s="32"/>
      <c r="AC542" s="32"/>
      <c r="AD542" s="221"/>
    </row>
    <row r="543" spans="18:30" x14ac:dyDescent="0.25">
      <c r="R543" s="32"/>
      <c r="S543" s="32"/>
      <c r="T543" s="32"/>
      <c r="U543" s="32"/>
      <c r="V543" s="32"/>
      <c r="W543" s="32"/>
      <c r="X543" s="32"/>
      <c r="Y543" s="32"/>
      <c r="Z543" s="32"/>
      <c r="AA543" s="32"/>
      <c r="AB543" s="32"/>
      <c r="AC543" s="32"/>
      <c r="AD543" s="221"/>
    </row>
    <row r="544" spans="18:30" x14ac:dyDescent="0.25">
      <c r="R544" s="32"/>
      <c r="S544" s="32"/>
      <c r="T544" s="32"/>
      <c r="U544" s="32"/>
      <c r="V544" s="32"/>
      <c r="W544" s="32"/>
      <c r="X544" s="32"/>
      <c r="Y544" s="32"/>
      <c r="Z544" s="32"/>
      <c r="AA544" s="32"/>
      <c r="AB544" s="32"/>
      <c r="AC544" s="32"/>
      <c r="AD544" s="221"/>
    </row>
    <row r="545" spans="18:30" x14ac:dyDescent="0.25">
      <c r="R545" s="32"/>
      <c r="S545" s="32"/>
      <c r="T545" s="32"/>
      <c r="U545" s="32"/>
      <c r="V545" s="32"/>
      <c r="W545" s="32"/>
      <c r="X545" s="32"/>
      <c r="Y545" s="32"/>
      <c r="Z545" s="32"/>
      <c r="AA545" s="32"/>
      <c r="AB545" s="32"/>
      <c r="AC545" s="32"/>
      <c r="AD545" s="221"/>
    </row>
    <row r="546" spans="18:30" x14ac:dyDescent="0.25">
      <c r="R546" s="32"/>
      <c r="S546" s="32"/>
      <c r="T546" s="32"/>
      <c r="U546" s="32"/>
      <c r="V546" s="32"/>
      <c r="W546" s="32"/>
      <c r="X546" s="32"/>
      <c r="Y546" s="32"/>
      <c r="Z546" s="32"/>
      <c r="AA546" s="32"/>
      <c r="AB546" s="32"/>
      <c r="AC546" s="32"/>
      <c r="AD546" s="221"/>
    </row>
    <row r="547" spans="18:30" x14ac:dyDescent="0.25">
      <c r="R547" s="32"/>
      <c r="S547" s="32"/>
      <c r="T547" s="32"/>
      <c r="U547" s="32"/>
      <c r="V547" s="32"/>
      <c r="W547" s="32"/>
      <c r="X547" s="32"/>
      <c r="Y547" s="32"/>
      <c r="Z547" s="32"/>
      <c r="AA547" s="32"/>
      <c r="AB547" s="32"/>
      <c r="AC547" s="32"/>
      <c r="AD547" s="221"/>
    </row>
    <row r="548" spans="18:30" x14ac:dyDescent="0.25">
      <c r="R548" s="32"/>
      <c r="S548" s="32"/>
      <c r="T548" s="32"/>
      <c r="U548" s="32"/>
      <c r="V548" s="32"/>
      <c r="W548" s="32"/>
      <c r="X548" s="32"/>
      <c r="Y548" s="32"/>
      <c r="Z548" s="32"/>
      <c r="AA548" s="32"/>
      <c r="AB548" s="32"/>
      <c r="AC548" s="32"/>
      <c r="AD548" s="221"/>
    </row>
    <row r="549" spans="18:30" x14ac:dyDescent="0.25">
      <c r="R549" s="32"/>
      <c r="S549" s="32"/>
      <c r="T549" s="32"/>
      <c r="U549" s="32"/>
      <c r="V549" s="32"/>
      <c r="W549" s="32"/>
      <c r="X549" s="32"/>
      <c r="Y549" s="32"/>
      <c r="Z549" s="32"/>
      <c r="AA549" s="32"/>
      <c r="AB549" s="32"/>
      <c r="AC549" s="32"/>
      <c r="AD549" s="221"/>
    </row>
    <row r="550" spans="18:30" x14ac:dyDescent="0.25">
      <c r="R550" s="32"/>
      <c r="S550" s="32"/>
      <c r="T550" s="32"/>
      <c r="U550" s="32"/>
      <c r="V550" s="32"/>
      <c r="W550" s="32"/>
      <c r="X550" s="32"/>
      <c r="Y550" s="32"/>
      <c r="Z550" s="32"/>
      <c r="AA550" s="32"/>
      <c r="AB550" s="32"/>
      <c r="AC550" s="32"/>
      <c r="AD550" s="221"/>
    </row>
    <row r="551" spans="18:30" x14ac:dyDescent="0.25">
      <c r="R551" s="32"/>
      <c r="S551" s="32"/>
      <c r="T551" s="32"/>
      <c r="U551" s="32"/>
      <c r="V551" s="32"/>
      <c r="W551" s="32"/>
      <c r="X551" s="32"/>
      <c r="Y551" s="32"/>
      <c r="Z551" s="32"/>
      <c r="AA551" s="32"/>
      <c r="AB551" s="32"/>
      <c r="AC551" s="32"/>
      <c r="AD551" s="221"/>
    </row>
    <row r="552" spans="18:30" x14ac:dyDescent="0.25">
      <c r="R552" s="32"/>
      <c r="S552" s="32"/>
      <c r="T552" s="32"/>
      <c r="U552" s="32"/>
      <c r="V552" s="32"/>
      <c r="W552" s="32"/>
      <c r="X552" s="32"/>
      <c r="Y552" s="32"/>
      <c r="Z552" s="32"/>
      <c r="AA552" s="32"/>
      <c r="AB552" s="32"/>
      <c r="AC552" s="32"/>
      <c r="AD552" s="221"/>
    </row>
    <row r="553" spans="18:30" x14ac:dyDescent="0.25">
      <c r="R553" s="32"/>
      <c r="S553" s="32"/>
      <c r="T553" s="32"/>
      <c r="U553" s="32"/>
      <c r="V553" s="32"/>
      <c r="W553" s="32"/>
      <c r="X553" s="32"/>
      <c r="Y553" s="32"/>
      <c r="Z553" s="32"/>
      <c r="AA553" s="32"/>
      <c r="AB553" s="32"/>
      <c r="AC553" s="32"/>
      <c r="AD553" s="221"/>
    </row>
    <row r="554" spans="18:30" x14ac:dyDescent="0.25">
      <c r="R554" s="32"/>
      <c r="S554" s="32"/>
      <c r="T554" s="32"/>
      <c r="U554" s="32"/>
      <c r="V554" s="32"/>
      <c r="W554" s="32"/>
      <c r="X554" s="32"/>
      <c r="Y554" s="32"/>
      <c r="Z554" s="32"/>
      <c r="AA554" s="32"/>
      <c r="AB554" s="32"/>
      <c r="AC554" s="32"/>
      <c r="AD554" s="221"/>
    </row>
    <row r="555" spans="18:30" x14ac:dyDescent="0.25">
      <c r="R555" s="32"/>
      <c r="S555" s="32"/>
      <c r="T555" s="32"/>
      <c r="U555" s="32"/>
      <c r="V555" s="32"/>
      <c r="W555" s="32"/>
      <c r="X555" s="32"/>
      <c r="Y555" s="32"/>
      <c r="Z555" s="32"/>
      <c r="AA555" s="32"/>
      <c r="AB555" s="32"/>
      <c r="AC555" s="32"/>
      <c r="AD555" s="221"/>
    </row>
    <row r="556" spans="18:30" x14ac:dyDescent="0.25">
      <c r="R556" s="32"/>
      <c r="S556" s="32"/>
      <c r="T556" s="32"/>
      <c r="U556" s="32"/>
      <c r="V556" s="32"/>
      <c r="W556" s="32"/>
      <c r="X556" s="32"/>
      <c r="Y556" s="32"/>
      <c r="Z556" s="32"/>
      <c r="AA556" s="32"/>
      <c r="AB556" s="32"/>
      <c r="AC556" s="32"/>
      <c r="AD556" s="221"/>
    </row>
    <row r="557" spans="18:30" x14ac:dyDescent="0.25">
      <c r="R557" s="32"/>
      <c r="S557" s="32"/>
      <c r="T557" s="32"/>
      <c r="U557" s="32"/>
      <c r="V557" s="32"/>
      <c r="W557" s="32"/>
      <c r="X557" s="32"/>
      <c r="Y557" s="32"/>
      <c r="Z557" s="32"/>
      <c r="AA557" s="32"/>
      <c r="AB557" s="32"/>
      <c r="AC557" s="32"/>
      <c r="AD557" s="221"/>
    </row>
    <row r="558" spans="18:30" x14ac:dyDescent="0.25">
      <c r="R558" s="32"/>
      <c r="S558" s="32"/>
      <c r="T558" s="32"/>
      <c r="U558" s="32"/>
      <c r="V558" s="32"/>
      <c r="W558" s="32"/>
      <c r="X558" s="32"/>
      <c r="Y558" s="32"/>
      <c r="Z558" s="32"/>
      <c r="AA558" s="32"/>
      <c r="AB558" s="32"/>
      <c r="AC558" s="32"/>
      <c r="AD558" s="221"/>
    </row>
    <row r="559" spans="18:30" x14ac:dyDescent="0.25">
      <c r="R559" s="32"/>
      <c r="S559" s="32"/>
      <c r="T559" s="32"/>
      <c r="U559" s="32"/>
      <c r="V559" s="32"/>
      <c r="W559" s="32"/>
      <c r="X559" s="32"/>
      <c r="Y559" s="32"/>
      <c r="Z559" s="32"/>
      <c r="AA559" s="32"/>
      <c r="AB559" s="32"/>
      <c r="AC559" s="32"/>
      <c r="AD559" s="221"/>
    </row>
    <row r="560" spans="18:30" x14ac:dyDescent="0.25">
      <c r="R560" s="32"/>
      <c r="S560" s="32"/>
      <c r="T560" s="32"/>
      <c r="U560" s="32"/>
      <c r="V560" s="32"/>
      <c r="W560" s="32"/>
      <c r="X560" s="32"/>
      <c r="Y560" s="32"/>
      <c r="Z560" s="32"/>
      <c r="AA560" s="32"/>
      <c r="AB560" s="32"/>
      <c r="AC560" s="32"/>
      <c r="AD560" s="221"/>
    </row>
    <row r="561" spans="18:30" x14ac:dyDescent="0.25">
      <c r="R561" s="32"/>
      <c r="S561" s="32"/>
      <c r="T561" s="32"/>
      <c r="U561" s="32"/>
      <c r="V561" s="32"/>
      <c r="W561" s="32"/>
      <c r="X561" s="32"/>
      <c r="Y561" s="32"/>
      <c r="Z561" s="32"/>
      <c r="AA561" s="32"/>
      <c r="AB561" s="32"/>
      <c r="AC561" s="32"/>
      <c r="AD561" s="221"/>
    </row>
    <row r="562" spans="18:30" x14ac:dyDescent="0.25">
      <c r="R562" s="32"/>
      <c r="S562" s="32"/>
      <c r="T562" s="32"/>
      <c r="U562" s="32"/>
      <c r="V562" s="32"/>
      <c r="W562" s="32"/>
      <c r="X562" s="32"/>
      <c r="Y562" s="32"/>
      <c r="Z562" s="32"/>
      <c r="AA562" s="32"/>
      <c r="AB562" s="32"/>
      <c r="AC562" s="32"/>
      <c r="AD562" s="221"/>
    </row>
    <row r="563" spans="18:30" x14ac:dyDescent="0.25">
      <c r="R563" s="32"/>
      <c r="S563" s="32"/>
      <c r="T563" s="32"/>
      <c r="U563" s="32"/>
      <c r="V563" s="32"/>
      <c r="W563" s="32"/>
      <c r="X563" s="32"/>
      <c r="Y563" s="32"/>
      <c r="Z563" s="32"/>
      <c r="AA563" s="32"/>
      <c r="AB563" s="32"/>
      <c r="AC563" s="32"/>
      <c r="AD563" s="221"/>
    </row>
    <row r="564" spans="18:30" x14ac:dyDescent="0.25">
      <c r="R564" s="32"/>
      <c r="S564" s="32"/>
      <c r="T564" s="32"/>
      <c r="U564" s="32"/>
      <c r="V564" s="32"/>
      <c r="W564" s="32"/>
      <c r="X564" s="32"/>
      <c r="Y564" s="32"/>
      <c r="Z564" s="32"/>
      <c r="AA564" s="32"/>
      <c r="AB564" s="32"/>
      <c r="AC564" s="32"/>
      <c r="AD564" s="221"/>
    </row>
    <row r="565" spans="18:30" x14ac:dyDescent="0.25">
      <c r="R565" s="32"/>
      <c r="S565" s="32"/>
      <c r="T565" s="32"/>
      <c r="U565" s="32"/>
      <c r="V565" s="32"/>
      <c r="W565" s="32"/>
      <c r="X565" s="32"/>
      <c r="Y565" s="32"/>
      <c r="Z565" s="32"/>
      <c r="AA565" s="32"/>
      <c r="AB565" s="32"/>
      <c r="AC565" s="32"/>
      <c r="AD565" s="221"/>
    </row>
    <row r="566" spans="18:30" x14ac:dyDescent="0.25">
      <c r="R566" s="32"/>
      <c r="S566" s="32"/>
      <c r="T566" s="32"/>
      <c r="U566" s="32"/>
      <c r="V566" s="32"/>
      <c r="W566" s="32"/>
      <c r="X566" s="32"/>
      <c r="Y566" s="32"/>
      <c r="Z566" s="32"/>
      <c r="AA566" s="32"/>
      <c r="AB566" s="32"/>
      <c r="AC566" s="32"/>
      <c r="AD566" s="221"/>
    </row>
    <row r="567" spans="18:30" x14ac:dyDescent="0.25">
      <c r="R567" s="32"/>
      <c r="S567" s="32"/>
      <c r="T567" s="32"/>
      <c r="U567" s="32"/>
      <c r="V567" s="32"/>
      <c r="W567" s="32"/>
      <c r="X567" s="32"/>
      <c r="Y567" s="32"/>
      <c r="Z567" s="32"/>
      <c r="AA567" s="32"/>
      <c r="AB567" s="32"/>
      <c r="AC567" s="32"/>
      <c r="AD567" s="221"/>
    </row>
    <row r="568" spans="18:30" x14ac:dyDescent="0.25">
      <c r="R568" s="32"/>
      <c r="S568" s="32"/>
      <c r="T568" s="32"/>
      <c r="U568" s="32"/>
      <c r="V568" s="32"/>
      <c r="W568" s="32"/>
      <c r="X568" s="32"/>
      <c r="Y568" s="32"/>
      <c r="Z568" s="32"/>
      <c r="AA568" s="32"/>
      <c r="AB568" s="32"/>
      <c r="AC568" s="32"/>
      <c r="AD568" s="221"/>
    </row>
    <row r="569" spans="18:30" x14ac:dyDescent="0.25">
      <c r="R569" s="32"/>
      <c r="S569" s="32"/>
      <c r="T569" s="32"/>
      <c r="U569" s="32"/>
      <c r="V569" s="32"/>
      <c r="W569" s="32"/>
      <c r="X569" s="32"/>
      <c r="Y569" s="32"/>
      <c r="Z569" s="32"/>
      <c r="AA569" s="32"/>
      <c r="AB569" s="32"/>
      <c r="AC569" s="32"/>
      <c r="AD569" s="221"/>
    </row>
    <row r="570" spans="18:30" x14ac:dyDescent="0.25">
      <c r="R570" s="32"/>
      <c r="S570" s="32"/>
      <c r="T570" s="32"/>
      <c r="U570" s="32"/>
      <c r="V570" s="32"/>
      <c r="W570" s="32"/>
      <c r="X570" s="32"/>
      <c r="Y570" s="32"/>
      <c r="Z570" s="32"/>
      <c r="AA570" s="32"/>
      <c r="AB570" s="32"/>
      <c r="AC570" s="32"/>
      <c r="AD570" s="221"/>
    </row>
    <row r="571" spans="18:30" x14ac:dyDescent="0.25">
      <c r="R571" s="32"/>
      <c r="S571" s="32"/>
      <c r="T571" s="32"/>
      <c r="U571" s="32"/>
      <c r="V571" s="32"/>
      <c r="W571" s="32"/>
      <c r="X571" s="32"/>
      <c r="Y571" s="32"/>
      <c r="Z571" s="32"/>
      <c r="AA571" s="32"/>
      <c r="AB571" s="32"/>
      <c r="AC571" s="32"/>
      <c r="AD571" s="221"/>
    </row>
    <row r="572" spans="18:30" x14ac:dyDescent="0.25">
      <c r="R572" s="32"/>
      <c r="S572" s="32"/>
      <c r="T572" s="32"/>
      <c r="U572" s="32"/>
      <c r="V572" s="32"/>
      <c r="W572" s="32"/>
      <c r="X572" s="32"/>
      <c r="Y572" s="32"/>
      <c r="Z572" s="32"/>
      <c r="AA572" s="32"/>
      <c r="AB572" s="32"/>
      <c r="AC572" s="32"/>
      <c r="AD572" s="221"/>
    </row>
    <row r="573" spans="18:30" x14ac:dyDescent="0.25">
      <c r="R573" s="32"/>
      <c r="S573" s="32"/>
      <c r="T573" s="32"/>
      <c r="U573" s="32"/>
      <c r="V573" s="32"/>
      <c r="W573" s="32"/>
      <c r="X573" s="32"/>
      <c r="Y573" s="32"/>
      <c r="Z573" s="32"/>
      <c r="AA573" s="32"/>
      <c r="AB573" s="32"/>
      <c r="AC573" s="32"/>
      <c r="AD573" s="221"/>
    </row>
    <row r="574" spans="18:30" x14ac:dyDescent="0.25">
      <c r="R574" s="32"/>
      <c r="S574" s="32"/>
      <c r="T574" s="32"/>
      <c r="U574" s="32"/>
      <c r="V574" s="32"/>
      <c r="W574" s="32"/>
      <c r="X574" s="32"/>
      <c r="Y574" s="32"/>
      <c r="Z574" s="32"/>
      <c r="AA574" s="32"/>
      <c r="AB574" s="32"/>
      <c r="AC574" s="32"/>
      <c r="AD574" s="221"/>
    </row>
    <row r="575" spans="18:30" x14ac:dyDescent="0.25">
      <c r="R575" s="32"/>
      <c r="S575" s="32"/>
      <c r="T575" s="32"/>
      <c r="U575" s="32"/>
      <c r="V575" s="32"/>
      <c r="W575" s="32"/>
      <c r="X575" s="32"/>
      <c r="Y575" s="32"/>
      <c r="Z575" s="32"/>
      <c r="AA575" s="32"/>
      <c r="AB575" s="32"/>
      <c r="AC575" s="32"/>
      <c r="AD575" s="221"/>
    </row>
    <row r="576" spans="18:30" x14ac:dyDescent="0.25">
      <c r="R576" s="32"/>
      <c r="S576" s="32"/>
      <c r="T576" s="32"/>
      <c r="U576" s="32"/>
      <c r="V576" s="32"/>
      <c r="W576" s="32"/>
      <c r="X576" s="32"/>
      <c r="Y576" s="32"/>
      <c r="Z576" s="32"/>
      <c r="AA576" s="32"/>
      <c r="AB576" s="32"/>
      <c r="AC576" s="32"/>
      <c r="AD576" s="221"/>
    </row>
    <row r="577" spans="18:30" x14ac:dyDescent="0.25">
      <c r="R577" s="32"/>
      <c r="S577" s="32"/>
      <c r="T577" s="32"/>
      <c r="U577" s="32"/>
      <c r="V577" s="32"/>
      <c r="W577" s="32"/>
      <c r="X577" s="32"/>
      <c r="Y577" s="32"/>
      <c r="Z577" s="32"/>
      <c r="AA577" s="32"/>
      <c r="AB577" s="32"/>
      <c r="AC577" s="32"/>
      <c r="AD577" s="221"/>
    </row>
    <row r="578" spans="18:30" x14ac:dyDescent="0.25">
      <c r="R578" s="32"/>
      <c r="S578" s="32"/>
      <c r="T578" s="32"/>
      <c r="U578" s="32"/>
      <c r="V578" s="32"/>
      <c r="W578" s="32"/>
      <c r="X578" s="32"/>
      <c r="Y578" s="32"/>
      <c r="Z578" s="32"/>
      <c r="AA578" s="32"/>
      <c r="AB578" s="32"/>
      <c r="AC578" s="32"/>
      <c r="AD578" s="221"/>
    </row>
    <row r="579" spans="18:30" x14ac:dyDescent="0.25">
      <c r="R579" s="32"/>
      <c r="S579" s="32"/>
      <c r="T579" s="32"/>
      <c r="U579" s="32"/>
      <c r="V579" s="32"/>
      <c r="W579" s="32"/>
      <c r="X579" s="32"/>
      <c r="Y579" s="32"/>
      <c r="Z579" s="32"/>
      <c r="AA579" s="32"/>
      <c r="AB579" s="32"/>
      <c r="AC579" s="32"/>
      <c r="AD579" s="221"/>
    </row>
    <row r="580" spans="18:30" x14ac:dyDescent="0.25">
      <c r="R580" s="32"/>
      <c r="S580" s="32"/>
      <c r="T580" s="32"/>
      <c r="U580" s="32"/>
      <c r="V580" s="32"/>
      <c r="W580" s="32"/>
      <c r="X580" s="32"/>
      <c r="Y580" s="32"/>
      <c r="Z580" s="32"/>
      <c r="AA580" s="32"/>
      <c r="AB580" s="32"/>
      <c r="AC580" s="32"/>
      <c r="AD580" s="221"/>
    </row>
    <row r="581" spans="18:30" x14ac:dyDescent="0.25">
      <c r="R581" s="32"/>
      <c r="S581" s="32"/>
      <c r="T581" s="32"/>
      <c r="U581" s="32"/>
      <c r="V581" s="32"/>
      <c r="W581" s="32"/>
      <c r="X581" s="32"/>
      <c r="Y581" s="32"/>
      <c r="Z581" s="32"/>
      <c r="AA581" s="32"/>
      <c r="AB581" s="32"/>
      <c r="AC581" s="32"/>
      <c r="AD581" s="221"/>
    </row>
    <row r="582" spans="18:30" x14ac:dyDescent="0.25">
      <c r="R582" s="32"/>
      <c r="S582" s="32"/>
      <c r="T582" s="32"/>
      <c r="U582" s="32"/>
      <c r="V582" s="32"/>
      <c r="W582" s="32"/>
      <c r="X582" s="32"/>
      <c r="Y582" s="32"/>
      <c r="Z582" s="32"/>
      <c r="AA582" s="32"/>
      <c r="AB582" s="32"/>
      <c r="AC582" s="32"/>
      <c r="AD582" s="221"/>
    </row>
    <row r="583" spans="18:30" x14ac:dyDescent="0.25">
      <c r="R583" s="32"/>
      <c r="S583" s="32"/>
      <c r="T583" s="32"/>
      <c r="U583" s="32"/>
      <c r="V583" s="32"/>
      <c r="W583" s="32"/>
      <c r="X583" s="32"/>
      <c r="Y583" s="32"/>
      <c r="Z583" s="32"/>
      <c r="AA583" s="32"/>
      <c r="AB583" s="32"/>
      <c r="AC583" s="32"/>
      <c r="AD583" s="221"/>
    </row>
    <row r="584" spans="18:30" x14ac:dyDescent="0.25">
      <c r="R584" s="32"/>
      <c r="S584" s="32"/>
      <c r="T584" s="32"/>
      <c r="U584" s="32"/>
      <c r="V584" s="32"/>
      <c r="W584" s="32"/>
      <c r="X584" s="32"/>
      <c r="Y584" s="32"/>
      <c r="Z584" s="32"/>
      <c r="AA584" s="32"/>
      <c r="AB584" s="32"/>
      <c r="AC584" s="32"/>
      <c r="AD584" s="221"/>
    </row>
    <row r="585" spans="18:30" x14ac:dyDescent="0.25">
      <c r="R585" s="32"/>
      <c r="S585" s="32"/>
      <c r="T585" s="32"/>
      <c r="U585" s="32"/>
      <c r="V585" s="32"/>
      <c r="W585" s="32"/>
      <c r="X585" s="32"/>
      <c r="Y585" s="32"/>
      <c r="Z585" s="32"/>
      <c r="AA585" s="32"/>
      <c r="AB585" s="32"/>
      <c r="AC585" s="32"/>
      <c r="AD585" s="221"/>
    </row>
    <row r="586" spans="18:30" x14ac:dyDescent="0.25">
      <c r="R586" s="32"/>
      <c r="S586" s="32"/>
      <c r="T586" s="32"/>
      <c r="U586" s="32"/>
      <c r="V586" s="32"/>
      <c r="W586" s="32"/>
      <c r="X586" s="32"/>
      <c r="Y586" s="32"/>
      <c r="Z586" s="32"/>
      <c r="AA586" s="32"/>
      <c r="AB586" s="32"/>
      <c r="AC586" s="32"/>
      <c r="AD586" s="221"/>
    </row>
    <row r="587" spans="18:30" x14ac:dyDescent="0.25">
      <c r="R587" s="32"/>
      <c r="S587" s="32"/>
      <c r="T587" s="32"/>
      <c r="U587" s="32"/>
      <c r="V587" s="32"/>
      <c r="W587" s="32"/>
      <c r="X587" s="32"/>
      <c r="Y587" s="32"/>
      <c r="Z587" s="32"/>
      <c r="AA587" s="32"/>
      <c r="AB587" s="32"/>
      <c r="AC587" s="32"/>
      <c r="AD587" s="221"/>
    </row>
    <row r="588" spans="18:30" x14ac:dyDescent="0.25">
      <c r="R588" s="32"/>
      <c r="S588" s="32"/>
      <c r="T588" s="32"/>
      <c r="U588" s="32"/>
      <c r="V588" s="32"/>
      <c r="W588" s="32"/>
      <c r="X588" s="32"/>
      <c r="Y588" s="32"/>
      <c r="Z588" s="32"/>
      <c r="AA588" s="32"/>
      <c r="AB588" s="32"/>
      <c r="AC588" s="32"/>
      <c r="AD588" s="221"/>
    </row>
    <row r="589" spans="18:30" x14ac:dyDescent="0.25">
      <c r="R589" s="32"/>
      <c r="S589" s="32"/>
      <c r="T589" s="32"/>
      <c r="U589" s="32"/>
      <c r="V589" s="32"/>
      <c r="W589" s="32"/>
      <c r="X589" s="32"/>
      <c r="Y589" s="32"/>
      <c r="Z589" s="32"/>
      <c r="AA589" s="32"/>
      <c r="AB589" s="32"/>
      <c r="AC589" s="32"/>
      <c r="AD589" s="221"/>
    </row>
    <row r="590" spans="18:30" x14ac:dyDescent="0.25">
      <c r="R590" s="32"/>
      <c r="S590" s="32"/>
      <c r="T590" s="32"/>
      <c r="U590" s="32"/>
      <c r="V590" s="32"/>
      <c r="W590" s="32"/>
      <c r="X590" s="32"/>
      <c r="Y590" s="32"/>
      <c r="Z590" s="32"/>
      <c r="AA590" s="32"/>
      <c r="AB590" s="32"/>
      <c r="AC590" s="32"/>
      <c r="AD590" s="221"/>
    </row>
    <row r="591" spans="18:30" x14ac:dyDescent="0.25">
      <c r="R591" s="32"/>
      <c r="S591" s="32"/>
      <c r="T591" s="32"/>
      <c r="U591" s="32"/>
      <c r="V591" s="32"/>
      <c r="W591" s="32"/>
      <c r="X591" s="32"/>
      <c r="Y591" s="32"/>
      <c r="Z591" s="32"/>
      <c r="AA591" s="32"/>
      <c r="AB591" s="32"/>
      <c r="AC591" s="32"/>
      <c r="AD591" s="221"/>
    </row>
    <row r="592" spans="18:30" x14ac:dyDescent="0.25">
      <c r="R592" s="32"/>
      <c r="S592" s="32"/>
      <c r="T592" s="32"/>
      <c r="U592" s="32"/>
      <c r="V592" s="32"/>
      <c r="W592" s="32"/>
      <c r="X592" s="32"/>
      <c r="Y592" s="32"/>
      <c r="Z592" s="32"/>
      <c r="AA592" s="32"/>
      <c r="AB592" s="32"/>
      <c r="AC592" s="32"/>
      <c r="AD592" s="221"/>
    </row>
    <row r="593" spans="18:30" x14ac:dyDescent="0.25">
      <c r="R593" s="32"/>
      <c r="S593" s="32"/>
      <c r="T593" s="32"/>
      <c r="U593" s="32"/>
      <c r="V593" s="32"/>
      <c r="W593" s="32"/>
      <c r="X593" s="32"/>
      <c r="Y593" s="32"/>
      <c r="Z593" s="32"/>
      <c r="AA593" s="32"/>
      <c r="AB593" s="32"/>
      <c r="AC593" s="32"/>
      <c r="AD593" s="221"/>
    </row>
    <row r="594" spans="18:30" x14ac:dyDescent="0.25">
      <c r="R594" s="32"/>
      <c r="S594" s="32"/>
      <c r="T594" s="32"/>
      <c r="U594" s="32"/>
      <c r="V594" s="32"/>
      <c r="W594" s="32"/>
      <c r="X594" s="32"/>
      <c r="Y594" s="32"/>
      <c r="Z594" s="32"/>
      <c r="AA594" s="32"/>
      <c r="AB594" s="32"/>
      <c r="AC594" s="32"/>
      <c r="AD594" s="221"/>
    </row>
    <row r="595" spans="18:30" x14ac:dyDescent="0.25">
      <c r="R595" s="32"/>
      <c r="S595" s="32"/>
      <c r="T595" s="32"/>
      <c r="U595" s="32"/>
      <c r="V595" s="32"/>
      <c r="W595" s="32"/>
      <c r="X595" s="32"/>
      <c r="Y595" s="32"/>
      <c r="Z595" s="32"/>
      <c r="AA595" s="32"/>
      <c r="AB595" s="32"/>
      <c r="AC595" s="32"/>
      <c r="AD595" s="221"/>
    </row>
    <row r="596" spans="18:30" x14ac:dyDescent="0.25">
      <c r="R596" s="32"/>
      <c r="S596" s="32"/>
      <c r="T596" s="32"/>
      <c r="U596" s="32"/>
      <c r="V596" s="32"/>
      <c r="W596" s="32"/>
      <c r="X596" s="32"/>
      <c r="Y596" s="32"/>
      <c r="Z596" s="32"/>
      <c r="AA596" s="32"/>
      <c r="AB596" s="32"/>
      <c r="AC596" s="32"/>
      <c r="AD596" s="221"/>
    </row>
    <row r="597" spans="18:30" x14ac:dyDescent="0.25">
      <c r="R597" s="32"/>
      <c r="S597" s="32"/>
      <c r="T597" s="32"/>
      <c r="U597" s="32"/>
      <c r="V597" s="32"/>
      <c r="W597" s="32"/>
      <c r="X597" s="32"/>
      <c r="Y597" s="32"/>
      <c r="Z597" s="32"/>
      <c r="AA597" s="32"/>
      <c r="AB597" s="32"/>
      <c r="AC597" s="32"/>
      <c r="AD597" s="221"/>
    </row>
    <row r="598" spans="18:30" x14ac:dyDescent="0.25">
      <c r="R598" s="32"/>
      <c r="S598" s="32"/>
      <c r="T598" s="32"/>
      <c r="U598" s="32"/>
      <c r="V598" s="32"/>
      <c r="W598" s="32"/>
      <c r="X598" s="32"/>
      <c r="Y598" s="32"/>
      <c r="Z598" s="32"/>
      <c r="AA598" s="32"/>
      <c r="AB598" s="32"/>
      <c r="AC598" s="32"/>
      <c r="AD598" s="221"/>
    </row>
    <row r="599" spans="18:30" x14ac:dyDescent="0.25">
      <c r="R599" s="32"/>
      <c r="S599" s="32"/>
      <c r="T599" s="32"/>
      <c r="U599" s="32"/>
      <c r="V599" s="32"/>
      <c r="W599" s="32"/>
      <c r="X599" s="32"/>
      <c r="Y599" s="32"/>
      <c r="Z599" s="32"/>
      <c r="AA599" s="32"/>
      <c r="AB599" s="32"/>
      <c r="AC599" s="32"/>
      <c r="AD599" s="221"/>
    </row>
    <row r="600" spans="18:30" x14ac:dyDescent="0.25">
      <c r="R600" s="32"/>
      <c r="S600" s="32"/>
      <c r="T600" s="32"/>
      <c r="U600" s="32"/>
      <c r="V600" s="32"/>
      <c r="W600" s="32"/>
      <c r="X600" s="32"/>
      <c r="Y600" s="32"/>
      <c r="Z600" s="32"/>
      <c r="AA600" s="32"/>
      <c r="AB600" s="32"/>
      <c r="AC600" s="32"/>
      <c r="AD600" s="221"/>
    </row>
    <row r="601" spans="18:30" x14ac:dyDescent="0.25">
      <c r="R601" s="32"/>
      <c r="S601" s="32"/>
      <c r="T601" s="32"/>
      <c r="U601" s="32"/>
      <c r="V601" s="32"/>
      <c r="W601" s="32"/>
      <c r="X601" s="32"/>
      <c r="Y601" s="32"/>
      <c r="Z601" s="32"/>
      <c r="AA601" s="32"/>
      <c r="AB601" s="32"/>
      <c r="AC601" s="32"/>
      <c r="AD601" s="221"/>
    </row>
    <row r="602" spans="18:30" x14ac:dyDescent="0.25">
      <c r="R602" s="32"/>
      <c r="S602" s="32"/>
      <c r="T602" s="32"/>
      <c r="U602" s="32"/>
      <c r="V602" s="32"/>
      <c r="W602" s="32"/>
      <c r="X602" s="32"/>
      <c r="Y602" s="32"/>
      <c r="Z602" s="32"/>
      <c r="AA602" s="32"/>
      <c r="AB602" s="32"/>
      <c r="AC602" s="32"/>
      <c r="AD602" s="221"/>
    </row>
    <row r="603" spans="18:30" x14ac:dyDescent="0.25">
      <c r="R603" s="32"/>
      <c r="S603" s="32"/>
      <c r="T603" s="32"/>
      <c r="U603" s="32"/>
      <c r="V603" s="32"/>
      <c r="W603" s="32"/>
      <c r="X603" s="32"/>
      <c r="Y603" s="32"/>
      <c r="Z603" s="32"/>
      <c r="AA603" s="32"/>
      <c r="AB603" s="32"/>
      <c r="AC603" s="32"/>
      <c r="AD603" s="221"/>
    </row>
    <row r="604" spans="18:30" x14ac:dyDescent="0.25">
      <c r="R604" s="32"/>
      <c r="S604" s="32"/>
      <c r="T604" s="32"/>
      <c r="U604" s="32"/>
      <c r="V604" s="32"/>
      <c r="W604" s="32"/>
      <c r="X604" s="32"/>
      <c r="Y604" s="32"/>
      <c r="Z604" s="32"/>
      <c r="AA604" s="32"/>
      <c r="AB604" s="32"/>
      <c r="AC604" s="32"/>
      <c r="AD604" s="221"/>
    </row>
    <row r="605" spans="18:30" x14ac:dyDescent="0.25">
      <c r="R605" s="32"/>
      <c r="S605" s="32"/>
      <c r="T605" s="32"/>
      <c r="U605" s="32"/>
      <c r="V605" s="32"/>
      <c r="W605" s="32"/>
      <c r="X605" s="32"/>
      <c r="Y605" s="32"/>
      <c r="Z605" s="32"/>
      <c r="AA605" s="32"/>
      <c r="AB605" s="32"/>
      <c r="AC605" s="32"/>
      <c r="AD605" s="221"/>
    </row>
    <row r="606" spans="18:30" x14ac:dyDescent="0.25">
      <c r="R606" s="32"/>
      <c r="S606" s="32"/>
      <c r="T606" s="32"/>
      <c r="U606" s="32"/>
      <c r="V606" s="32"/>
      <c r="W606" s="32"/>
      <c r="X606" s="32"/>
      <c r="Y606" s="32"/>
      <c r="Z606" s="32"/>
      <c r="AA606" s="32"/>
      <c r="AB606" s="32"/>
      <c r="AC606" s="32"/>
      <c r="AD606" s="221"/>
    </row>
    <row r="607" spans="18:30" x14ac:dyDescent="0.25">
      <c r="R607" s="32"/>
      <c r="S607" s="32"/>
      <c r="T607" s="32"/>
      <c r="U607" s="32"/>
      <c r="V607" s="32"/>
      <c r="W607" s="32"/>
      <c r="X607" s="32"/>
      <c r="Y607" s="32"/>
      <c r="Z607" s="32"/>
      <c r="AA607" s="32"/>
      <c r="AB607" s="32"/>
      <c r="AC607" s="32"/>
      <c r="AD607" s="221"/>
    </row>
    <row r="608" spans="18:30" x14ac:dyDescent="0.25">
      <c r="R608" s="32"/>
      <c r="S608" s="32"/>
      <c r="T608" s="32"/>
      <c r="U608" s="32"/>
      <c r="V608" s="32"/>
      <c r="W608" s="32"/>
      <c r="X608" s="32"/>
      <c r="Y608" s="32"/>
      <c r="Z608" s="32"/>
      <c r="AA608" s="32"/>
      <c r="AB608" s="32"/>
      <c r="AC608" s="32"/>
      <c r="AD608" s="221"/>
    </row>
    <row r="609" spans="18:30" x14ac:dyDescent="0.25">
      <c r="R609" s="32"/>
      <c r="S609" s="32"/>
      <c r="T609" s="32"/>
      <c r="U609" s="32"/>
      <c r="V609" s="32"/>
      <c r="W609" s="32"/>
      <c r="X609" s="32"/>
      <c r="Y609" s="32"/>
      <c r="Z609" s="32"/>
      <c r="AA609" s="32"/>
      <c r="AB609" s="32"/>
      <c r="AC609" s="32"/>
      <c r="AD609" s="221"/>
    </row>
    <row r="610" spans="18:30" x14ac:dyDescent="0.25">
      <c r="R610" s="32"/>
      <c r="S610" s="32"/>
      <c r="T610" s="32"/>
      <c r="U610" s="32"/>
      <c r="V610" s="32"/>
      <c r="W610" s="32"/>
      <c r="X610" s="32"/>
      <c r="Y610" s="32"/>
      <c r="Z610" s="32"/>
      <c r="AA610" s="32"/>
      <c r="AB610" s="32"/>
      <c r="AC610" s="32"/>
      <c r="AD610" s="221"/>
    </row>
    <row r="611" spans="18:30" x14ac:dyDescent="0.25">
      <c r="R611" s="32"/>
      <c r="S611" s="32"/>
      <c r="T611" s="32"/>
      <c r="U611" s="32"/>
      <c r="V611" s="32"/>
      <c r="W611" s="32"/>
      <c r="X611" s="32"/>
      <c r="Y611" s="32"/>
      <c r="Z611" s="32"/>
      <c r="AA611" s="32"/>
      <c r="AB611" s="32"/>
      <c r="AC611" s="32"/>
      <c r="AD611" s="221"/>
    </row>
    <row r="612" spans="18:30" x14ac:dyDescent="0.25">
      <c r="R612" s="32"/>
      <c r="S612" s="32"/>
      <c r="T612" s="32"/>
      <c r="U612" s="32"/>
      <c r="V612" s="32"/>
      <c r="W612" s="32"/>
      <c r="X612" s="32"/>
      <c r="Y612" s="32"/>
      <c r="Z612" s="32"/>
      <c r="AA612" s="32"/>
      <c r="AB612" s="32"/>
      <c r="AC612" s="32"/>
      <c r="AD612" s="221"/>
    </row>
    <row r="613" spans="18:30" x14ac:dyDescent="0.25">
      <c r="R613" s="32"/>
      <c r="S613" s="32"/>
      <c r="T613" s="32"/>
      <c r="U613" s="32"/>
      <c r="V613" s="32"/>
      <c r="W613" s="32"/>
      <c r="X613" s="32"/>
      <c r="Y613" s="32"/>
      <c r="Z613" s="32"/>
      <c r="AA613" s="32"/>
      <c r="AB613" s="32"/>
      <c r="AC613" s="32"/>
      <c r="AD613" s="221"/>
    </row>
    <row r="614" spans="18:30" x14ac:dyDescent="0.25">
      <c r="R614" s="32"/>
      <c r="S614" s="32"/>
      <c r="T614" s="32"/>
      <c r="U614" s="32"/>
      <c r="V614" s="32"/>
      <c r="W614" s="32"/>
      <c r="X614" s="32"/>
      <c r="Y614" s="32"/>
      <c r="Z614" s="32"/>
      <c r="AA614" s="32"/>
      <c r="AB614" s="32"/>
      <c r="AC614" s="32"/>
      <c r="AD614" s="221"/>
    </row>
    <row r="615" spans="18:30" x14ac:dyDescent="0.25">
      <c r="R615" s="32"/>
      <c r="S615" s="32"/>
      <c r="T615" s="32"/>
      <c r="U615" s="32"/>
      <c r="V615" s="32"/>
      <c r="W615" s="32"/>
      <c r="X615" s="32"/>
      <c r="Y615" s="32"/>
      <c r="Z615" s="32"/>
      <c r="AA615" s="32"/>
      <c r="AB615" s="32"/>
      <c r="AC615" s="32"/>
      <c r="AD615" s="221"/>
    </row>
    <row r="616" spans="18:30" x14ac:dyDescent="0.25">
      <c r="R616" s="32"/>
      <c r="S616" s="32"/>
      <c r="T616" s="32"/>
      <c r="U616" s="32"/>
      <c r="V616" s="32"/>
      <c r="W616" s="32"/>
      <c r="X616" s="32"/>
      <c r="Y616" s="32"/>
      <c r="Z616" s="32"/>
      <c r="AA616" s="32"/>
      <c r="AB616" s="32"/>
      <c r="AC616" s="32"/>
      <c r="AD616" s="221"/>
    </row>
    <row r="617" spans="18:30" x14ac:dyDescent="0.25">
      <c r="R617" s="32"/>
      <c r="S617" s="32"/>
      <c r="T617" s="32"/>
      <c r="U617" s="32"/>
      <c r="V617" s="32"/>
      <c r="W617" s="32"/>
      <c r="X617" s="32"/>
      <c r="Y617" s="32"/>
      <c r="Z617" s="32"/>
      <c r="AA617" s="32"/>
      <c r="AB617" s="32"/>
      <c r="AC617" s="32"/>
      <c r="AD617" s="221"/>
    </row>
    <row r="618" spans="18:30" x14ac:dyDescent="0.25">
      <c r="R618" s="32"/>
      <c r="S618" s="32"/>
      <c r="T618" s="32"/>
      <c r="U618" s="32"/>
      <c r="V618" s="32"/>
      <c r="W618" s="32"/>
      <c r="X618" s="32"/>
      <c r="Y618" s="32"/>
      <c r="Z618" s="32"/>
      <c r="AA618" s="32"/>
      <c r="AB618" s="32"/>
      <c r="AC618" s="32"/>
      <c r="AD618" s="221"/>
    </row>
    <row r="619" spans="18:30" x14ac:dyDescent="0.25">
      <c r="R619" s="32"/>
      <c r="S619" s="32"/>
      <c r="T619" s="32"/>
      <c r="U619" s="32"/>
      <c r="V619" s="32"/>
      <c r="W619" s="32"/>
      <c r="X619" s="32"/>
      <c r="Y619" s="32"/>
      <c r="Z619" s="32"/>
      <c r="AA619" s="32"/>
      <c r="AB619" s="32"/>
      <c r="AC619" s="32"/>
      <c r="AD619" s="221"/>
    </row>
    <row r="620" spans="18:30" x14ac:dyDescent="0.25">
      <c r="R620" s="32"/>
      <c r="S620" s="32"/>
      <c r="T620" s="32"/>
      <c r="U620" s="32"/>
      <c r="V620" s="32"/>
      <c r="W620" s="32"/>
      <c r="X620" s="32"/>
      <c r="Y620" s="32"/>
      <c r="Z620" s="32"/>
      <c r="AA620" s="32"/>
      <c r="AB620" s="32"/>
      <c r="AC620" s="32"/>
      <c r="AD620" s="221"/>
    </row>
    <row r="621" spans="18:30" x14ac:dyDescent="0.25">
      <c r="R621" s="32"/>
      <c r="S621" s="32"/>
      <c r="T621" s="32"/>
      <c r="U621" s="32"/>
      <c r="V621" s="32"/>
      <c r="W621" s="32"/>
      <c r="X621" s="32"/>
      <c r="Y621" s="32"/>
      <c r="Z621" s="32"/>
      <c r="AA621" s="32"/>
      <c r="AB621" s="32"/>
      <c r="AC621" s="32"/>
      <c r="AD621" s="221"/>
    </row>
    <row r="622" spans="18:30" x14ac:dyDescent="0.25">
      <c r="R622" s="32"/>
      <c r="S622" s="32"/>
      <c r="T622" s="32"/>
      <c r="U622" s="32"/>
      <c r="V622" s="32"/>
      <c r="W622" s="32"/>
      <c r="X622" s="32"/>
      <c r="Y622" s="32"/>
      <c r="Z622" s="32"/>
      <c r="AA622" s="32"/>
      <c r="AB622" s="32"/>
      <c r="AC622" s="32"/>
      <c r="AD622" s="221"/>
    </row>
    <row r="623" spans="18:30" x14ac:dyDescent="0.25">
      <c r="R623" s="32"/>
      <c r="S623" s="32"/>
      <c r="T623" s="32"/>
      <c r="U623" s="32"/>
      <c r="V623" s="32"/>
      <c r="W623" s="32"/>
      <c r="X623" s="32"/>
      <c r="Y623" s="32"/>
      <c r="Z623" s="32"/>
      <c r="AA623" s="32"/>
      <c r="AB623" s="32"/>
      <c r="AC623" s="32"/>
      <c r="AD623" s="221"/>
    </row>
    <row r="624" spans="18:30" x14ac:dyDescent="0.25">
      <c r="R624" s="32"/>
      <c r="S624" s="32"/>
      <c r="T624" s="32"/>
      <c r="U624" s="32"/>
      <c r="V624" s="32"/>
      <c r="W624" s="32"/>
      <c r="X624" s="32"/>
      <c r="Y624" s="32"/>
      <c r="Z624" s="32"/>
      <c r="AA624" s="32"/>
      <c r="AB624" s="32"/>
      <c r="AC624" s="32"/>
      <c r="AD624" s="221"/>
    </row>
    <row r="625" spans="18:30" x14ac:dyDescent="0.25">
      <c r="R625" s="32"/>
      <c r="S625" s="32"/>
      <c r="T625" s="32"/>
      <c r="U625" s="32"/>
      <c r="V625" s="32"/>
      <c r="W625" s="32"/>
      <c r="X625" s="32"/>
      <c r="Y625" s="32"/>
      <c r="Z625" s="32"/>
      <c r="AA625" s="32"/>
      <c r="AB625" s="32"/>
      <c r="AC625" s="32"/>
      <c r="AD625" s="221"/>
    </row>
    <row r="626" spans="18:30" x14ac:dyDescent="0.25">
      <c r="R626" s="32"/>
      <c r="S626" s="32"/>
      <c r="T626" s="32"/>
      <c r="U626" s="32"/>
      <c r="V626" s="32"/>
      <c r="W626" s="32"/>
      <c r="X626" s="32"/>
      <c r="Y626" s="32"/>
      <c r="Z626" s="32"/>
      <c r="AA626" s="32"/>
      <c r="AB626" s="32"/>
      <c r="AC626" s="32"/>
      <c r="AD626" s="221"/>
    </row>
    <row r="627" spans="18:30" x14ac:dyDescent="0.25">
      <c r="R627" s="32"/>
      <c r="S627" s="32"/>
      <c r="T627" s="32"/>
      <c r="U627" s="32"/>
      <c r="V627" s="32"/>
      <c r="W627" s="32"/>
      <c r="X627" s="32"/>
      <c r="Y627" s="32"/>
      <c r="Z627" s="32"/>
      <c r="AA627" s="32"/>
      <c r="AB627" s="32"/>
      <c r="AC627" s="32"/>
      <c r="AD627" s="221"/>
    </row>
    <row r="628" spans="18:30" x14ac:dyDescent="0.25">
      <c r="R628" s="32"/>
      <c r="S628" s="32"/>
      <c r="T628" s="32"/>
      <c r="U628" s="32"/>
      <c r="V628" s="32"/>
      <c r="W628" s="32"/>
      <c r="X628" s="32"/>
      <c r="Y628" s="32"/>
      <c r="Z628" s="32"/>
      <c r="AA628" s="32"/>
      <c r="AB628" s="32"/>
      <c r="AC628" s="32"/>
      <c r="AD628" s="221"/>
    </row>
    <row r="629" spans="18:30" x14ac:dyDescent="0.25">
      <c r="R629" s="32"/>
      <c r="S629" s="32"/>
      <c r="T629" s="32"/>
      <c r="U629" s="32"/>
      <c r="V629" s="32"/>
      <c r="W629" s="32"/>
      <c r="X629" s="32"/>
      <c r="Y629" s="32"/>
      <c r="Z629" s="32"/>
      <c r="AA629" s="32"/>
      <c r="AB629" s="32"/>
      <c r="AC629" s="32"/>
      <c r="AD629" s="221"/>
    </row>
    <row r="630" spans="18:30" x14ac:dyDescent="0.25">
      <c r="R630" s="32"/>
      <c r="S630" s="32"/>
      <c r="T630" s="32"/>
      <c r="U630" s="32"/>
      <c r="V630" s="32"/>
      <c r="W630" s="32"/>
      <c r="X630" s="32"/>
      <c r="Y630" s="32"/>
      <c r="Z630" s="32"/>
      <c r="AA630" s="32"/>
      <c r="AB630" s="32"/>
      <c r="AC630" s="32"/>
      <c r="AD630" s="221"/>
    </row>
    <row r="631" spans="18:30" x14ac:dyDescent="0.25">
      <c r="R631" s="32"/>
      <c r="S631" s="32"/>
      <c r="T631" s="32"/>
      <c r="U631" s="32"/>
      <c r="V631" s="32"/>
      <c r="W631" s="32"/>
      <c r="X631" s="32"/>
      <c r="Y631" s="32"/>
      <c r="Z631" s="32"/>
      <c r="AA631" s="32"/>
      <c r="AB631" s="32"/>
      <c r="AC631" s="32"/>
      <c r="AD631" s="221"/>
    </row>
    <row r="632" spans="18:30" x14ac:dyDescent="0.25">
      <c r="R632" s="32"/>
      <c r="S632" s="32"/>
      <c r="T632" s="32"/>
      <c r="U632" s="32"/>
      <c r="V632" s="32"/>
      <c r="W632" s="32"/>
      <c r="X632" s="32"/>
      <c r="Y632" s="32"/>
      <c r="Z632" s="32"/>
      <c r="AA632" s="32"/>
      <c r="AB632" s="32"/>
      <c r="AC632" s="32"/>
      <c r="AD632" s="221"/>
    </row>
    <row r="633" spans="18:30" x14ac:dyDescent="0.25">
      <c r="R633" s="32"/>
      <c r="S633" s="32"/>
      <c r="T633" s="32"/>
      <c r="U633" s="32"/>
      <c r="V633" s="32"/>
      <c r="W633" s="32"/>
      <c r="X633" s="32"/>
      <c r="Y633" s="32"/>
      <c r="Z633" s="32"/>
      <c r="AA633" s="32"/>
      <c r="AB633" s="32"/>
      <c r="AC633" s="32"/>
      <c r="AD633" s="221"/>
    </row>
    <row r="634" spans="18:30" x14ac:dyDescent="0.25">
      <c r="R634" s="32"/>
      <c r="S634" s="32"/>
      <c r="T634" s="32"/>
      <c r="U634" s="32"/>
      <c r="V634" s="32"/>
      <c r="W634" s="32"/>
      <c r="X634" s="32"/>
      <c r="Y634" s="32"/>
      <c r="Z634" s="32"/>
      <c r="AA634" s="32"/>
      <c r="AB634" s="32"/>
      <c r="AC634" s="32"/>
      <c r="AD634" s="221"/>
    </row>
    <row r="635" spans="18:30" x14ac:dyDescent="0.25">
      <c r="R635" s="32"/>
      <c r="S635" s="32"/>
      <c r="T635" s="32"/>
      <c r="U635" s="32"/>
      <c r="V635" s="32"/>
      <c r="W635" s="32"/>
      <c r="X635" s="32"/>
      <c r="Y635" s="32"/>
      <c r="Z635" s="32"/>
      <c r="AA635" s="32"/>
      <c r="AB635" s="32"/>
      <c r="AC635" s="32"/>
      <c r="AD635" s="221"/>
    </row>
    <row r="636" spans="18:30" x14ac:dyDescent="0.25">
      <c r="R636" s="32"/>
      <c r="S636" s="32"/>
      <c r="T636" s="32"/>
      <c r="U636" s="32"/>
      <c r="V636" s="32"/>
      <c r="W636" s="32"/>
      <c r="X636" s="32"/>
      <c r="Y636" s="32"/>
      <c r="Z636" s="32"/>
      <c r="AA636" s="32"/>
      <c r="AB636" s="32"/>
      <c r="AC636" s="32"/>
      <c r="AD636" s="221"/>
    </row>
    <row r="637" spans="18:30" x14ac:dyDescent="0.25">
      <c r="R637" s="32"/>
      <c r="S637" s="32"/>
      <c r="T637" s="32"/>
      <c r="U637" s="32"/>
      <c r="V637" s="32"/>
      <c r="W637" s="32"/>
      <c r="X637" s="32"/>
      <c r="Y637" s="32"/>
      <c r="Z637" s="32"/>
      <c r="AA637" s="32"/>
      <c r="AB637" s="32"/>
      <c r="AC637" s="32"/>
      <c r="AD637" s="221"/>
    </row>
    <row r="638" spans="18:30" x14ac:dyDescent="0.25">
      <c r="R638" s="32"/>
      <c r="S638" s="32"/>
      <c r="T638" s="32"/>
      <c r="U638" s="32"/>
      <c r="V638" s="32"/>
      <c r="W638" s="32"/>
      <c r="X638" s="32"/>
      <c r="Y638" s="32"/>
      <c r="Z638" s="32"/>
      <c r="AA638" s="32"/>
      <c r="AB638" s="32"/>
      <c r="AC638" s="32"/>
      <c r="AD638" s="221"/>
    </row>
    <row r="639" spans="18:30" x14ac:dyDescent="0.25">
      <c r="R639" s="32"/>
      <c r="S639" s="32"/>
      <c r="T639" s="32"/>
      <c r="U639" s="32"/>
      <c r="V639" s="32"/>
      <c r="W639" s="32"/>
      <c r="X639" s="32"/>
      <c r="Y639" s="32"/>
      <c r="Z639" s="32"/>
      <c r="AA639" s="32"/>
      <c r="AB639" s="32"/>
      <c r="AC639" s="32"/>
      <c r="AD639" s="221"/>
    </row>
    <row r="640" spans="18:30" x14ac:dyDescent="0.25">
      <c r="R640" s="32"/>
      <c r="S640" s="32"/>
      <c r="T640" s="32"/>
      <c r="U640" s="32"/>
      <c r="V640" s="32"/>
      <c r="W640" s="32"/>
      <c r="X640" s="32"/>
      <c r="Y640" s="32"/>
      <c r="Z640" s="32"/>
      <c r="AA640" s="32"/>
      <c r="AB640" s="32"/>
      <c r="AC640" s="32"/>
      <c r="AD640" s="221"/>
    </row>
    <row r="641" spans="18:30" x14ac:dyDescent="0.25">
      <c r="R641" s="32"/>
      <c r="S641" s="32"/>
      <c r="T641" s="32"/>
      <c r="U641" s="32"/>
      <c r="V641" s="32"/>
      <c r="W641" s="32"/>
      <c r="X641" s="32"/>
      <c r="Y641" s="32"/>
      <c r="Z641" s="32"/>
      <c r="AA641" s="32"/>
      <c r="AB641" s="32"/>
      <c r="AC641" s="32"/>
      <c r="AD641" s="221"/>
    </row>
    <row r="642" spans="18:30" x14ac:dyDescent="0.25">
      <c r="R642" s="32"/>
      <c r="S642" s="32"/>
      <c r="T642" s="32"/>
      <c r="U642" s="32"/>
      <c r="V642" s="32"/>
      <c r="W642" s="32"/>
      <c r="X642" s="32"/>
      <c r="Y642" s="32"/>
      <c r="Z642" s="32"/>
      <c r="AA642" s="32"/>
      <c r="AB642" s="32"/>
      <c r="AC642" s="32"/>
      <c r="AD642" s="221"/>
    </row>
    <row r="643" spans="18:30" x14ac:dyDescent="0.25">
      <c r="R643" s="32"/>
      <c r="S643" s="32"/>
      <c r="T643" s="32"/>
      <c r="U643" s="32"/>
      <c r="V643" s="32"/>
      <c r="W643" s="32"/>
      <c r="X643" s="32"/>
      <c r="Y643" s="32"/>
      <c r="Z643" s="32"/>
      <c r="AA643" s="32"/>
      <c r="AB643" s="32"/>
      <c r="AC643" s="32"/>
      <c r="AD643" s="221"/>
    </row>
    <row r="644" spans="18:30" x14ac:dyDescent="0.25">
      <c r="R644" s="32"/>
      <c r="S644" s="32"/>
      <c r="T644" s="32"/>
      <c r="U644" s="32"/>
      <c r="V644" s="32"/>
      <c r="W644" s="32"/>
      <c r="X644" s="32"/>
      <c r="Y644" s="32"/>
      <c r="Z644" s="32"/>
      <c r="AA644" s="32"/>
      <c r="AB644" s="32"/>
      <c r="AC644" s="32"/>
      <c r="AD644" s="221"/>
    </row>
    <row r="645" spans="18:30" x14ac:dyDescent="0.25">
      <c r="R645" s="32"/>
      <c r="S645" s="32"/>
      <c r="T645" s="32"/>
      <c r="U645" s="32"/>
      <c r="V645" s="32"/>
      <c r="W645" s="32"/>
      <c r="X645" s="32"/>
      <c r="Y645" s="32"/>
      <c r="Z645" s="32"/>
      <c r="AA645" s="32"/>
      <c r="AB645" s="32"/>
      <c r="AC645" s="32"/>
      <c r="AD645" s="221"/>
    </row>
    <row r="646" spans="18:30" x14ac:dyDescent="0.25">
      <c r="R646" s="32"/>
      <c r="S646" s="32"/>
      <c r="T646" s="32"/>
      <c r="U646" s="32"/>
      <c r="V646" s="32"/>
      <c r="W646" s="32"/>
      <c r="X646" s="32"/>
      <c r="Y646" s="32"/>
      <c r="Z646" s="32"/>
      <c r="AA646" s="32"/>
      <c r="AB646" s="32"/>
      <c r="AC646" s="32"/>
      <c r="AD646" s="221"/>
    </row>
    <row r="647" spans="18:30" x14ac:dyDescent="0.25">
      <c r="R647" s="32"/>
      <c r="S647" s="32"/>
      <c r="T647" s="32"/>
      <c r="U647" s="32"/>
      <c r="V647" s="32"/>
      <c r="W647" s="32"/>
      <c r="X647" s="32"/>
      <c r="Y647" s="32"/>
      <c r="Z647" s="32"/>
      <c r="AA647" s="32"/>
      <c r="AB647" s="32"/>
      <c r="AC647" s="32"/>
      <c r="AD647" s="221"/>
    </row>
    <row r="648" spans="18:30" x14ac:dyDescent="0.25">
      <c r="R648" s="32"/>
      <c r="S648" s="32"/>
      <c r="T648" s="32"/>
      <c r="U648" s="32"/>
      <c r="V648" s="32"/>
      <c r="W648" s="32"/>
      <c r="X648" s="32"/>
      <c r="Y648" s="32"/>
      <c r="Z648" s="32"/>
      <c r="AA648" s="32"/>
      <c r="AB648" s="32"/>
      <c r="AC648" s="32"/>
      <c r="AD648" s="221"/>
    </row>
    <row r="649" spans="18:30" x14ac:dyDescent="0.25">
      <c r="R649" s="32"/>
      <c r="S649" s="32"/>
      <c r="T649" s="32"/>
      <c r="U649" s="32"/>
      <c r="V649" s="32"/>
      <c r="W649" s="32"/>
      <c r="X649" s="32"/>
      <c r="Y649" s="32"/>
      <c r="Z649" s="32"/>
      <c r="AA649" s="32"/>
      <c r="AB649" s="32"/>
      <c r="AC649" s="32"/>
      <c r="AD649" s="221"/>
    </row>
    <row r="650" spans="18:30" x14ac:dyDescent="0.25">
      <c r="R650" s="32"/>
      <c r="S650" s="32"/>
      <c r="T650" s="32"/>
      <c r="U650" s="32"/>
      <c r="V650" s="32"/>
      <c r="W650" s="32"/>
      <c r="X650" s="32"/>
      <c r="Y650" s="32"/>
      <c r="Z650" s="32"/>
      <c r="AA650" s="32"/>
      <c r="AB650" s="32"/>
      <c r="AC650" s="32"/>
      <c r="AD650" s="221"/>
    </row>
    <row r="651" spans="18:30" x14ac:dyDescent="0.25">
      <c r="R651" s="32"/>
      <c r="S651" s="32"/>
      <c r="T651" s="32"/>
      <c r="U651" s="32"/>
      <c r="V651" s="32"/>
      <c r="W651" s="32"/>
      <c r="X651" s="32"/>
      <c r="Y651" s="32"/>
      <c r="Z651" s="32"/>
      <c r="AA651" s="32"/>
      <c r="AB651" s="32"/>
      <c r="AC651" s="32"/>
      <c r="AD651" s="221"/>
    </row>
    <row r="652" spans="18:30" x14ac:dyDescent="0.25">
      <c r="R652" s="32"/>
      <c r="S652" s="32"/>
      <c r="T652" s="32"/>
      <c r="U652" s="32"/>
      <c r="V652" s="32"/>
      <c r="W652" s="32"/>
      <c r="X652" s="32"/>
      <c r="Y652" s="32"/>
      <c r="Z652" s="32"/>
      <c r="AA652" s="32"/>
      <c r="AB652" s="32"/>
      <c r="AC652" s="32"/>
      <c r="AD652" s="221"/>
    </row>
    <row r="653" spans="18:30" x14ac:dyDescent="0.25">
      <c r="R653" s="32"/>
      <c r="S653" s="32"/>
      <c r="T653" s="32"/>
      <c r="U653" s="32"/>
      <c r="V653" s="32"/>
      <c r="W653" s="32"/>
      <c r="X653" s="32"/>
      <c r="Y653" s="32"/>
      <c r="Z653" s="32"/>
      <c r="AA653" s="32"/>
      <c r="AB653" s="32"/>
      <c r="AC653" s="32"/>
      <c r="AD653" s="221"/>
    </row>
    <row r="654" spans="18:30" x14ac:dyDescent="0.25">
      <c r="R654" s="32"/>
      <c r="S654" s="32"/>
      <c r="T654" s="32"/>
      <c r="U654" s="32"/>
      <c r="V654" s="32"/>
      <c r="W654" s="32"/>
      <c r="X654" s="32"/>
      <c r="Y654" s="32"/>
      <c r="Z654" s="32"/>
      <c r="AA654" s="32"/>
      <c r="AB654" s="32"/>
      <c r="AC654" s="32"/>
      <c r="AD654" s="221"/>
    </row>
    <row r="655" spans="18:30" x14ac:dyDescent="0.25">
      <c r="R655" s="32"/>
      <c r="S655" s="32"/>
      <c r="T655" s="32"/>
      <c r="U655" s="32"/>
      <c r="V655" s="32"/>
      <c r="W655" s="32"/>
      <c r="X655" s="32"/>
      <c r="Y655" s="32"/>
      <c r="Z655" s="32"/>
      <c r="AA655" s="32"/>
      <c r="AB655" s="32"/>
      <c r="AC655" s="32"/>
      <c r="AD655" s="221"/>
    </row>
    <row r="656" spans="18:30" x14ac:dyDescent="0.25">
      <c r="R656" s="32"/>
      <c r="S656" s="32"/>
      <c r="T656" s="32"/>
      <c r="U656" s="32"/>
      <c r="V656" s="32"/>
      <c r="W656" s="32"/>
      <c r="X656" s="32"/>
      <c r="Y656" s="32"/>
      <c r="Z656" s="32"/>
      <c r="AA656" s="32"/>
      <c r="AB656" s="32"/>
      <c r="AC656" s="32"/>
      <c r="AD656" s="221"/>
    </row>
    <row r="657" spans="18:30" x14ac:dyDescent="0.25">
      <c r="R657" s="32"/>
      <c r="S657" s="32"/>
      <c r="T657" s="32"/>
      <c r="U657" s="32"/>
      <c r="V657" s="32"/>
      <c r="W657" s="32"/>
      <c r="X657" s="32"/>
      <c r="Y657" s="32"/>
      <c r="Z657" s="32"/>
      <c r="AA657" s="32"/>
      <c r="AB657" s="32"/>
      <c r="AC657" s="32"/>
      <c r="AD657" s="221"/>
    </row>
    <row r="658" spans="18:30" x14ac:dyDescent="0.25">
      <c r="R658" s="32"/>
      <c r="S658" s="32"/>
      <c r="T658" s="32"/>
      <c r="U658" s="32"/>
      <c r="V658" s="32"/>
      <c r="W658" s="32"/>
      <c r="X658" s="32"/>
      <c r="Y658" s="32"/>
      <c r="Z658" s="32"/>
      <c r="AA658" s="32"/>
      <c r="AB658" s="32"/>
      <c r="AC658" s="32"/>
      <c r="AD658" s="221"/>
    </row>
    <row r="659" spans="18:30" x14ac:dyDescent="0.25">
      <c r="R659" s="32"/>
      <c r="S659" s="32"/>
      <c r="T659" s="32"/>
      <c r="U659" s="32"/>
      <c r="V659" s="32"/>
      <c r="W659" s="32"/>
      <c r="X659" s="32"/>
      <c r="Y659" s="32"/>
      <c r="Z659" s="32"/>
      <c r="AA659" s="32"/>
      <c r="AB659" s="32"/>
      <c r="AC659" s="32"/>
      <c r="AD659" s="221"/>
    </row>
    <row r="660" spans="18:30" x14ac:dyDescent="0.25">
      <c r="R660" s="32"/>
      <c r="S660" s="32"/>
      <c r="T660" s="32"/>
      <c r="U660" s="32"/>
      <c r="V660" s="32"/>
      <c r="W660" s="32"/>
      <c r="X660" s="32"/>
      <c r="Y660" s="32"/>
      <c r="Z660" s="32"/>
      <c r="AA660" s="32"/>
      <c r="AB660" s="32"/>
      <c r="AC660" s="32"/>
      <c r="AD660" s="221"/>
    </row>
    <row r="661" spans="18:30" x14ac:dyDescent="0.25">
      <c r="R661" s="32"/>
      <c r="S661" s="32"/>
      <c r="T661" s="32"/>
      <c r="U661" s="32"/>
      <c r="V661" s="32"/>
      <c r="W661" s="32"/>
      <c r="X661" s="32"/>
      <c r="Y661" s="32"/>
      <c r="Z661" s="32"/>
      <c r="AA661" s="32"/>
      <c r="AB661" s="32"/>
      <c r="AC661" s="32"/>
      <c r="AD661" s="221"/>
    </row>
    <row r="662" spans="18:30" x14ac:dyDescent="0.25">
      <c r="R662" s="32"/>
      <c r="S662" s="32"/>
      <c r="T662" s="32"/>
      <c r="U662" s="32"/>
      <c r="V662" s="32"/>
      <c r="W662" s="32"/>
      <c r="X662" s="32"/>
      <c r="Y662" s="32"/>
      <c r="Z662" s="32"/>
      <c r="AA662" s="32"/>
      <c r="AB662" s="32"/>
      <c r="AC662" s="32"/>
      <c r="AD662" s="221"/>
    </row>
    <row r="663" spans="18:30" x14ac:dyDescent="0.25">
      <c r="R663" s="32"/>
      <c r="S663" s="32"/>
      <c r="T663" s="32"/>
      <c r="U663" s="32"/>
      <c r="V663" s="32"/>
      <c r="W663" s="32"/>
      <c r="X663" s="32"/>
      <c r="Y663" s="32"/>
      <c r="Z663" s="32"/>
      <c r="AA663" s="32"/>
      <c r="AB663" s="32"/>
      <c r="AC663" s="32"/>
      <c r="AD663" s="221"/>
    </row>
    <row r="664" spans="18:30" x14ac:dyDescent="0.25">
      <c r="R664" s="32"/>
      <c r="S664" s="32"/>
      <c r="T664" s="32"/>
      <c r="U664" s="32"/>
      <c r="V664" s="32"/>
      <c r="W664" s="32"/>
      <c r="X664" s="32"/>
      <c r="Y664" s="32"/>
      <c r="Z664" s="32"/>
      <c r="AA664" s="32"/>
      <c r="AB664" s="32"/>
      <c r="AC664" s="32"/>
      <c r="AD664" s="221"/>
    </row>
    <row r="665" spans="18:30" x14ac:dyDescent="0.25">
      <c r="R665" s="32"/>
      <c r="S665" s="32"/>
      <c r="T665" s="32"/>
      <c r="U665" s="32"/>
      <c r="V665" s="32"/>
      <c r="W665" s="32"/>
      <c r="X665" s="32"/>
      <c r="Y665" s="32"/>
      <c r="Z665" s="32"/>
      <c r="AA665" s="32"/>
      <c r="AB665" s="32"/>
      <c r="AC665" s="32"/>
      <c r="AD665" s="221"/>
    </row>
    <row r="666" spans="18:30" x14ac:dyDescent="0.25">
      <c r="R666" s="32"/>
      <c r="S666" s="32"/>
      <c r="T666" s="32"/>
      <c r="U666" s="32"/>
      <c r="V666" s="32"/>
      <c r="W666" s="32"/>
      <c r="X666" s="32"/>
      <c r="Y666" s="32"/>
      <c r="Z666" s="32"/>
      <c r="AA666" s="32"/>
      <c r="AB666" s="32"/>
      <c r="AC666" s="32"/>
      <c r="AD666" s="221"/>
    </row>
    <row r="667" spans="18:30" x14ac:dyDescent="0.25">
      <c r="R667" s="32"/>
      <c r="S667" s="32"/>
      <c r="T667" s="32"/>
      <c r="U667" s="32"/>
      <c r="V667" s="32"/>
      <c r="W667" s="32"/>
      <c r="X667" s="32"/>
      <c r="Y667" s="32"/>
      <c r="Z667" s="32"/>
      <c r="AA667" s="32"/>
      <c r="AB667" s="32"/>
      <c r="AC667" s="32"/>
      <c r="AD667" s="221"/>
    </row>
    <row r="668" spans="18:30" x14ac:dyDescent="0.25">
      <c r="R668" s="32"/>
      <c r="S668" s="32"/>
      <c r="T668" s="32"/>
      <c r="U668" s="32"/>
      <c r="V668" s="32"/>
      <c r="W668" s="32"/>
      <c r="X668" s="32"/>
      <c r="Y668" s="32"/>
      <c r="Z668" s="32"/>
      <c r="AA668" s="32"/>
      <c r="AB668" s="32"/>
      <c r="AC668" s="32"/>
      <c r="AD668" s="221"/>
    </row>
    <row r="669" spans="18:30" x14ac:dyDescent="0.25">
      <c r="R669" s="32"/>
      <c r="S669" s="32"/>
      <c r="T669" s="32"/>
      <c r="U669" s="32"/>
      <c r="V669" s="32"/>
      <c r="W669" s="32"/>
      <c r="X669" s="32"/>
      <c r="Y669" s="32"/>
      <c r="Z669" s="32"/>
      <c r="AA669" s="32"/>
      <c r="AB669" s="32"/>
      <c r="AC669" s="32"/>
      <c r="AD669" s="221"/>
    </row>
    <row r="670" spans="18:30" x14ac:dyDescent="0.25">
      <c r="R670" s="32"/>
      <c r="S670" s="32"/>
      <c r="T670" s="32"/>
      <c r="U670" s="32"/>
      <c r="V670" s="32"/>
      <c r="W670" s="32"/>
      <c r="X670" s="32"/>
      <c r="Y670" s="32"/>
      <c r="Z670" s="32"/>
      <c r="AA670" s="32"/>
      <c r="AB670" s="32"/>
      <c r="AC670" s="32"/>
      <c r="AD670" s="221"/>
    </row>
    <row r="671" spans="18:30" x14ac:dyDescent="0.25">
      <c r="R671" s="32"/>
      <c r="S671" s="32"/>
      <c r="T671" s="32"/>
      <c r="U671" s="32"/>
      <c r="V671" s="32"/>
      <c r="W671" s="32"/>
      <c r="X671" s="32"/>
      <c r="Y671" s="32"/>
      <c r="Z671" s="32"/>
      <c r="AA671" s="32"/>
      <c r="AB671" s="32"/>
      <c r="AC671" s="32"/>
      <c r="AD671" s="221"/>
    </row>
    <row r="672" spans="18:30" x14ac:dyDescent="0.25">
      <c r="R672" s="32"/>
      <c r="S672" s="32"/>
      <c r="T672" s="32"/>
      <c r="U672" s="32"/>
      <c r="V672" s="32"/>
      <c r="W672" s="32"/>
      <c r="X672" s="32"/>
      <c r="Y672" s="32"/>
      <c r="Z672" s="32"/>
      <c r="AA672" s="32"/>
      <c r="AB672" s="32"/>
      <c r="AC672" s="32"/>
      <c r="AD672" s="221"/>
    </row>
    <row r="673" spans="18:30" x14ac:dyDescent="0.25">
      <c r="R673" s="32"/>
      <c r="S673" s="32"/>
      <c r="T673" s="32"/>
      <c r="U673" s="32"/>
      <c r="V673" s="32"/>
      <c r="W673" s="32"/>
      <c r="X673" s="32"/>
      <c r="Y673" s="32"/>
      <c r="Z673" s="32"/>
      <c r="AA673" s="32"/>
      <c r="AB673" s="32"/>
      <c r="AC673" s="32"/>
      <c r="AD673" s="221"/>
    </row>
    <row r="674" spans="18:30" x14ac:dyDescent="0.25">
      <c r="R674" s="32"/>
      <c r="S674" s="32"/>
      <c r="T674" s="32"/>
      <c r="U674" s="32"/>
      <c r="V674" s="32"/>
      <c r="W674" s="32"/>
      <c r="X674" s="32"/>
      <c r="Y674" s="32"/>
      <c r="Z674" s="32"/>
      <c r="AA674" s="32"/>
      <c r="AB674" s="32"/>
      <c r="AC674" s="32"/>
      <c r="AD674" s="221"/>
    </row>
    <row r="675" spans="18:30" x14ac:dyDescent="0.25">
      <c r="R675" s="32"/>
      <c r="S675" s="32"/>
      <c r="T675" s="32"/>
      <c r="U675" s="32"/>
      <c r="V675" s="32"/>
      <c r="W675" s="32"/>
      <c r="X675" s="32"/>
      <c r="Y675" s="32"/>
      <c r="Z675" s="32"/>
      <c r="AA675" s="32"/>
      <c r="AB675" s="32"/>
      <c r="AC675" s="32"/>
      <c r="AD675" s="221"/>
    </row>
    <row r="676" spans="18:30" x14ac:dyDescent="0.25">
      <c r="R676" s="32"/>
      <c r="S676" s="32"/>
      <c r="T676" s="32"/>
      <c r="U676" s="32"/>
      <c r="V676" s="32"/>
      <c r="W676" s="32"/>
      <c r="X676" s="32"/>
      <c r="Y676" s="32"/>
      <c r="Z676" s="32"/>
      <c r="AA676" s="32"/>
      <c r="AB676" s="32"/>
      <c r="AC676" s="32"/>
      <c r="AD676" s="221"/>
    </row>
    <row r="677" spans="18:30" x14ac:dyDescent="0.25">
      <c r="R677" s="32"/>
      <c r="S677" s="32"/>
      <c r="T677" s="32"/>
      <c r="U677" s="32"/>
      <c r="V677" s="32"/>
      <c r="W677" s="32"/>
      <c r="X677" s="32"/>
      <c r="Y677" s="32"/>
      <c r="Z677" s="32"/>
      <c r="AA677" s="32"/>
      <c r="AB677" s="32"/>
      <c r="AC677" s="32"/>
      <c r="AD677" s="221"/>
    </row>
    <row r="678" spans="18:30" x14ac:dyDescent="0.25">
      <c r="R678" s="32"/>
      <c r="S678" s="32"/>
      <c r="T678" s="32"/>
      <c r="U678" s="32"/>
      <c r="V678" s="32"/>
      <c r="W678" s="32"/>
      <c r="X678" s="32"/>
      <c r="Y678" s="32"/>
      <c r="Z678" s="32"/>
      <c r="AA678" s="32"/>
      <c r="AB678" s="32"/>
      <c r="AC678" s="32"/>
      <c r="AD678" s="221"/>
    </row>
    <row r="679" spans="18:30" x14ac:dyDescent="0.25">
      <c r="R679" s="32"/>
      <c r="S679" s="32"/>
      <c r="T679" s="32"/>
      <c r="U679" s="32"/>
      <c r="V679" s="32"/>
      <c r="W679" s="32"/>
      <c r="X679" s="32"/>
      <c r="Y679" s="32"/>
      <c r="Z679" s="32"/>
      <c r="AA679" s="32"/>
      <c r="AB679" s="32"/>
      <c r="AC679" s="32"/>
      <c r="AD679" s="221"/>
    </row>
    <row r="680" spans="18:30" x14ac:dyDescent="0.25">
      <c r="R680" s="32"/>
      <c r="S680" s="32"/>
      <c r="T680" s="32"/>
      <c r="U680" s="32"/>
      <c r="V680" s="32"/>
      <c r="W680" s="32"/>
      <c r="X680" s="32"/>
      <c r="Y680" s="32"/>
      <c r="Z680" s="32"/>
      <c r="AA680" s="32"/>
      <c r="AB680" s="32"/>
      <c r="AC680" s="32"/>
      <c r="AD680" s="221"/>
    </row>
    <row r="681" spans="18:30" x14ac:dyDescent="0.25">
      <c r="R681" s="32"/>
      <c r="S681" s="32"/>
      <c r="T681" s="32"/>
      <c r="U681" s="32"/>
      <c r="V681" s="32"/>
      <c r="W681" s="32"/>
      <c r="X681" s="32"/>
      <c r="Y681" s="32"/>
      <c r="Z681" s="32"/>
      <c r="AA681" s="32"/>
      <c r="AB681" s="32"/>
      <c r="AC681" s="32"/>
      <c r="AD681" s="221"/>
    </row>
    <row r="682" spans="18:30" x14ac:dyDescent="0.25">
      <c r="R682" s="32"/>
      <c r="S682" s="32"/>
      <c r="T682" s="32"/>
      <c r="U682" s="32"/>
      <c r="V682" s="32"/>
      <c r="W682" s="32"/>
      <c r="X682" s="32"/>
      <c r="Y682" s="32"/>
      <c r="Z682" s="32"/>
      <c r="AA682" s="32"/>
      <c r="AB682" s="32"/>
      <c r="AC682" s="32"/>
      <c r="AD682" s="221"/>
    </row>
    <row r="683" spans="18:30" x14ac:dyDescent="0.25">
      <c r="R683" s="32"/>
      <c r="S683" s="32"/>
      <c r="T683" s="32"/>
      <c r="U683" s="32"/>
      <c r="V683" s="32"/>
      <c r="W683" s="32"/>
      <c r="X683" s="32"/>
      <c r="Y683" s="32"/>
      <c r="Z683" s="32"/>
      <c r="AA683" s="32"/>
      <c r="AB683" s="32"/>
      <c r="AC683" s="32"/>
      <c r="AD683" s="221"/>
    </row>
    <row r="684" spans="18:30" x14ac:dyDescent="0.25">
      <c r="R684" s="32"/>
      <c r="S684" s="32"/>
      <c r="T684" s="32"/>
      <c r="U684" s="32"/>
      <c r="V684" s="32"/>
      <c r="W684" s="32"/>
      <c r="X684" s="32"/>
      <c r="Y684" s="32"/>
      <c r="Z684" s="32"/>
      <c r="AA684" s="32"/>
      <c r="AB684" s="32"/>
      <c r="AC684" s="32"/>
      <c r="AD684" s="221"/>
    </row>
    <row r="685" spans="18:30" x14ac:dyDescent="0.25">
      <c r="R685" s="32"/>
      <c r="S685" s="32"/>
      <c r="T685" s="32"/>
      <c r="U685" s="32"/>
      <c r="V685" s="32"/>
      <c r="W685" s="32"/>
      <c r="X685" s="32"/>
      <c r="Y685" s="32"/>
      <c r="Z685" s="32"/>
      <c r="AA685" s="32"/>
      <c r="AB685" s="32"/>
      <c r="AC685" s="32"/>
      <c r="AD685" s="221"/>
    </row>
    <row r="686" spans="18:30" x14ac:dyDescent="0.25">
      <c r="R686" s="32"/>
      <c r="S686" s="32"/>
      <c r="T686" s="32"/>
      <c r="U686" s="32"/>
      <c r="V686" s="32"/>
      <c r="W686" s="32"/>
      <c r="X686" s="32"/>
      <c r="Y686" s="32"/>
      <c r="Z686" s="32"/>
      <c r="AA686" s="32"/>
      <c r="AB686" s="32"/>
      <c r="AC686" s="32"/>
      <c r="AD686" s="221"/>
    </row>
    <row r="687" spans="18:30" x14ac:dyDescent="0.25">
      <c r="R687" s="32"/>
      <c r="S687" s="32"/>
      <c r="T687" s="32"/>
      <c r="U687" s="32"/>
      <c r="V687" s="32"/>
      <c r="W687" s="32"/>
      <c r="X687" s="32"/>
      <c r="Y687" s="32"/>
      <c r="Z687" s="32"/>
      <c r="AA687" s="32"/>
      <c r="AB687" s="32"/>
      <c r="AC687" s="32"/>
      <c r="AD687" s="221"/>
    </row>
    <row r="688" spans="18:30" x14ac:dyDescent="0.25">
      <c r="R688" s="32"/>
      <c r="S688" s="32"/>
      <c r="T688" s="32"/>
      <c r="U688" s="32"/>
      <c r="V688" s="32"/>
      <c r="W688" s="32"/>
      <c r="X688" s="32"/>
      <c r="Y688" s="32"/>
      <c r="Z688" s="32"/>
      <c r="AA688" s="32"/>
      <c r="AB688" s="32"/>
      <c r="AC688" s="32"/>
      <c r="AD688" s="221"/>
    </row>
    <row r="689" spans="18:30" x14ac:dyDescent="0.25">
      <c r="R689" s="32"/>
      <c r="S689" s="32"/>
      <c r="T689" s="32"/>
      <c r="U689" s="32"/>
      <c r="V689" s="32"/>
      <c r="W689" s="32"/>
      <c r="X689" s="32"/>
      <c r="Y689" s="32"/>
      <c r="Z689" s="32"/>
      <c r="AA689" s="32"/>
      <c r="AB689" s="32"/>
      <c r="AC689" s="32"/>
      <c r="AD689" s="221"/>
    </row>
    <row r="690" spans="18:30" x14ac:dyDescent="0.25">
      <c r="R690" s="32"/>
      <c r="S690" s="32"/>
      <c r="T690" s="32"/>
      <c r="U690" s="32"/>
      <c r="V690" s="32"/>
      <c r="W690" s="32"/>
      <c r="X690" s="32"/>
      <c r="Y690" s="32"/>
      <c r="Z690" s="32"/>
      <c r="AA690" s="32"/>
      <c r="AB690" s="32"/>
      <c r="AC690" s="32"/>
      <c r="AD690" s="221"/>
    </row>
    <row r="691" spans="18:30" x14ac:dyDescent="0.25">
      <c r="R691" s="32"/>
      <c r="S691" s="32"/>
      <c r="T691" s="32"/>
      <c r="U691" s="32"/>
      <c r="V691" s="32"/>
      <c r="W691" s="32"/>
      <c r="X691" s="32"/>
      <c r="Y691" s="32"/>
      <c r="Z691" s="32"/>
      <c r="AA691" s="32"/>
      <c r="AB691" s="32"/>
      <c r="AC691" s="32"/>
      <c r="AD691" s="221"/>
    </row>
    <row r="692" spans="18:30" x14ac:dyDescent="0.25">
      <c r="R692" s="32"/>
      <c r="S692" s="32"/>
      <c r="T692" s="32"/>
      <c r="U692" s="32"/>
      <c r="V692" s="32"/>
      <c r="W692" s="32"/>
      <c r="X692" s="32"/>
      <c r="Y692" s="32"/>
      <c r="Z692" s="32"/>
      <c r="AA692" s="32"/>
      <c r="AB692" s="32"/>
      <c r="AC692" s="32"/>
      <c r="AD692" s="221"/>
    </row>
    <row r="693" spans="18:30" x14ac:dyDescent="0.25">
      <c r="R693" s="32"/>
      <c r="S693" s="32"/>
      <c r="T693" s="32"/>
      <c r="U693" s="32"/>
      <c r="V693" s="32"/>
      <c r="W693" s="32"/>
      <c r="X693" s="32"/>
      <c r="Y693" s="32"/>
      <c r="Z693" s="32"/>
      <c r="AA693" s="32"/>
      <c r="AB693" s="32"/>
      <c r="AC693" s="32"/>
      <c r="AD693" s="221"/>
    </row>
    <row r="694" spans="18:30" x14ac:dyDescent="0.25">
      <c r="R694" s="32"/>
      <c r="S694" s="32"/>
      <c r="T694" s="32"/>
      <c r="U694" s="32"/>
      <c r="V694" s="32"/>
      <c r="W694" s="32"/>
      <c r="X694" s="32"/>
      <c r="Y694" s="32"/>
      <c r="Z694" s="32"/>
      <c r="AA694" s="32"/>
      <c r="AB694" s="32"/>
      <c r="AC694" s="32"/>
      <c r="AD694" s="221"/>
    </row>
    <row r="695" spans="18:30" x14ac:dyDescent="0.25">
      <c r="R695" s="32"/>
      <c r="S695" s="32"/>
      <c r="T695" s="32"/>
      <c r="U695" s="32"/>
      <c r="V695" s="32"/>
      <c r="W695" s="32"/>
      <c r="X695" s="32"/>
      <c r="Y695" s="32"/>
      <c r="Z695" s="32"/>
      <c r="AA695" s="32"/>
      <c r="AB695" s="32"/>
      <c r="AC695" s="32"/>
      <c r="AD695" s="221"/>
    </row>
    <row r="696" spans="18:30" x14ac:dyDescent="0.25">
      <c r="R696" s="32"/>
      <c r="S696" s="32"/>
      <c r="T696" s="32"/>
      <c r="U696" s="32"/>
      <c r="V696" s="32"/>
      <c r="W696" s="32"/>
      <c r="X696" s="32"/>
      <c r="Y696" s="32"/>
      <c r="Z696" s="32"/>
      <c r="AA696" s="32"/>
      <c r="AB696" s="32"/>
      <c r="AC696" s="32"/>
      <c r="AD696" s="221"/>
    </row>
    <row r="697" spans="18:30" x14ac:dyDescent="0.25">
      <c r="R697" s="32"/>
      <c r="S697" s="32"/>
      <c r="T697" s="32"/>
      <c r="U697" s="32"/>
      <c r="V697" s="32"/>
      <c r="W697" s="32"/>
      <c r="X697" s="32"/>
      <c r="Y697" s="32"/>
      <c r="Z697" s="32"/>
      <c r="AA697" s="32"/>
      <c r="AB697" s="32"/>
      <c r="AC697" s="32"/>
      <c r="AD697" s="221"/>
    </row>
    <row r="698" spans="18:30" x14ac:dyDescent="0.25">
      <c r="R698" s="32"/>
      <c r="S698" s="32"/>
      <c r="T698" s="32"/>
      <c r="U698" s="32"/>
      <c r="V698" s="32"/>
      <c r="W698" s="32"/>
      <c r="X698" s="32"/>
      <c r="Y698" s="32"/>
      <c r="Z698" s="32"/>
      <c r="AA698" s="32"/>
      <c r="AB698" s="32"/>
      <c r="AC698" s="32"/>
      <c r="AD698" s="221"/>
    </row>
    <row r="699" spans="18:30" x14ac:dyDescent="0.25">
      <c r="R699" s="32"/>
      <c r="S699" s="32"/>
      <c r="T699" s="32"/>
      <c r="U699" s="32"/>
      <c r="V699" s="32"/>
      <c r="W699" s="32"/>
      <c r="X699" s="32"/>
      <c r="Y699" s="32"/>
      <c r="Z699" s="32"/>
      <c r="AA699" s="32"/>
      <c r="AB699" s="32"/>
      <c r="AC699" s="32"/>
      <c r="AD699" s="221"/>
    </row>
    <row r="700" spans="18:30" x14ac:dyDescent="0.25">
      <c r="R700" s="32"/>
      <c r="S700" s="32"/>
      <c r="T700" s="32"/>
      <c r="U700" s="32"/>
      <c r="V700" s="32"/>
      <c r="W700" s="32"/>
      <c r="X700" s="32"/>
      <c r="Y700" s="32"/>
      <c r="Z700" s="32"/>
      <c r="AA700" s="32"/>
      <c r="AB700" s="32"/>
      <c r="AC700" s="32"/>
      <c r="AD700" s="221"/>
    </row>
    <row r="701" spans="18:30" x14ac:dyDescent="0.25">
      <c r="R701" s="32"/>
      <c r="S701" s="32"/>
      <c r="T701" s="32"/>
      <c r="U701" s="32"/>
      <c r="V701" s="32"/>
      <c r="W701" s="32"/>
      <c r="X701" s="32"/>
      <c r="Y701" s="32"/>
      <c r="Z701" s="32"/>
      <c r="AA701" s="32"/>
      <c r="AB701" s="32"/>
      <c r="AC701" s="32"/>
      <c r="AD701" s="221"/>
    </row>
    <row r="702" spans="18:30" x14ac:dyDescent="0.25">
      <c r="R702" s="32"/>
      <c r="S702" s="32"/>
      <c r="T702" s="32"/>
      <c r="U702" s="32"/>
      <c r="V702" s="32"/>
      <c r="W702" s="32"/>
      <c r="X702" s="32"/>
      <c r="Y702" s="32"/>
      <c r="Z702" s="32"/>
      <c r="AA702" s="32"/>
      <c r="AB702" s="32"/>
      <c r="AC702" s="32"/>
      <c r="AD702" s="221"/>
    </row>
    <row r="703" spans="18:30" x14ac:dyDescent="0.25">
      <c r="R703" s="32"/>
      <c r="S703" s="32"/>
      <c r="T703" s="32"/>
      <c r="U703" s="32"/>
      <c r="V703" s="32"/>
      <c r="W703" s="32"/>
      <c r="X703" s="32"/>
      <c r="Y703" s="32"/>
      <c r="Z703" s="32"/>
      <c r="AA703" s="32"/>
      <c r="AB703" s="32"/>
      <c r="AC703" s="32"/>
      <c r="AD703" s="221"/>
    </row>
    <row r="704" spans="18:30" x14ac:dyDescent="0.25">
      <c r="R704" s="32"/>
      <c r="S704" s="32"/>
      <c r="T704" s="32"/>
      <c r="U704" s="32"/>
      <c r="V704" s="32"/>
      <c r="W704" s="32"/>
      <c r="X704" s="32"/>
      <c r="Y704" s="32"/>
      <c r="Z704" s="32"/>
      <c r="AA704" s="32"/>
      <c r="AB704" s="32"/>
      <c r="AC704" s="32"/>
      <c r="AD704" s="221"/>
    </row>
    <row r="705" spans="18:30" x14ac:dyDescent="0.25">
      <c r="R705" s="32"/>
      <c r="S705" s="32"/>
      <c r="T705" s="32"/>
      <c r="U705" s="32"/>
      <c r="V705" s="32"/>
      <c r="W705" s="32"/>
      <c r="X705" s="32"/>
      <c r="Y705" s="32"/>
      <c r="Z705" s="32"/>
      <c r="AA705" s="32"/>
      <c r="AB705" s="32"/>
      <c r="AC705" s="32"/>
      <c r="AD705" s="221"/>
    </row>
    <row r="706" spans="18:30" x14ac:dyDescent="0.25">
      <c r="R706" s="32"/>
      <c r="S706" s="32"/>
      <c r="T706" s="32"/>
      <c r="U706" s="32"/>
      <c r="V706" s="32"/>
      <c r="W706" s="32"/>
      <c r="X706" s="32"/>
      <c r="Y706" s="32"/>
      <c r="Z706" s="32"/>
      <c r="AA706" s="32"/>
      <c r="AB706" s="32"/>
      <c r="AC706" s="32"/>
      <c r="AD706" s="221"/>
    </row>
    <row r="707" spans="18:30" x14ac:dyDescent="0.25">
      <c r="R707" s="32"/>
      <c r="S707" s="32"/>
      <c r="T707" s="32"/>
      <c r="U707" s="32"/>
      <c r="V707" s="32"/>
      <c r="W707" s="32"/>
      <c r="X707" s="32"/>
      <c r="Y707" s="32"/>
      <c r="Z707" s="32"/>
      <c r="AA707" s="32"/>
      <c r="AB707" s="32"/>
      <c r="AC707" s="32"/>
      <c r="AD707" s="221"/>
    </row>
    <row r="708" spans="18:30" x14ac:dyDescent="0.25">
      <c r="R708" s="32"/>
      <c r="S708" s="32"/>
      <c r="T708" s="32"/>
      <c r="U708" s="32"/>
      <c r="V708" s="32"/>
      <c r="W708" s="32"/>
      <c r="X708" s="32"/>
      <c r="Y708" s="32"/>
      <c r="Z708" s="32"/>
      <c r="AA708" s="32"/>
      <c r="AB708" s="32"/>
      <c r="AC708" s="32"/>
      <c r="AD708" s="221"/>
    </row>
    <row r="709" spans="18:30" x14ac:dyDescent="0.25">
      <c r="R709" s="32"/>
      <c r="S709" s="32"/>
      <c r="T709" s="32"/>
      <c r="U709" s="32"/>
      <c r="V709" s="32"/>
      <c r="W709" s="32"/>
      <c r="X709" s="32"/>
      <c r="Y709" s="32"/>
      <c r="Z709" s="32"/>
      <c r="AA709" s="32"/>
      <c r="AB709" s="32"/>
      <c r="AC709" s="32"/>
      <c r="AD709" s="221"/>
    </row>
    <row r="710" spans="18:30" x14ac:dyDescent="0.25">
      <c r="R710" s="32"/>
      <c r="S710" s="32"/>
      <c r="T710" s="32"/>
      <c r="U710" s="32"/>
      <c r="V710" s="32"/>
      <c r="W710" s="32"/>
      <c r="X710" s="32"/>
      <c r="Y710" s="32"/>
      <c r="Z710" s="32"/>
      <c r="AA710" s="32"/>
      <c r="AB710" s="32"/>
      <c r="AC710" s="32"/>
      <c r="AD710" s="221"/>
    </row>
    <row r="711" spans="18:30" x14ac:dyDescent="0.25">
      <c r="R711" s="32"/>
      <c r="S711" s="32"/>
      <c r="T711" s="32"/>
      <c r="U711" s="32"/>
      <c r="V711" s="32"/>
      <c r="W711" s="32"/>
      <c r="X711" s="32"/>
      <c r="Y711" s="32"/>
      <c r="Z711" s="32"/>
      <c r="AA711" s="32"/>
      <c r="AB711" s="32"/>
      <c r="AC711" s="32"/>
      <c r="AD711" s="221"/>
    </row>
    <row r="712" spans="18:30" x14ac:dyDescent="0.25">
      <c r="R712" s="32"/>
      <c r="S712" s="32"/>
      <c r="T712" s="32"/>
      <c r="U712" s="32"/>
      <c r="V712" s="32"/>
      <c r="W712" s="32"/>
      <c r="X712" s="32"/>
      <c r="Y712" s="32"/>
      <c r="Z712" s="32"/>
      <c r="AA712" s="32"/>
      <c r="AB712" s="32"/>
      <c r="AC712" s="32"/>
      <c r="AD712" s="221"/>
    </row>
    <row r="713" spans="18:30" x14ac:dyDescent="0.25">
      <c r="R713" s="32"/>
      <c r="S713" s="32"/>
      <c r="T713" s="32"/>
      <c r="U713" s="32"/>
      <c r="V713" s="32"/>
      <c r="W713" s="32"/>
      <c r="X713" s="32"/>
      <c r="Y713" s="32"/>
      <c r="Z713" s="32"/>
      <c r="AA713" s="32"/>
      <c r="AB713" s="32"/>
      <c r="AC713" s="32"/>
      <c r="AD713" s="221"/>
    </row>
    <row r="714" spans="18:30" x14ac:dyDescent="0.25">
      <c r="R714" s="32"/>
      <c r="S714" s="32"/>
      <c r="T714" s="32"/>
      <c r="U714" s="32"/>
      <c r="V714" s="32"/>
      <c r="W714" s="32"/>
      <c r="X714" s="32"/>
      <c r="Y714" s="32"/>
      <c r="Z714" s="32"/>
      <c r="AA714" s="32"/>
      <c r="AB714" s="32"/>
      <c r="AC714" s="32"/>
      <c r="AD714" s="221"/>
    </row>
    <row r="715" spans="18:30" x14ac:dyDescent="0.25">
      <c r="R715" s="32"/>
      <c r="S715" s="32"/>
      <c r="T715" s="32"/>
      <c r="U715" s="32"/>
      <c r="V715" s="32"/>
      <c r="W715" s="32"/>
      <c r="X715" s="32"/>
      <c r="Y715" s="32"/>
      <c r="Z715" s="32"/>
      <c r="AA715" s="32"/>
      <c r="AB715" s="32"/>
      <c r="AC715" s="32"/>
      <c r="AD715" s="221"/>
    </row>
    <row r="716" spans="18:30" x14ac:dyDescent="0.25">
      <c r="R716" s="32"/>
      <c r="S716" s="32"/>
      <c r="T716" s="32"/>
      <c r="U716" s="32"/>
      <c r="V716" s="32"/>
      <c r="W716" s="32"/>
      <c r="X716" s="32"/>
      <c r="Y716" s="32"/>
      <c r="Z716" s="32"/>
      <c r="AA716" s="32"/>
      <c r="AB716" s="32"/>
      <c r="AC716" s="32"/>
      <c r="AD716" s="221"/>
    </row>
    <row r="717" spans="18:30" x14ac:dyDescent="0.25">
      <c r="R717" s="32"/>
      <c r="S717" s="32"/>
      <c r="T717" s="32"/>
      <c r="U717" s="32"/>
      <c r="V717" s="32"/>
      <c r="W717" s="32"/>
      <c r="X717" s="32"/>
      <c r="Y717" s="32"/>
      <c r="Z717" s="32"/>
      <c r="AA717" s="32"/>
      <c r="AB717" s="32"/>
      <c r="AC717" s="32"/>
      <c r="AD717" s="221"/>
    </row>
    <row r="718" spans="18:30" x14ac:dyDescent="0.25">
      <c r="R718" s="32"/>
      <c r="S718" s="32"/>
      <c r="T718" s="32"/>
      <c r="U718" s="32"/>
      <c r="V718" s="32"/>
      <c r="W718" s="32"/>
      <c r="X718" s="32"/>
      <c r="Y718" s="32"/>
      <c r="Z718" s="32"/>
      <c r="AA718" s="32"/>
      <c r="AB718" s="32"/>
      <c r="AC718" s="32"/>
      <c r="AD718" s="221"/>
    </row>
    <row r="719" spans="18:30" x14ac:dyDescent="0.25">
      <c r="R719" s="32"/>
      <c r="S719" s="32"/>
      <c r="T719" s="32"/>
      <c r="U719" s="32"/>
      <c r="V719" s="32"/>
      <c r="W719" s="32"/>
      <c r="X719" s="32"/>
      <c r="Y719" s="32"/>
      <c r="Z719" s="32"/>
      <c r="AA719" s="32"/>
      <c r="AB719" s="32"/>
      <c r="AC719" s="32"/>
      <c r="AD719" s="221"/>
    </row>
    <row r="720" spans="18:30" x14ac:dyDescent="0.25">
      <c r="R720" s="32"/>
      <c r="S720" s="32"/>
      <c r="T720" s="32"/>
      <c r="U720" s="32"/>
      <c r="V720" s="32"/>
      <c r="W720" s="32"/>
      <c r="X720" s="32"/>
      <c r="Y720" s="32"/>
      <c r="Z720" s="32"/>
      <c r="AA720" s="32"/>
      <c r="AB720" s="32"/>
      <c r="AC720" s="32"/>
      <c r="AD720" s="221"/>
    </row>
    <row r="721" spans="18:30" x14ac:dyDescent="0.25">
      <c r="R721" s="32"/>
      <c r="S721" s="32"/>
      <c r="T721" s="32"/>
      <c r="U721" s="32"/>
      <c r="V721" s="32"/>
      <c r="W721" s="32"/>
      <c r="X721" s="32"/>
      <c r="Y721" s="32"/>
      <c r="Z721" s="32"/>
      <c r="AA721" s="32"/>
      <c r="AB721" s="32"/>
      <c r="AC721" s="32"/>
      <c r="AD721" s="221"/>
    </row>
    <row r="722" spans="18:30" x14ac:dyDescent="0.25">
      <c r="R722" s="32"/>
      <c r="S722" s="32"/>
      <c r="T722" s="32"/>
      <c r="U722" s="32"/>
      <c r="V722" s="32"/>
      <c r="W722" s="32"/>
      <c r="X722" s="32"/>
      <c r="Y722" s="32"/>
      <c r="Z722" s="32"/>
      <c r="AA722" s="32"/>
      <c r="AB722" s="32"/>
      <c r="AC722" s="32"/>
      <c r="AD722" s="221"/>
    </row>
    <row r="723" spans="18:30" x14ac:dyDescent="0.25">
      <c r="R723" s="32"/>
      <c r="S723" s="32"/>
      <c r="T723" s="32"/>
      <c r="U723" s="32"/>
      <c r="V723" s="32"/>
      <c r="W723" s="32"/>
      <c r="X723" s="32"/>
      <c r="Y723" s="32"/>
      <c r="Z723" s="32"/>
      <c r="AA723" s="32"/>
      <c r="AB723" s="32"/>
      <c r="AC723" s="32"/>
      <c r="AD723" s="221"/>
    </row>
    <row r="724" spans="18:30" x14ac:dyDescent="0.25">
      <c r="R724" s="32"/>
      <c r="S724" s="32"/>
      <c r="T724" s="32"/>
      <c r="U724" s="32"/>
      <c r="V724" s="32"/>
      <c r="W724" s="32"/>
      <c r="X724" s="32"/>
      <c r="Y724" s="32"/>
      <c r="Z724" s="32"/>
      <c r="AA724" s="32"/>
      <c r="AB724" s="32"/>
      <c r="AC724" s="32"/>
      <c r="AD724" s="221"/>
    </row>
    <row r="725" spans="18:30" x14ac:dyDescent="0.25">
      <c r="R725" s="32"/>
      <c r="S725" s="32"/>
      <c r="T725" s="32"/>
      <c r="U725" s="32"/>
      <c r="V725" s="32"/>
      <c r="W725" s="32"/>
      <c r="X725" s="32"/>
      <c r="Y725" s="32"/>
      <c r="Z725" s="32"/>
      <c r="AA725" s="32"/>
      <c r="AB725" s="32"/>
      <c r="AC725" s="32"/>
      <c r="AD725" s="221"/>
    </row>
    <row r="726" spans="18:30" x14ac:dyDescent="0.25">
      <c r="R726" s="32"/>
      <c r="S726" s="32"/>
      <c r="T726" s="32"/>
      <c r="U726" s="32"/>
      <c r="V726" s="32"/>
      <c r="W726" s="32"/>
      <c r="X726" s="32"/>
      <c r="Y726" s="32"/>
      <c r="Z726" s="32"/>
      <c r="AA726" s="32"/>
      <c r="AB726" s="32"/>
      <c r="AC726" s="32"/>
      <c r="AD726" s="221"/>
    </row>
    <row r="727" spans="18:30" x14ac:dyDescent="0.25">
      <c r="R727" s="32"/>
      <c r="S727" s="32"/>
      <c r="T727" s="32"/>
      <c r="U727" s="32"/>
      <c r="V727" s="32"/>
      <c r="W727" s="32"/>
      <c r="X727" s="32"/>
      <c r="Y727" s="32"/>
      <c r="Z727" s="32"/>
      <c r="AA727" s="32"/>
      <c r="AB727" s="32"/>
      <c r="AC727" s="32"/>
      <c r="AD727" s="221"/>
    </row>
    <row r="728" spans="18:30" x14ac:dyDescent="0.25">
      <c r="R728" s="32"/>
      <c r="S728" s="32"/>
      <c r="T728" s="32"/>
      <c r="U728" s="32"/>
      <c r="V728" s="32"/>
      <c r="W728" s="32"/>
      <c r="X728" s="32"/>
      <c r="Y728" s="32"/>
      <c r="Z728" s="32"/>
      <c r="AA728" s="32"/>
      <c r="AB728" s="32"/>
      <c r="AC728" s="32"/>
      <c r="AD728" s="221"/>
    </row>
    <row r="729" spans="18:30" x14ac:dyDescent="0.25">
      <c r="R729" s="32"/>
      <c r="S729" s="32"/>
      <c r="T729" s="32"/>
      <c r="U729" s="32"/>
      <c r="V729" s="32"/>
      <c r="W729" s="32"/>
      <c r="X729" s="32"/>
      <c r="Y729" s="32"/>
      <c r="Z729" s="32"/>
      <c r="AA729" s="32"/>
      <c r="AB729" s="32"/>
      <c r="AC729" s="32"/>
      <c r="AD729" s="221"/>
    </row>
    <row r="730" spans="18:30" x14ac:dyDescent="0.25">
      <c r="R730" s="32"/>
      <c r="S730" s="32"/>
      <c r="T730" s="32"/>
      <c r="U730" s="32"/>
      <c r="V730" s="32"/>
      <c r="W730" s="32"/>
      <c r="X730" s="32"/>
      <c r="Y730" s="32"/>
      <c r="Z730" s="32"/>
      <c r="AA730" s="32"/>
      <c r="AB730" s="32"/>
      <c r="AC730" s="32"/>
      <c r="AD730" s="221"/>
    </row>
    <row r="731" spans="18:30" x14ac:dyDescent="0.25">
      <c r="R731" s="32"/>
      <c r="S731" s="32"/>
      <c r="T731" s="32"/>
      <c r="U731" s="32"/>
      <c r="V731" s="32"/>
      <c r="W731" s="32"/>
      <c r="X731" s="32"/>
      <c r="Y731" s="32"/>
      <c r="Z731" s="32"/>
      <c r="AA731" s="32"/>
      <c r="AB731" s="32"/>
      <c r="AC731" s="32"/>
      <c r="AD731" s="221"/>
    </row>
    <row r="732" spans="18:30" x14ac:dyDescent="0.25">
      <c r="R732" s="32"/>
      <c r="S732" s="32"/>
      <c r="T732" s="32"/>
      <c r="U732" s="32"/>
      <c r="V732" s="32"/>
      <c r="W732" s="32"/>
      <c r="X732" s="32"/>
      <c r="Y732" s="32"/>
      <c r="Z732" s="32"/>
      <c r="AA732" s="32"/>
      <c r="AB732" s="32"/>
      <c r="AC732" s="32"/>
      <c r="AD732" s="221"/>
    </row>
    <row r="733" spans="18:30" x14ac:dyDescent="0.25">
      <c r="R733" s="32"/>
      <c r="S733" s="32"/>
      <c r="T733" s="32"/>
      <c r="U733" s="32"/>
      <c r="V733" s="32"/>
      <c r="W733" s="32"/>
      <c r="X733" s="32"/>
      <c r="Y733" s="32"/>
      <c r="Z733" s="32"/>
      <c r="AA733" s="32"/>
      <c r="AB733" s="32"/>
      <c r="AC733" s="32"/>
      <c r="AD733" s="221"/>
    </row>
    <row r="734" spans="18:30" x14ac:dyDescent="0.25">
      <c r="R734" s="32"/>
      <c r="S734" s="32"/>
      <c r="T734" s="32"/>
      <c r="U734" s="32"/>
      <c r="V734" s="32"/>
      <c r="W734" s="32"/>
      <c r="X734" s="32"/>
      <c r="Y734" s="32"/>
      <c r="Z734" s="32"/>
      <c r="AA734" s="32"/>
      <c r="AB734" s="32"/>
      <c r="AC734" s="32"/>
      <c r="AD734" s="221"/>
    </row>
    <row r="735" spans="18:30" x14ac:dyDescent="0.25">
      <c r="R735" s="32"/>
      <c r="S735" s="32"/>
      <c r="T735" s="32"/>
      <c r="U735" s="32"/>
      <c r="V735" s="32"/>
      <c r="W735" s="32"/>
      <c r="X735" s="32"/>
      <c r="Y735" s="32"/>
      <c r="Z735" s="32"/>
      <c r="AA735" s="32"/>
      <c r="AB735" s="32"/>
      <c r="AC735" s="32"/>
      <c r="AD735" s="221"/>
    </row>
    <row r="736" spans="18:30" x14ac:dyDescent="0.25">
      <c r="R736" s="32"/>
      <c r="S736" s="32"/>
      <c r="T736" s="32"/>
      <c r="U736" s="32"/>
      <c r="V736" s="32"/>
      <c r="W736" s="32"/>
      <c r="X736" s="32"/>
      <c r="Y736" s="32"/>
      <c r="Z736" s="32"/>
      <c r="AA736" s="32"/>
      <c r="AB736" s="32"/>
      <c r="AC736" s="32"/>
      <c r="AD736" s="221"/>
    </row>
    <row r="737" spans="18:30" x14ac:dyDescent="0.25">
      <c r="R737" s="32"/>
      <c r="S737" s="32"/>
      <c r="T737" s="32"/>
      <c r="U737" s="32"/>
      <c r="V737" s="32"/>
      <c r="W737" s="32"/>
      <c r="X737" s="32"/>
      <c r="Y737" s="32"/>
      <c r="Z737" s="32"/>
      <c r="AA737" s="32"/>
      <c r="AB737" s="32"/>
      <c r="AC737" s="32"/>
      <c r="AD737" s="221"/>
    </row>
    <row r="738" spans="18:30" x14ac:dyDescent="0.25">
      <c r="R738" s="32"/>
      <c r="S738" s="32"/>
      <c r="T738" s="32"/>
      <c r="U738" s="32"/>
      <c r="V738" s="32"/>
      <c r="W738" s="32"/>
      <c r="X738" s="32"/>
      <c r="Y738" s="32"/>
      <c r="Z738" s="32"/>
      <c r="AA738" s="32"/>
      <c r="AB738" s="32"/>
      <c r="AC738" s="32"/>
      <c r="AD738" s="221"/>
    </row>
    <row r="739" spans="18:30" x14ac:dyDescent="0.25">
      <c r="R739" s="32"/>
      <c r="S739" s="32"/>
      <c r="T739" s="32"/>
      <c r="U739" s="32"/>
      <c r="V739" s="32"/>
      <c r="W739" s="32"/>
      <c r="X739" s="32"/>
      <c r="Y739" s="32"/>
      <c r="Z739" s="32"/>
      <c r="AA739" s="32"/>
      <c r="AB739" s="32"/>
      <c r="AC739" s="32"/>
      <c r="AD739" s="221"/>
    </row>
    <row r="740" spans="18:30" x14ac:dyDescent="0.25">
      <c r="R740" s="32"/>
      <c r="S740" s="32"/>
      <c r="T740" s="32"/>
      <c r="U740" s="32"/>
      <c r="V740" s="32"/>
      <c r="W740" s="32"/>
      <c r="X740" s="32"/>
      <c r="Y740" s="32"/>
      <c r="Z740" s="32"/>
      <c r="AA740" s="32"/>
      <c r="AB740" s="32"/>
      <c r="AC740" s="32"/>
      <c r="AD740" s="221"/>
    </row>
    <row r="741" spans="18:30" x14ac:dyDescent="0.25">
      <c r="R741" s="32"/>
      <c r="S741" s="32"/>
      <c r="T741" s="32"/>
      <c r="U741" s="32"/>
      <c r="V741" s="32"/>
      <c r="W741" s="32"/>
      <c r="X741" s="32"/>
      <c r="Y741" s="32"/>
      <c r="Z741" s="32"/>
      <c r="AA741" s="32"/>
      <c r="AB741" s="32"/>
      <c r="AC741" s="32"/>
      <c r="AD741" s="221"/>
    </row>
    <row r="742" spans="18:30" x14ac:dyDescent="0.25">
      <c r="R742" s="32"/>
      <c r="S742" s="32"/>
      <c r="T742" s="32"/>
      <c r="U742" s="32"/>
      <c r="V742" s="32"/>
      <c r="W742" s="32"/>
      <c r="X742" s="32"/>
      <c r="Y742" s="32"/>
      <c r="Z742" s="32"/>
      <c r="AA742" s="32"/>
      <c r="AB742" s="32"/>
      <c r="AC742" s="32"/>
      <c r="AD742" s="221"/>
    </row>
    <row r="743" spans="18:30" x14ac:dyDescent="0.25">
      <c r="R743" s="32"/>
      <c r="S743" s="32"/>
      <c r="T743" s="32"/>
      <c r="U743" s="32"/>
      <c r="V743" s="32"/>
      <c r="W743" s="32"/>
      <c r="X743" s="32"/>
      <c r="Y743" s="32"/>
      <c r="Z743" s="32"/>
      <c r="AA743" s="32"/>
      <c r="AB743" s="32"/>
      <c r="AC743" s="32"/>
      <c r="AD743" s="221"/>
    </row>
    <row r="744" spans="18:30" x14ac:dyDescent="0.25">
      <c r="R744" s="32"/>
      <c r="S744" s="32"/>
      <c r="T744" s="32"/>
      <c r="U744" s="32"/>
      <c r="V744" s="32"/>
      <c r="W744" s="32"/>
      <c r="X744" s="32"/>
      <c r="Y744" s="32"/>
      <c r="Z744" s="32"/>
      <c r="AA744" s="32"/>
      <c r="AB744" s="32"/>
      <c r="AC744" s="32"/>
      <c r="AD744" s="221"/>
    </row>
    <row r="745" spans="18:30" x14ac:dyDescent="0.25">
      <c r="R745" s="32"/>
      <c r="S745" s="32"/>
      <c r="T745" s="32"/>
      <c r="U745" s="32"/>
      <c r="V745" s="32"/>
      <c r="W745" s="32"/>
      <c r="X745" s="32"/>
      <c r="Y745" s="32"/>
      <c r="Z745" s="32"/>
      <c r="AA745" s="32"/>
      <c r="AB745" s="32"/>
      <c r="AC745" s="32"/>
      <c r="AD745" s="221"/>
    </row>
    <row r="746" spans="18:30" x14ac:dyDescent="0.25">
      <c r="R746" s="32"/>
      <c r="S746" s="32"/>
      <c r="T746" s="32"/>
      <c r="U746" s="32"/>
      <c r="V746" s="32"/>
      <c r="W746" s="32"/>
      <c r="X746" s="32"/>
      <c r="Y746" s="32"/>
      <c r="Z746" s="32"/>
      <c r="AA746" s="32"/>
      <c r="AB746" s="32"/>
      <c r="AC746" s="32"/>
      <c r="AD746" s="221"/>
    </row>
    <row r="747" spans="18:30" x14ac:dyDescent="0.25">
      <c r="R747" s="32"/>
      <c r="S747" s="32"/>
      <c r="T747" s="32"/>
      <c r="U747" s="32"/>
      <c r="V747" s="32"/>
      <c r="W747" s="32"/>
      <c r="X747" s="32"/>
      <c r="Y747" s="32"/>
      <c r="Z747" s="32"/>
      <c r="AA747" s="32"/>
      <c r="AB747" s="32"/>
      <c r="AC747" s="32"/>
      <c r="AD747" s="221"/>
    </row>
    <row r="748" spans="18:30" x14ac:dyDescent="0.25">
      <c r="R748" s="32"/>
      <c r="S748" s="32"/>
      <c r="T748" s="32"/>
      <c r="U748" s="32"/>
      <c r="V748" s="32"/>
      <c r="W748" s="32"/>
      <c r="X748" s="32"/>
      <c r="Y748" s="32"/>
      <c r="Z748" s="32"/>
      <c r="AA748" s="32"/>
      <c r="AB748" s="32"/>
      <c r="AC748" s="32"/>
      <c r="AD748" s="221"/>
    </row>
    <row r="749" spans="18:30" x14ac:dyDescent="0.25">
      <c r="R749" s="32"/>
      <c r="S749" s="32"/>
      <c r="T749" s="32"/>
      <c r="U749" s="32"/>
      <c r="V749" s="32"/>
      <c r="W749" s="32"/>
      <c r="X749" s="32"/>
      <c r="Y749" s="32"/>
      <c r="Z749" s="32"/>
      <c r="AA749" s="32"/>
      <c r="AB749" s="32"/>
      <c r="AC749" s="32"/>
      <c r="AD749" s="221"/>
    </row>
    <row r="750" spans="18:30" x14ac:dyDescent="0.25">
      <c r="R750" s="32"/>
      <c r="S750" s="32"/>
      <c r="T750" s="32"/>
      <c r="U750" s="32"/>
      <c r="V750" s="32"/>
      <c r="W750" s="32"/>
      <c r="X750" s="32"/>
      <c r="Y750" s="32"/>
      <c r="Z750" s="32"/>
      <c r="AA750" s="32"/>
      <c r="AB750" s="32"/>
      <c r="AC750" s="32"/>
      <c r="AD750" s="221"/>
    </row>
    <row r="751" spans="18:30" x14ac:dyDescent="0.25">
      <c r="R751" s="32"/>
      <c r="S751" s="32"/>
      <c r="T751" s="32"/>
      <c r="U751" s="32"/>
      <c r="V751" s="32"/>
      <c r="W751" s="32"/>
      <c r="X751" s="32"/>
      <c r="Y751" s="32"/>
      <c r="Z751" s="32"/>
      <c r="AA751" s="32"/>
      <c r="AB751" s="32"/>
      <c r="AC751" s="32"/>
      <c r="AD751" s="221"/>
    </row>
    <row r="752" spans="18:30" x14ac:dyDescent="0.25">
      <c r="R752" s="32"/>
      <c r="S752" s="32"/>
      <c r="T752" s="32"/>
      <c r="U752" s="32"/>
      <c r="V752" s="32"/>
      <c r="W752" s="32"/>
      <c r="X752" s="32"/>
      <c r="Y752" s="32"/>
      <c r="Z752" s="32"/>
      <c r="AA752" s="32"/>
      <c r="AB752" s="32"/>
      <c r="AC752" s="32"/>
      <c r="AD752" s="221"/>
    </row>
    <row r="753" spans="18:30" x14ac:dyDescent="0.25">
      <c r="R753" s="32"/>
      <c r="S753" s="32"/>
      <c r="T753" s="32"/>
      <c r="U753" s="32"/>
      <c r="V753" s="32"/>
      <c r="W753" s="32"/>
      <c r="X753" s="32"/>
      <c r="Y753" s="32"/>
      <c r="Z753" s="32"/>
      <c r="AA753" s="32"/>
      <c r="AB753" s="32"/>
      <c r="AC753" s="32"/>
      <c r="AD753" s="221"/>
    </row>
    <row r="754" spans="18:30" x14ac:dyDescent="0.25">
      <c r="R754" s="32"/>
      <c r="S754" s="32"/>
      <c r="T754" s="32"/>
      <c r="U754" s="32"/>
      <c r="V754" s="32"/>
      <c r="W754" s="32"/>
      <c r="X754" s="32"/>
      <c r="Y754" s="32"/>
      <c r="Z754" s="32"/>
      <c r="AA754" s="32"/>
      <c r="AB754" s="32"/>
      <c r="AC754" s="32"/>
      <c r="AD754" s="221"/>
    </row>
    <row r="755" spans="18:30" x14ac:dyDescent="0.25">
      <c r="R755" s="32"/>
      <c r="S755" s="32"/>
      <c r="T755" s="32"/>
      <c r="U755" s="32"/>
      <c r="V755" s="32"/>
      <c r="W755" s="32"/>
      <c r="X755" s="32"/>
      <c r="Y755" s="32"/>
      <c r="Z755" s="32"/>
      <c r="AA755" s="32"/>
      <c r="AB755" s="32"/>
      <c r="AC755" s="32"/>
      <c r="AD755" s="221"/>
    </row>
    <row r="756" spans="18:30" x14ac:dyDescent="0.25">
      <c r="R756" s="32"/>
      <c r="S756" s="32"/>
      <c r="T756" s="32"/>
      <c r="U756" s="32"/>
      <c r="V756" s="32"/>
      <c r="W756" s="32"/>
      <c r="X756" s="32"/>
      <c r="Y756" s="32"/>
      <c r="Z756" s="32"/>
      <c r="AA756" s="32"/>
      <c r="AB756" s="32"/>
      <c r="AC756" s="32"/>
      <c r="AD756" s="221"/>
    </row>
    <row r="757" spans="18:30" x14ac:dyDescent="0.25">
      <c r="R757" s="32"/>
      <c r="S757" s="32"/>
      <c r="T757" s="32"/>
      <c r="U757" s="32"/>
      <c r="V757" s="32"/>
      <c r="W757" s="32"/>
      <c r="X757" s="32"/>
      <c r="Y757" s="32"/>
      <c r="Z757" s="32"/>
      <c r="AA757" s="32"/>
      <c r="AB757" s="32"/>
      <c r="AC757" s="32"/>
      <c r="AD757" s="221"/>
    </row>
    <row r="758" spans="18:30" x14ac:dyDescent="0.25">
      <c r="R758" s="32"/>
      <c r="S758" s="32"/>
      <c r="T758" s="32"/>
      <c r="U758" s="32"/>
      <c r="V758" s="32"/>
      <c r="W758" s="32"/>
      <c r="X758" s="32"/>
      <c r="Y758" s="32"/>
      <c r="Z758" s="32"/>
      <c r="AA758" s="32"/>
      <c r="AB758" s="32"/>
      <c r="AC758" s="32"/>
      <c r="AD758" s="221"/>
    </row>
    <row r="759" spans="18:30" x14ac:dyDescent="0.25">
      <c r="R759" s="32"/>
      <c r="S759" s="32"/>
      <c r="T759" s="32"/>
      <c r="U759" s="32"/>
      <c r="V759" s="32"/>
      <c r="W759" s="32"/>
      <c r="X759" s="32"/>
      <c r="Y759" s="32"/>
      <c r="Z759" s="32"/>
      <c r="AA759" s="32"/>
      <c r="AB759" s="32"/>
      <c r="AC759" s="32"/>
      <c r="AD759" s="221"/>
    </row>
    <row r="760" spans="18:30" x14ac:dyDescent="0.25">
      <c r="R760" s="32"/>
      <c r="S760" s="32"/>
      <c r="T760" s="32"/>
      <c r="U760" s="32"/>
      <c r="V760" s="32"/>
      <c r="W760" s="32"/>
      <c r="X760" s="32"/>
      <c r="Y760" s="32"/>
      <c r="Z760" s="32"/>
      <c r="AA760" s="32"/>
      <c r="AB760" s="32"/>
      <c r="AC760" s="32"/>
      <c r="AD760" s="221"/>
    </row>
    <row r="761" spans="18:30" x14ac:dyDescent="0.25">
      <c r="R761" s="32"/>
      <c r="S761" s="32"/>
      <c r="T761" s="32"/>
      <c r="U761" s="32"/>
      <c r="V761" s="32"/>
      <c r="W761" s="32"/>
      <c r="X761" s="32"/>
      <c r="Y761" s="32"/>
      <c r="Z761" s="32"/>
      <c r="AA761" s="32"/>
      <c r="AB761" s="32"/>
      <c r="AC761" s="32"/>
      <c r="AD761" s="221"/>
    </row>
    <row r="762" spans="18:30" x14ac:dyDescent="0.25">
      <c r="R762" s="32"/>
      <c r="S762" s="32"/>
      <c r="T762" s="32"/>
      <c r="U762" s="32"/>
      <c r="V762" s="32"/>
      <c r="W762" s="32"/>
      <c r="X762" s="32"/>
      <c r="Y762" s="32"/>
      <c r="Z762" s="32"/>
      <c r="AA762" s="32"/>
      <c r="AB762" s="32"/>
      <c r="AC762" s="32"/>
      <c r="AD762" s="221"/>
    </row>
    <row r="763" spans="18:30" x14ac:dyDescent="0.25">
      <c r="R763" s="32"/>
      <c r="S763" s="32"/>
      <c r="T763" s="32"/>
      <c r="U763" s="32"/>
      <c r="V763" s="32"/>
      <c r="W763" s="32"/>
      <c r="X763" s="32"/>
      <c r="Y763" s="32"/>
      <c r="Z763" s="32"/>
      <c r="AA763" s="32"/>
      <c r="AB763" s="32"/>
      <c r="AC763" s="32"/>
      <c r="AD763" s="221"/>
    </row>
    <row r="764" spans="18:30" x14ac:dyDescent="0.25">
      <c r="R764" s="32"/>
      <c r="S764" s="32"/>
      <c r="T764" s="32"/>
      <c r="U764" s="32"/>
      <c r="V764" s="32"/>
      <c r="W764" s="32"/>
      <c r="X764" s="32"/>
      <c r="Y764" s="32"/>
      <c r="Z764" s="32"/>
      <c r="AA764" s="32"/>
      <c r="AB764" s="32"/>
      <c r="AC764" s="32"/>
      <c r="AD764" s="221"/>
    </row>
    <row r="765" spans="18:30" x14ac:dyDescent="0.25">
      <c r="R765" s="32"/>
      <c r="S765" s="32"/>
      <c r="T765" s="32"/>
      <c r="U765" s="32"/>
      <c r="V765" s="32"/>
      <c r="W765" s="32"/>
      <c r="X765" s="32"/>
      <c r="Y765" s="32"/>
      <c r="Z765" s="32"/>
      <c r="AA765" s="32"/>
      <c r="AB765" s="32"/>
      <c r="AC765" s="32"/>
      <c r="AD765" s="221"/>
    </row>
    <row r="766" spans="18:30" x14ac:dyDescent="0.25">
      <c r="R766" s="32"/>
      <c r="S766" s="32"/>
      <c r="T766" s="32"/>
      <c r="U766" s="32"/>
      <c r="V766" s="32"/>
      <c r="W766" s="32"/>
      <c r="X766" s="32"/>
      <c r="Y766" s="32"/>
      <c r="Z766" s="32"/>
      <c r="AA766" s="32"/>
      <c r="AB766" s="32"/>
      <c r="AC766" s="32"/>
      <c r="AD766" s="221"/>
    </row>
    <row r="767" spans="18:30" x14ac:dyDescent="0.25">
      <c r="R767" s="32"/>
      <c r="S767" s="32"/>
      <c r="T767" s="32"/>
      <c r="U767" s="32"/>
      <c r="V767" s="32"/>
      <c r="W767" s="32"/>
      <c r="X767" s="32"/>
      <c r="Y767" s="32"/>
      <c r="Z767" s="32"/>
      <c r="AA767" s="32"/>
      <c r="AB767" s="32"/>
      <c r="AC767" s="32"/>
      <c r="AD767" s="221"/>
    </row>
    <row r="768" spans="18:30" x14ac:dyDescent="0.25">
      <c r="R768" s="32"/>
      <c r="S768" s="32"/>
      <c r="T768" s="32"/>
      <c r="U768" s="32"/>
      <c r="V768" s="32"/>
      <c r="W768" s="32"/>
      <c r="X768" s="32"/>
      <c r="Y768" s="32"/>
      <c r="Z768" s="32"/>
      <c r="AA768" s="32"/>
      <c r="AB768" s="32"/>
      <c r="AC768" s="32"/>
      <c r="AD768" s="221"/>
    </row>
    <row r="769" spans="18:30" x14ac:dyDescent="0.25">
      <c r="R769" s="32"/>
      <c r="S769" s="32"/>
      <c r="T769" s="32"/>
      <c r="U769" s="32"/>
      <c r="V769" s="32"/>
      <c r="W769" s="32"/>
      <c r="X769" s="32"/>
      <c r="Y769" s="32"/>
      <c r="Z769" s="32"/>
      <c r="AA769" s="32"/>
      <c r="AB769" s="32"/>
      <c r="AC769" s="32"/>
      <c r="AD769" s="221"/>
    </row>
    <row r="770" spans="18:30" x14ac:dyDescent="0.25">
      <c r="R770" s="32"/>
      <c r="S770" s="32"/>
      <c r="T770" s="32"/>
      <c r="U770" s="32"/>
      <c r="V770" s="32"/>
      <c r="W770" s="32"/>
      <c r="X770" s="32"/>
      <c r="Y770" s="32"/>
      <c r="Z770" s="32"/>
      <c r="AA770" s="32"/>
      <c r="AB770" s="32"/>
      <c r="AC770" s="32"/>
      <c r="AD770" s="221"/>
    </row>
    <row r="771" spans="18:30" x14ac:dyDescent="0.25">
      <c r="R771" s="32"/>
      <c r="S771" s="32"/>
      <c r="T771" s="32"/>
      <c r="U771" s="32"/>
      <c r="V771" s="32"/>
      <c r="W771" s="32"/>
      <c r="X771" s="32"/>
      <c r="Y771" s="32"/>
      <c r="Z771" s="32"/>
      <c r="AA771" s="32"/>
      <c r="AB771" s="32"/>
      <c r="AC771" s="32"/>
      <c r="AD771" s="221"/>
    </row>
    <row r="772" spans="18:30" x14ac:dyDescent="0.25">
      <c r="R772" s="32"/>
      <c r="S772" s="32"/>
      <c r="T772" s="32"/>
      <c r="U772" s="32"/>
      <c r="V772" s="32"/>
      <c r="W772" s="32"/>
      <c r="X772" s="32"/>
      <c r="Y772" s="32"/>
      <c r="Z772" s="32"/>
      <c r="AA772" s="32"/>
      <c r="AB772" s="32"/>
      <c r="AC772" s="32"/>
      <c r="AD772" s="221"/>
    </row>
    <row r="773" spans="18:30" x14ac:dyDescent="0.25">
      <c r="R773" s="32"/>
      <c r="S773" s="32"/>
      <c r="T773" s="32"/>
      <c r="U773" s="32"/>
      <c r="V773" s="32"/>
      <c r="W773" s="32"/>
      <c r="X773" s="32"/>
      <c r="Y773" s="32"/>
      <c r="Z773" s="32"/>
      <c r="AA773" s="32"/>
      <c r="AB773" s="32"/>
      <c r="AC773" s="32"/>
      <c r="AD773" s="221"/>
    </row>
    <row r="774" spans="18:30" x14ac:dyDescent="0.25">
      <c r="R774" s="32"/>
      <c r="S774" s="32"/>
      <c r="T774" s="32"/>
      <c r="U774" s="32"/>
      <c r="V774" s="32"/>
      <c r="W774" s="32"/>
      <c r="X774" s="32"/>
      <c r="Y774" s="32"/>
      <c r="Z774" s="32"/>
      <c r="AA774" s="32"/>
      <c r="AB774" s="32"/>
      <c r="AC774" s="32"/>
      <c r="AD774" s="221"/>
    </row>
    <row r="775" spans="18:30" x14ac:dyDescent="0.25">
      <c r="R775" s="32"/>
      <c r="S775" s="32"/>
      <c r="T775" s="32"/>
      <c r="U775" s="32"/>
      <c r="V775" s="32"/>
      <c r="W775" s="32"/>
      <c r="X775" s="32"/>
      <c r="Y775" s="32"/>
      <c r="Z775" s="32"/>
      <c r="AA775" s="32"/>
      <c r="AB775" s="32"/>
      <c r="AC775" s="32"/>
      <c r="AD775" s="221"/>
    </row>
    <row r="776" spans="18:30" x14ac:dyDescent="0.25">
      <c r="R776" s="32"/>
      <c r="S776" s="32"/>
      <c r="T776" s="32"/>
      <c r="U776" s="32"/>
      <c r="V776" s="32"/>
      <c r="W776" s="32"/>
      <c r="X776" s="32"/>
      <c r="Y776" s="32"/>
      <c r="Z776" s="32"/>
      <c r="AA776" s="32"/>
      <c r="AB776" s="32"/>
      <c r="AC776" s="32"/>
      <c r="AD776" s="221"/>
    </row>
    <row r="777" spans="18:30" x14ac:dyDescent="0.25">
      <c r="R777" s="32"/>
      <c r="S777" s="32"/>
      <c r="T777" s="32"/>
      <c r="U777" s="32"/>
      <c r="V777" s="32"/>
      <c r="W777" s="32"/>
      <c r="X777" s="32"/>
      <c r="Y777" s="32"/>
      <c r="Z777" s="32"/>
      <c r="AA777" s="32"/>
      <c r="AB777" s="32"/>
      <c r="AC777" s="32"/>
      <c r="AD777" s="221"/>
    </row>
    <row r="778" spans="18:30" x14ac:dyDescent="0.25">
      <c r="R778" s="32"/>
      <c r="S778" s="32"/>
      <c r="T778" s="32"/>
      <c r="U778" s="32"/>
      <c r="V778" s="32"/>
      <c r="W778" s="32"/>
      <c r="X778" s="32"/>
      <c r="Y778" s="32"/>
      <c r="Z778" s="32"/>
      <c r="AA778" s="32"/>
      <c r="AB778" s="32"/>
      <c r="AC778" s="32"/>
      <c r="AD778" s="221"/>
    </row>
    <row r="779" spans="18:30" x14ac:dyDescent="0.25">
      <c r="R779" s="32"/>
      <c r="S779" s="32"/>
      <c r="T779" s="32"/>
      <c r="U779" s="32"/>
      <c r="V779" s="32"/>
      <c r="W779" s="32"/>
      <c r="X779" s="32"/>
      <c r="Y779" s="32"/>
      <c r="Z779" s="32"/>
      <c r="AA779" s="32"/>
      <c r="AB779" s="32"/>
      <c r="AC779" s="32"/>
      <c r="AD779" s="221"/>
    </row>
    <row r="780" spans="18:30" x14ac:dyDescent="0.25">
      <c r="R780" s="32"/>
      <c r="S780" s="32"/>
      <c r="T780" s="32"/>
      <c r="U780" s="32"/>
      <c r="V780" s="32"/>
      <c r="W780" s="32"/>
      <c r="X780" s="32"/>
      <c r="Y780" s="32"/>
      <c r="Z780" s="32"/>
      <c r="AA780" s="32"/>
      <c r="AB780" s="32"/>
      <c r="AC780" s="32"/>
      <c r="AD780" s="221"/>
    </row>
    <row r="781" spans="18:30" x14ac:dyDescent="0.25">
      <c r="R781" s="32"/>
      <c r="S781" s="32"/>
      <c r="T781" s="32"/>
      <c r="U781" s="32"/>
      <c r="V781" s="32"/>
      <c r="W781" s="32"/>
      <c r="X781" s="32"/>
      <c r="Y781" s="32"/>
      <c r="Z781" s="32"/>
      <c r="AA781" s="32"/>
      <c r="AB781" s="32"/>
      <c r="AC781" s="32"/>
      <c r="AD781" s="221"/>
    </row>
    <row r="782" spans="18:30" x14ac:dyDescent="0.25">
      <c r="R782" s="32"/>
      <c r="S782" s="32"/>
      <c r="T782" s="32"/>
      <c r="U782" s="32"/>
      <c r="V782" s="32"/>
      <c r="W782" s="32"/>
      <c r="X782" s="32"/>
      <c r="Y782" s="32"/>
      <c r="Z782" s="32"/>
      <c r="AA782" s="32"/>
      <c r="AB782" s="32"/>
      <c r="AC782" s="32"/>
      <c r="AD782" s="221"/>
    </row>
    <row r="783" spans="18:30" x14ac:dyDescent="0.25">
      <c r="R783" s="32"/>
      <c r="S783" s="32"/>
      <c r="T783" s="32"/>
      <c r="U783" s="32"/>
      <c r="V783" s="32"/>
      <c r="W783" s="32"/>
      <c r="X783" s="32"/>
      <c r="Y783" s="32"/>
      <c r="Z783" s="32"/>
      <c r="AA783" s="32"/>
      <c r="AB783" s="32"/>
      <c r="AC783" s="32"/>
      <c r="AD783" s="221"/>
    </row>
    <row r="784" spans="18:30" x14ac:dyDescent="0.25">
      <c r="R784" s="32"/>
      <c r="S784" s="32"/>
      <c r="T784" s="32"/>
      <c r="U784" s="32"/>
      <c r="V784" s="32"/>
      <c r="W784" s="32"/>
      <c r="X784" s="32"/>
      <c r="Y784" s="32"/>
      <c r="Z784" s="32"/>
      <c r="AA784" s="32"/>
      <c r="AB784" s="32"/>
      <c r="AC784" s="32"/>
      <c r="AD784" s="221"/>
    </row>
    <row r="785" spans="18:30" x14ac:dyDescent="0.25">
      <c r="R785" s="32"/>
      <c r="S785" s="32"/>
      <c r="T785" s="32"/>
      <c r="U785" s="32"/>
      <c r="V785" s="32"/>
      <c r="W785" s="32"/>
      <c r="X785" s="32"/>
      <c r="Y785" s="32"/>
      <c r="Z785" s="32"/>
      <c r="AA785" s="32"/>
      <c r="AB785" s="32"/>
      <c r="AC785" s="32"/>
      <c r="AD785" s="221"/>
    </row>
    <row r="786" spans="18:30" x14ac:dyDescent="0.25">
      <c r="R786" s="32"/>
      <c r="S786" s="32"/>
      <c r="T786" s="32"/>
      <c r="U786" s="32"/>
      <c r="V786" s="32"/>
      <c r="W786" s="32"/>
      <c r="X786" s="32"/>
      <c r="Y786" s="32"/>
      <c r="Z786" s="32"/>
      <c r="AA786" s="32"/>
      <c r="AB786" s="32"/>
      <c r="AC786" s="32"/>
      <c r="AD786" s="221"/>
    </row>
    <row r="787" spans="18:30" x14ac:dyDescent="0.25">
      <c r="R787" s="32"/>
      <c r="S787" s="32"/>
      <c r="T787" s="32"/>
      <c r="U787" s="32"/>
      <c r="V787" s="32"/>
      <c r="W787" s="32"/>
      <c r="X787" s="32"/>
      <c r="Y787" s="32"/>
      <c r="Z787" s="32"/>
      <c r="AA787" s="32"/>
      <c r="AB787" s="32"/>
      <c r="AC787" s="32"/>
      <c r="AD787" s="221"/>
    </row>
    <row r="788" spans="18:30" x14ac:dyDescent="0.25">
      <c r="R788" s="32"/>
      <c r="S788" s="32"/>
      <c r="T788" s="32"/>
      <c r="U788" s="32"/>
      <c r="V788" s="32"/>
      <c r="W788" s="32"/>
      <c r="X788" s="32"/>
      <c r="Y788" s="32"/>
      <c r="Z788" s="32"/>
      <c r="AA788" s="32"/>
      <c r="AB788" s="32"/>
      <c r="AC788" s="32"/>
      <c r="AD788" s="221"/>
    </row>
    <row r="789" spans="18:30" x14ac:dyDescent="0.25">
      <c r="R789" s="32"/>
      <c r="S789" s="32"/>
      <c r="T789" s="32"/>
      <c r="U789" s="32"/>
      <c r="V789" s="32"/>
      <c r="W789" s="32"/>
      <c r="X789" s="32"/>
      <c r="Y789" s="32"/>
      <c r="Z789" s="32"/>
      <c r="AA789" s="32"/>
      <c r="AB789" s="32"/>
      <c r="AC789" s="32"/>
      <c r="AD789" s="221"/>
    </row>
    <row r="790" spans="18:30" x14ac:dyDescent="0.25">
      <c r="R790" s="32"/>
      <c r="S790" s="32"/>
      <c r="T790" s="32"/>
      <c r="U790" s="32"/>
      <c r="V790" s="32"/>
      <c r="W790" s="32"/>
      <c r="X790" s="32"/>
      <c r="Y790" s="32"/>
      <c r="Z790" s="32"/>
      <c r="AA790" s="32"/>
      <c r="AB790" s="32"/>
      <c r="AC790" s="32"/>
      <c r="AD790" s="221"/>
    </row>
    <row r="791" spans="18:30" x14ac:dyDescent="0.25">
      <c r="R791" s="32"/>
      <c r="S791" s="32"/>
      <c r="T791" s="32"/>
      <c r="U791" s="32"/>
      <c r="V791" s="32"/>
      <c r="W791" s="32"/>
      <c r="X791" s="32"/>
      <c r="Y791" s="32"/>
      <c r="Z791" s="32"/>
      <c r="AA791" s="32"/>
      <c r="AB791" s="32"/>
      <c r="AC791" s="32"/>
      <c r="AD791" s="221"/>
    </row>
    <row r="792" spans="18:30" x14ac:dyDescent="0.25">
      <c r="R792" s="32"/>
      <c r="S792" s="32"/>
      <c r="T792" s="32"/>
      <c r="U792" s="32"/>
      <c r="V792" s="32"/>
      <c r="W792" s="32"/>
      <c r="X792" s="32"/>
      <c r="Y792" s="32"/>
      <c r="Z792" s="32"/>
      <c r="AA792" s="32"/>
      <c r="AB792" s="32"/>
      <c r="AC792" s="32"/>
      <c r="AD792" s="221"/>
    </row>
    <row r="793" spans="18:30" x14ac:dyDescent="0.25">
      <c r="R793" s="32"/>
      <c r="S793" s="32"/>
      <c r="T793" s="32"/>
      <c r="U793" s="32"/>
      <c r="V793" s="32"/>
      <c r="W793" s="32"/>
      <c r="X793" s="32"/>
      <c r="Y793" s="32"/>
      <c r="Z793" s="32"/>
      <c r="AA793" s="32"/>
      <c r="AB793" s="32"/>
      <c r="AC793" s="32"/>
      <c r="AD793" s="221"/>
    </row>
    <row r="794" spans="18:30" x14ac:dyDescent="0.25">
      <c r="R794" s="32"/>
      <c r="S794" s="32"/>
      <c r="T794" s="32"/>
      <c r="U794" s="32"/>
      <c r="V794" s="32"/>
      <c r="W794" s="32"/>
      <c r="X794" s="32"/>
      <c r="Y794" s="32"/>
      <c r="Z794" s="32"/>
      <c r="AA794" s="32"/>
      <c r="AB794" s="32"/>
      <c r="AC794" s="32"/>
      <c r="AD794" s="221"/>
    </row>
    <row r="795" spans="18:30" x14ac:dyDescent="0.25">
      <c r="R795" s="32"/>
      <c r="S795" s="32"/>
      <c r="T795" s="32"/>
      <c r="U795" s="32"/>
      <c r="V795" s="32"/>
      <c r="W795" s="32"/>
      <c r="X795" s="32"/>
      <c r="Y795" s="32"/>
      <c r="Z795" s="32"/>
      <c r="AA795" s="32"/>
      <c r="AB795" s="32"/>
      <c r="AC795" s="32"/>
      <c r="AD795" s="221"/>
    </row>
    <row r="796" spans="18:30" x14ac:dyDescent="0.25">
      <c r="R796" s="32"/>
      <c r="S796" s="32"/>
      <c r="T796" s="32"/>
      <c r="U796" s="32"/>
      <c r="V796" s="32"/>
      <c r="W796" s="32"/>
      <c r="X796" s="32"/>
      <c r="Y796" s="32"/>
      <c r="Z796" s="32"/>
      <c r="AA796" s="32"/>
      <c r="AB796" s="32"/>
      <c r="AC796" s="32"/>
      <c r="AD796" s="221"/>
    </row>
    <row r="797" spans="18:30" x14ac:dyDescent="0.25">
      <c r="R797" s="32"/>
      <c r="S797" s="32"/>
      <c r="T797" s="32"/>
      <c r="U797" s="32"/>
      <c r="V797" s="32"/>
      <c r="W797" s="32"/>
      <c r="X797" s="32"/>
      <c r="Y797" s="32"/>
      <c r="Z797" s="32"/>
      <c r="AA797" s="32"/>
      <c r="AB797" s="32"/>
      <c r="AC797" s="32"/>
      <c r="AD797" s="221"/>
    </row>
    <row r="798" spans="18:30" x14ac:dyDescent="0.25">
      <c r="R798" s="32"/>
      <c r="S798" s="32"/>
      <c r="T798" s="32"/>
      <c r="U798" s="32"/>
      <c r="V798" s="32"/>
      <c r="W798" s="32"/>
      <c r="X798" s="32"/>
      <c r="Y798" s="32"/>
      <c r="Z798" s="32"/>
      <c r="AA798" s="32"/>
      <c r="AB798" s="32"/>
      <c r="AC798" s="32"/>
      <c r="AD798" s="221"/>
    </row>
    <row r="799" spans="18:30" x14ac:dyDescent="0.25">
      <c r="R799" s="32"/>
      <c r="S799" s="32"/>
      <c r="T799" s="32"/>
      <c r="U799" s="32"/>
      <c r="V799" s="32"/>
      <c r="W799" s="32"/>
      <c r="X799" s="32"/>
      <c r="Y799" s="32"/>
      <c r="Z799" s="32"/>
      <c r="AA799" s="32"/>
      <c r="AB799" s="32"/>
      <c r="AC799" s="32"/>
      <c r="AD799" s="221"/>
    </row>
    <row r="800" spans="18:30" x14ac:dyDescent="0.25">
      <c r="R800" s="32"/>
      <c r="S800" s="32"/>
      <c r="T800" s="32"/>
      <c r="U800" s="32"/>
      <c r="V800" s="32"/>
      <c r="W800" s="32"/>
      <c r="X800" s="32"/>
      <c r="Y800" s="32"/>
      <c r="Z800" s="32"/>
      <c r="AA800" s="32"/>
      <c r="AB800" s="32"/>
      <c r="AC800" s="32"/>
      <c r="AD800" s="221"/>
    </row>
    <row r="801" spans="18:30" x14ac:dyDescent="0.25">
      <c r="R801" s="32"/>
      <c r="S801" s="32"/>
      <c r="T801" s="32"/>
      <c r="U801" s="32"/>
      <c r="V801" s="32"/>
      <c r="W801" s="32"/>
      <c r="X801" s="32"/>
      <c r="Y801" s="32"/>
      <c r="Z801" s="32"/>
      <c r="AA801" s="32"/>
      <c r="AB801" s="32"/>
      <c r="AC801" s="32"/>
      <c r="AD801" s="221"/>
    </row>
    <row r="802" spans="18:30" x14ac:dyDescent="0.25">
      <c r="R802" s="32"/>
      <c r="S802" s="32"/>
      <c r="T802" s="32"/>
      <c r="U802" s="32"/>
      <c r="V802" s="32"/>
      <c r="W802" s="32"/>
      <c r="X802" s="32"/>
      <c r="Y802" s="32"/>
      <c r="Z802" s="32"/>
      <c r="AA802" s="32"/>
      <c r="AB802" s="32"/>
      <c r="AC802" s="32"/>
      <c r="AD802" s="221"/>
    </row>
    <row r="803" spans="18:30" x14ac:dyDescent="0.25">
      <c r="R803" s="32"/>
      <c r="S803" s="32"/>
      <c r="T803" s="32"/>
      <c r="U803" s="32"/>
      <c r="V803" s="32"/>
      <c r="W803" s="32"/>
      <c r="X803" s="32"/>
      <c r="Y803" s="32"/>
      <c r="Z803" s="32"/>
      <c r="AA803" s="32"/>
      <c r="AB803" s="32"/>
      <c r="AC803" s="32"/>
      <c r="AD803" s="221"/>
    </row>
    <row r="804" spans="18:30" x14ac:dyDescent="0.25">
      <c r="R804" s="32"/>
      <c r="S804" s="32"/>
      <c r="T804" s="32"/>
      <c r="U804" s="32"/>
      <c r="V804" s="32"/>
      <c r="W804" s="32"/>
      <c r="X804" s="32"/>
      <c r="Y804" s="32"/>
      <c r="Z804" s="32"/>
      <c r="AA804" s="32"/>
      <c r="AB804" s="32"/>
      <c r="AC804" s="32"/>
      <c r="AD804" s="221"/>
    </row>
    <row r="805" spans="18:30" x14ac:dyDescent="0.25">
      <c r="R805" s="32"/>
      <c r="S805" s="32"/>
      <c r="T805" s="32"/>
      <c r="U805" s="32"/>
      <c r="V805" s="32"/>
      <c r="W805" s="32"/>
      <c r="X805" s="32"/>
      <c r="Y805" s="32"/>
      <c r="Z805" s="32"/>
      <c r="AA805" s="32"/>
      <c r="AB805" s="32"/>
      <c r="AC805" s="32"/>
      <c r="AD805" s="221"/>
    </row>
    <row r="806" spans="18:30" x14ac:dyDescent="0.25">
      <c r="R806" s="32"/>
      <c r="S806" s="32"/>
      <c r="T806" s="32"/>
      <c r="U806" s="32"/>
      <c r="V806" s="32"/>
      <c r="W806" s="32"/>
      <c r="X806" s="32"/>
      <c r="Y806" s="32"/>
      <c r="Z806" s="32"/>
      <c r="AA806" s="32"/>
      <c r="AB806" s="32"/>
      <c r="AC806" s="32"/>
      <c r="AD806" s="221"/>
    </row>
    <row r="807" spans="18:30" x14ac:dyDescent="0.25">
      <c r="R807" s="32"/>
      <c r="S807" s="32"/>
      <c r="T807" s="32"/>
      <c r="U807" s="32"/>
      <c r="V807" s="32"/>
      <c r="W807" s="32"/>
      <c r="X807" s="32"/>
      <c r="Y807" s="32"/>
      <c r="Z807" s="32"/>
      <c r="AA807" s="32"/>
      <c r="AB807" s="32"/>
      <c r="AC807" s="32"/>
      <c r="AD807" s="221"/>
    </row>
    <row r="808" spans="18:30" x14ac:dyDescent="0.25">
      <c r="R808" s="32"/>
      <c r="S808" s="32"/>
      <c r="T808" s="32"/>
      <c r="U808" s="32"/>
      <c r="V808" s="32"/>
      <c r="W808" s="32"/>
      <c r="X808" s="32"/>
      <c r="Y808" s="32"/>
      <c r="Z808" s="32"/>
      <c r="AA808" s="32"/>
      <c r="AB808" s="32"/>
      <c r="AC808" s="32"/>
      <c r="AD808" s="221"/>
    </row>
    <row r="809" spans="18:30" x14ac:dyDescent="0.25">
      <c r="R809" s="32"/>
      <c r="S809" s="32"/>
      <c r="T809" s="32"/>
      <c r="U809" s="32"/>
      <c r="V809" s="32"/>
      <c r="W809" s="32"/>
      <c r="X809" s="32"/>
      <c r="Y809" s="32"/>
      <c r="Z809" s="32"/>
      <c r="AA809" s="32"/>
      <c r="AB809" s="32"/>
      <c r="AC809" s="32"/>
      <c r="AD809" s="221"/>
    </row>
    <row r="810" spans="18:30" x14ac:dyDescent="0.25">
      <c r="R810" s="32"/>
      <c r="S810" s="32"/>
      <c r="T810" s="32"/>
      <c r="U810" s="32"/>
      <c r="V810" s="32"/>
      <c r="W810" s="32"/>
      <c r="X810" s="32"/>
      <c r="Y810" s="32"/>
      <c r="Z810" s="32"/>
      <c r="AA810" s="32"/>
      <c r="AB810" s="32"/>
      <c r="AC810" s="32"/>
      <c r="AD810" s="221"/>
    </row>
    <row r="811" spans="18:30" x14ac:dyDescent="0.25">
      <c r="R811" s="32"/>
      <c r="S811" s="32"/>
      <c r="T811" s="32"/>
      <c r="U811" s="32"/>
      <c r="V811" s="32"/>
      <c r="W811" s="32"/>
      <c r="X811" s="32"/>
      <c r="Y811" s="32"/>
      <c r="Z811" s="32"/>
      <c r="AA811" s="32"/>
      <c r="AB811" s="32"/>
      <c r="AC811" s="32"/>
      <c r="AD811" s="221"/>
    </row>
    <row r="812" spans="18:30" x14ac:dyDescent="0.25">
      <c r="R812" s="32"/>
      <c r="S812" s="32"/>
      <c r="T812" s="32"/>
      <c r="U812" s="32"/>
      <c r="V812" s="32"/>
      <c r="W812" s="32"/>
      <c r="X812" s="32"/>
      <c r="Y812" s="32"/>
      <c r="Z812" s="32"/>
      <c r="AA812" s="32"/>
      <c r="AB812" s="32"/>
      <c r="AC812" s="32"/>
      <c r="AD812" s="221"/>
    </row>
    <row r="813" spans="18:30" x14ac:dyDescent="0.25">
      <c r="R813" s="32"/>
      <c r="S813" s="32"/>
      <c r="T813" s="32"/>
      <c r="U813" s="32"/>
      <c r="V813" s="32"/>
      <c r="W813" s="32"/>
      <c r="X813" s="32"/>
      <c r="Y813" s="32"/>
      <c r="Z813" s="32"/>
      <c r="AA813" s="32"/>
      <c r="AB813" s="32"/>
      <c r="AC813" s="32"/>
      <c r="AD813" s="221"/>
    </row>
    <row r="814" spans="18:30" x14ac:dyDescent="0.25">
      <c r="R814" s="32"/>
      <c r="S814" s="32"/>
      <c r="T814" s="32"/>
      <c r="U814" s="32"/>
      <c r="V814" s="32"/>
      <c r="W814" s="32"/>
      <c r="X814" s="32"/>
      <c r="Y814" s="32"/>
      <c r="Z814" s="32"/>
      <c r="AA814" s="32"/>
      <c r="AB814" s="32"/>
      <c r="AC814" s="32"/>
      <c r="AD814" s="221"/>
    </row>
    <row r="815" spans="18:30" x14ac:dyDescent="0.25">
      <c r="R815" s="32"/>
      <c r="S815" s="32"/>
      <c r="T815" s="32"/>
      <c r="U815" s="32"/>
      <c r="V815" s="32"/>
      <c r="W815" s="32"/>
      <c r="X815" s="32"/>
      <c r="Y815" s="32"/>
      <c r="Z815" s="32"/>
      <c r="AA815" s="32"/>
      <c r="AB815" s="32"/>
      <c r="AC815" s="32"/>
      <c r="AD815" s="221"/>
    </row>
    <row r="816" spans="18:30" x14ac:dyDescent="0.25">
      <c r="R816" s="32"/>
      <c r="S816" s="32"/>
      <c r="T816" s="32"/>
      <c r="U816" s="32"/>
      <c r="V816" s="32"/>
      <c r="W816" s="32"/>
      <c r="X816" s="32"/>
      <c r="Y816" s="32"/>
      <c r="Z816" s="32"/>
      <c r="AA816" s="32"/>
      <c r="AB816" s="32"/>
      <c r="AC816" s="32"/>
      <c r="AD816" s="221"/>
    </row>
    <row r="817" spans="18:30" x14ac:dyDescent="0.25">
      <c r="R817" s="32"/>
      <c r="S817" s="32"/>
      <c r="T817" s="32"/>
      <c r="U817" s="32"/>
      <c r="V817" s="32"/>
      <c r="W817" s="32"/>
      <c r="X817" s="32"/>
      <c r="Y817" s="32"/>
      <c r="Z817" s="32"/>
      <c r="AA817" s="32"/>
      <c r="AB817" s="32"/>
      <c r="AC817" s="32"/>
      <c r="AD817" s="221"/>
    </row>
    <row r="818" spans="18:30" x14ac:dyDescent="0.25">
      <c r="R818" s="32"/>
      <c r="S818" s="32"/>
      <c r="T818" s="32"/>
      <c r="U818" s="32"/>
      <c r="V818" s="32"/>
      <c r="W818" s="32"/>
      <c r="X818" s="32"/>
      <c r="Y818" s="32"/>
      <c r="Z818" s="32"/>
      <c r="AA818" s="32"/>
      <c r="AB818" s="32"/>
      <c r="AC818" s="32"/>
      <c r="AD818" s="221"/>
    </row>
    <row r="819" spans="18:30" x14ac:dyDescent="0.25">
      <c r="R819" s="32"/>
      <c r="S819" s="32"/>
      <c r="T819" s="32"/>
      <c r="U819" s="32"/>
      <c r="V819" s="32"/>
      <c r="W819" s="32"/>
      <c r="X819" s="32"/>
      <c r="Y819" s="32"/>
      <c r="Z819" s="32"/>
      <c r="AA819" s="32"/>
      <c r="AB819" s="32"/>
      <c r="AC819" s="32"/>
      <c r="AD819" s="221"/>
    </row>
    <row r="820" spans="18:30" x14ac:dyDescent="0.25">
      <c r="R820" s="32"/>
      <c r="S820" s="32"/>
      <c r="T820" s="32"/>
      <c r="U820" s="32"/>
      <c r="V820" s="32"/>
      <c r="W820" s="32"/>
      <c r="X820" s="32"/>
      <c r="Y820" s="32"/>
      <c r="Z820" s="32"/>
      <c r="AA820" s="32"/>
      <c r="AB820" s="32"/>
      <c r="AC820" s="32"/>
      <c r="AD820" s="221"/>
    </row>
    <row r="821" spans="18:30" x14ac:dyDescent="0.25">
      <c r="R821" s="32"/>
      <c r="S821" s="32"/>
      <c r="T821" s="32"/>
      <c r="U821" s="32"/>
      <c r="V821" s="32"/>
      <c r="W821" s="32"/>
      <c r="X821" s="32"/>
      <c r="Y821" s="32"/>
      <c r="Z821" s="32"/>
      <c r="AA821" s="32"/>
      <c r="AB821" s="32"/>
      <c r="AC821" s="32"/>
      <c r="AD821" s="221"/>
    </row>
    <row r="822" spans="18:30" x14ac:dyDescent="0.25">
      <c r="R822" s="32"/>
      <c r="S822" s="32"/>
      <c r="T822" s="32"/>
      <c r="U822" s="32"/>
      <c r="V822" s="32"/>
      <c r="W822" s="32"/>
      <c r="X822" s="32"/>
      <c r="Y822" s="32"/>
      <c r="Z822" s="32"/>
      <c r="AA822" s="32"/>
      <c r="AB822" s="32"/>
      <c r="AC822" s="32"/>
      <c r="AD822" s="221"/>
    </row>
    <row r="823" spans="18:30" x14ac:dyDescent="0.25">
      <c r="R823" s="32"/>
      <c r="S823" s="32"/>
      <c r="T823" s="32"/>
      <c r="U823" s="32"/>
      <c r="V823" s="32"/>
      <c r="W823" s="32"/>
      <c r="X823" s="32"/>
      <c r="Y823" s="32"/>
      <c r="Z823" s="32"/>
      <c r="AA823" s="32"/>
      <c r="AB823" s="32"/>
      <c r="AC823" s="32"/>
      <c r="AD823" s="221"/>
    </row>
    <row r="824" spans="18:30" x14ac:dyDescent="0.25">
      <c r="R824" s="32"/>
      <c r="S824" s="32"/>
      <c r="T824" s="32"/>
      <c r="U824" s="32"/>
      <c r="V824" s="32"/>
      <c r="W824" s="32"/>
      <c r="X824" s="32"/>
      <c r="Y824" s="32"/>
      <c r="Z824" s="32"/>
      <c r="AA824" s="32"/>
      <c r="AB824" s="32"/>
      <c r="AC824" s="32"/>
      <c r="AD824" s="221"/>
    </row>
    <row r="825" spans="18:30" x14ac:dyDescent="0.25">
      <c r="R825" s="32"/>
      <c r="S825" s="32"/>
      <c r="T825" s="32"/>
      <c r="U825" s="32"/>
      <c r="V825" s="32"/>
      <c r="W825" s="32"/>
      <c r="X825" s="32"/>
      <c r="Y825" s="32"/>
      <c r="Z825" s="32"/>
      <c r="AA825" s="32"/>
      <c r="AB825" s="32"/>
      <c r="AC825" s="32"/>
      <c r="AD825" s="221"/>
    </row>
    <row r="826" spans="18:30" x14ac:dyDescent="0.25">
      <c r="R826" s="32"/>
      <c r="S826" s="32"/>
      <c r="T826" s="32"/>
      <c r="U826" s="32"/>
      <c r="V826" s="32"/>
      <c r="W826" s="32"/>
      <c r="X826" s="32"/>
      <c r="Y826" s="32"/>
      <c r="Z826" s="32"/>
      <c r="AA826" s="32"/>
      <c r="AB826" s="32"/>
      <c r="AC826" s="32"/>
      <c r="AD826" s="221"/>
    </row>
    <row r="827" spans="18:30" x14ac:dyDescent="0.25">
      <c r="R827" s="32"/>
      <c r="S827" s="32"/>
      <c r="T827" s="32"/>
      <c r="U827" s="32"/>
      <c r="V827" s="32"/>
      <c r="W827" s="32"/>
      <c r="X827" s="32"/>
      <c r="Y827" s="32"/>
      <c r="Z827" s="32"/>
      <c r="AA827" s="32"/>
      <c r="AB827" s="32"/>
      <c r="AC827" s="32"/>
      <c r="AD827" s="221"/>
    </row>
    <row r="828" spans="18:30" x14ac:dyDescent="0.25">
      <c r="R828" s="32"/>
      <c r="S828" s="32"/>
      <c r="T828" s="32"/>
      <c r="U828" s="32"/>
      <c r="V828" s="32"/>
      <c r="W828" s="32"/>
      <c r="X828" s="32"/>
      <c r="Y828" s="32"/>
      <c r="Z828" s="32"/>
      <c r="AA828" s="32"/>
      <c r="AB828" s="32"/>
      <c r="AC828" s="32"/>
      <c r="AD828" s="221"/>
    </row>
    <row r="829" spans="18:30" x14ac:dyDescent="0.25">
      <c r="R829" s="32"/>
      <c r="S829" s="32"/>
      <c r="T829" s="32"/>
      <c r="U829" s="32"/>
      <c r="V829" s="32"/>
      <c r="W829" s="32"/>
      <c r="X829" s="32"/>
      <c r="Y829" s="32"/>
      <c r="Z829" s="32"/>
      <c r="AA829" s="32"/>
      <c r="AB829" s="32"/>
      <c r="AC829" s="32"/>
      <c r="AD829" s="221"/>
    </row>
    <row r="830" spans="18:30" x14ac:dyDescent="0.25">
      <c r="R830" s="32"/>
      <c r="S830" s="32"/>
      <c r="T830" s="32"/>
      <c r="U830" s="32"/>
      <c r="V830" s="32"/>
      <c r="W830" s="32"/>
      <c r="X830" s="32"/>
      <c r="Y830" s="32"/>
      <c r="Z830" s="32"/>
      <c r="AA830" s="32"/>
      <c r="AB830" s="32"/>
      <c r="AC830" s="32"/>
      <c r="AD830" s="221"/>
    </row>
    <row r="831" spans="18:30" x14ac:dyDescent="0.25">
      <c r="R831" s="32"/>
      <c r="S831" s="32"/>
      <c r="T831" s="32"/>
      <c r="U831" s="32"/>
      <c r="V831" s="32"/>
      <c r="W831" s="32"/>
      <c r="X831" s="32"/>
      <c r="Y831" s="32"/>
      <c r="Z831" s="32"/>
      <c r="AA831" s="32"/>
      <c r="AB831" s="32"/>
      <c r="AC831" s="32"/>
      <c r="AD831" s="221"/>
    </row>
    <row r="832" spans="18:30" x14ac:dyDescent="0.25">
      <c r="R832" s="32"/>
      <c r="S832" s="32"/>
      <c r="T832" s="32"/>
      <c r="U832" s="32"/>
      <c r="V832" s="32"/>
      <c r="W832" s="32"/>
      <c r="X832" s="32"/>
      <c r="Y832" s="32"/>
      <c r="Z832" s="32"/>
      <c r="AA832" s="32"/>
      <c r="AB832" s="32"/>
      <c r="AC832" s="32"/>
      <c r="AD832" s="221"/>
    </row>
    <row r="833" spans="18:30" x14ac:dyDescent="0.25">
      <c r="R833" s="32"/>
      <c r="S833" s="32"/>
      <c r="T833" s="32"/>
      <c r="U833" s="32"/>
      <c r="V833" s="32"/>
      <c r="W833" s="32"/>
      <c r="X833" s="32"/>
      <c r="Y833" s="32"/>
      <c r="Z833" s="32"/>
      <c r="AA833" s="32"/>
      <c r="AB833" s="32"/>
      <c r="AC833" s="32"/>
      <c r="AD833" s="221"/>
    </row>
    <row r="834" spans="18:30" x14ac:dyDescent="0.25">
      <c r="R834" s="32"/>
      <c r="S834" s="32"/>
      <c r="T834" s="32"/>
      <c r="U834" s="32"/>
      <c r="V834" s="32"/>
      <c r="W834" s="32"/>
      <c r="X834" s="32"/>
      <c r="Y834" s="32"/>
      <c r="Z834" s="32"/>
      <c r="AA834" s="32"/>
      <c r="AB834" s="32"/>
      <c r="AC834" s="32"/>
      <c r="AD834" s="221"/>
    </row>
    <row r="835" spans="18:30" x14ac:dyDescent="0.25">
      <c r="R835" s="32"/>
      <c r="S835" s="32"/>
      <c r="T835" s="32"/>
      <c r="U835" s="32"/>
      <c r="V835" s="32"/>
      <c r="W835" s="32"/>
      <c r="X835" s="32"/>
      <c r="Y835" s="32"/>
      <c r="Z835" s="32"/>
      <c r="AA835" s="32"/>
      <c r="AB835" s="32"/>
      <c r="AC835" s="32"/>
      <c r="AD835" s="221"/>
    </row>
    <row r="836" spans="18:30" x14ac:dyDescent="0.25">
      <c r="R836" s="32"/>
      <c r="S836" s="32"/>
      <c r="T836" s="32"/>
      <c r="U836" s="32"/>
      <c r="V836" s="32"/>
      <c r="W836" s="32"/>
      <c r="X836" s="32"/>
      <c r="Y836" s="32"/>
      <c r="Z836" s="32"/>
      <c r="AA836" s="32"/>
      <c r="AB836" s="32"/>
      <c r="AC836" s="32"/>
      <c r="AD836" s="221"/>
    </row>
    <row r="837" spans="18:30" x14ac:dyDescent="0.25">
      <c r="R837" s="32"/>
      <c r="S837" s="32"/>
      <c r="T837" s="32"/>
      <c r="U837" s="32"/>
      <c r="V837" s="32"/>
      <c r="W837" s="32"/>
      <c r="X837" s="32"/>
      <c r="Y837" s="32"/>
      <c r="Z837" s="32"/>
      <c r="AA837" s="32"/>
      <c r="AB837" s="32"/>
      <c r="AC837" s="32"/>
      <c r="AD837" s="221"/>
    </row>
    <row r="838" spans="18:30" x14ac:dyDescent="0.25">
      <c r="R838" s="32"/>
      <c r="S838" s="32"/>
      <c r="T838" s="32"/>
      <c r="U838" s="32"/>
      <c r="V838" s="32"/>
      <c r="W838" s="32"/>
      <c r="X838" s="32"/>
      <c r="Y838" s="32"/>
      <c r="Z838" s="32"/>
      <c r="AA838" s="32"/>
      <c r="AB838" s="32"/>
      <c r="AC838" s="32"/>
      <c r="AD838" s="221"/>
    </row>
    <row r="839" spans="18:30" x14ac:dyDescent="0.25">
      <c r="R839" s="32"/>
      <c r="S839" s="32"/>
      <c r="T839" s="32"/>
      <c r="U839" s="32"/>
      <c r="V839" s="32"/>
      <c r="W839" s="32"/>
      <c r="X839" s="32"/>
      <c r="Y839" s="32"/>
      <c r="Z839" s="32"/>
      <c r="AA839" s="32"/>
      <c r="AB839" s="32"/>
      <c r="AC839" s="32"/>
      <c r="AD839" s="221"/>
    </row>
    <row r="840" spans="18:30" x14ac:dyDescent="0.25">
      <c r="R840" s="32"/>
      <c r="S840" s="32"/>
      <c r="T840" s="32"/>
      <c r="U840" s="32"/>
      <c r="V840" s="32"/>
      <c r="W840" s="32"/>
      <c r="X840" s="32"/>
      <c r="Y840" s="32"/>
      <c r="Z840" s="32"/>
      <c r="AA840" s="32"/>
      <c r="AB840" s="32"/>
      <c r="AC840" s="32"/>
      <c r="AD840" s="221"/>
    </row>
    <row r="841" spans="18:30" x14ac:dyDescent="0.25">
      <c r="R841" s="32"/>
      <c r="S841" s="32"/>
      <c r="T841" s="32"/>
      <c r="U841" s="32"/>
      <c r="V841" s="32"/>
      <c r="W841" s="32"/>
      <c r="X841" s="32"/>
      <c r="Y841" s="32"/>
      <c r="Z841" s="32"/>
      <c r="AA841" s="32"/>
      <c r="AB841" s="32"/>
      <c r="AC841" s="32"/>
      <c r="AD841" s="221"/>
    </row>
    <row r="842" spans="18:30" x14ac:dyDescent="0.25">
      <c r="R842" s="32"/>
      <c r="S842" s="32"/>
      <c r="T842" s="32"/>
      <c r="U842" s="32"/>
      <c r="V842" s="32"/>
      <c r="W842" s="32"/>
      <c r="X842" s="32"/>
      <c r="Y842" s="32"/>
      <c r="Z842" s="32"/>
      <c r="AA842" s="32"/>
      <c r="AB842" s="32"/>
      <c r="AC842" s="32"/>
      <c r="AD842" s="221"/>
    </row>
    <row r="843" spans="18:30" x14ac:dyDescent="0.25">
      <c r="R843" s="32"/>
      <c r="S843" s="32"/>
      <c r="T843" s="32"/>
      <c r="U843" s="32"/>
      <c r="V843" s="32"/>
      <c r="W843" s="32"/>
      <c r="X843" s="32"/>
      <c r="Y843" s="32"/>
      <c r="Z843" s="32"/>
      <c r="AA843" s="32"/>
      <c r="AB843" s="32"/>
      <c r="AC843" s="32"/>
      <c r="AD843" s="221"/>
    </row>
    <row r="844" spans="18:30" x14ac:dyDescent="0.25">
      <c r="R844" s="32"/>
      <c r="S844" s="32"/>
      <c r="T844" s="32"/>
      <c r="U844" s="32"/>
      <c r="V844" s="32"/>
      <c r="W844" s="32"/>
      <c r="X844" s="32"/>
      <c r="Y844" s="32"/>
      <c r="Z844" s="32"/>
      <c r="AA844" s="32"/>
      <c r="AB844" s="32"/>
      <c r="AC844" s="32"/>
      <c r="AD844" s="221"/>
    </row>
    <row r="845" spans="18:30" x14ac:dyDescent="0.25">
      <c r="R845" s="32"/>
      <c r="S845" s="32"/>
      <c r="T845" s="32"/>
      <c r="U845" s="32"/>
      <c r="V845" s="32"/>
      <c r="W845" s="32"/>
      <c r="X845" s="32"/>
      <c r="Y845" s="32"/>
      <c r="Z845" s="32"/>
      <c r="AA845" s="32"/>
      <c r="AB845" s="32"/>
      <c r="AC845" s="32"/>
      <c r="AD845" s="221"/>
    </row>
    <row r="846" spans="18:30" x14ac:dyDescent="0.25">
      <c r="R846" s="32"/>
      <c r="S846" s="32"/>
      <c r="T846" s="32"/>
      <c r="U846" s="32"/>
      <c r="V846" s="32"/>
      <c r="W846" s="32"/>
      <c r="X846" s="32"/>
      <c r="Y846" s="32"/>
      <c r="Z846" s="32"/>
      <c r="AA846" s="32"/>
      <c r="AB846" s="32"/>
      <c r="AC846" s="32"/>
      <c r="AD846" s="221"/>
    </row>
    <row r="847" spans="18:30" x14ac:dyDescent="0.25">
      <c r="R847" s="32"/>
      <c r="S847" s="32"/>
      <c r="T847" s="32"/>
      <c r="U847" s="32"/>
      <c r="V847" s="32"/>
      <c r="W847" s="32"/>
      <c r="X847" s="32"/>
      <c r="Y847" s="32"/>
      <c r="Z847" s="32"/>
      <c r="AA847" s="32"/>
      <c r="AB847" s="32"/>
      <c r="AC847" s="32"/>
      <c r="AD847" s="221"/>
    </row>
    <row r="848" spans="18:30" x14ac:dyDescent="0.25">
      <c r="R848" s="32"/>
      <c r="S848" s="32"/>
      <c r="T848" s="32"/>
      <c r="U848" s="32"/>
      <c r="V848" s="32"/>
      <c r="W848" s="32"/>
      <c r="X848" s="32"/>
      <c r="Y848" s="32"/>
      <c r="Z848" s="32"/>
      <c r="AA848" s="32"/>
      <c r="AB848" s="32"/>
      <c r="AC848" s="32"/>
      <c r="AD848" s="221"/>
    </row>
    <row r="849" spans="18:30" x14ac:dyDescent="0.25">
      <c r="R849" s="32"/>
      <c r="S849" s="32"/>
      <c r="T849" s="32"/>
      <c r="U849" s="32"/>
      <c r="V849" s="32"/>
      <c r="W849" s="32"/>
      <c r="X849" s="32"/>
      <c r="Y849" s="32"/>
      <c r="Z849" s="32"/>
      <c r="AA849" s="32"/>
      <c r="AB849" s="32"/>
      <c r="AC849" s="32"/>
      <c r="AD849" s="221"/>
    </row>
    <row r="850" spans="18:30" x14ac:dyDescent="0.25">
      <c r="R850" s="32"/>
      <c r="S850" s="32"/>
      <c r="T850" s="32"/>
      <c r="U850" s="32"/>
      <c r="V850" s="32"/>
      <c r="W850" s="32"/>
      <c r="X850" s="32"/>
      <c r="Y850" s="32"/>
      <c r="Z850" s="32"/>
      <c r="AA850" s="32"/>
      <c r="AB850" s="32"/>
      <c r="AC850" s="32"/>
      <c r="AD850" s="221"/>
    </row>
    <row r="851" spans="18:30" x14ac:dyDescent="0.25">
      <c r="R851" s="32"/>
      <c r="S851" s="32"/>
      <c r="T851" s="32"/>
      <c r="U851" s="32"/>
      <c r="V851" s="32"/>
      <c r="W851" s="32"/>
      <c r="X851" s="32"/>
      <c r="Y851" s="32"/>
      <c r="Z851" s="32"/>
      <c r="AA851" s="32"/>
      <c r="AB851" s="32"/>
      <c r="AC851" s="32"/>
      <c r="AD851" s="221"/>
    </row>
    <row r="852" spans="18:30" x14ac:dyDescent="0.25">
      <c r="R852" s="32"/>
      <c r="S852" s="32"/>
      <c r="T852" s="32"/>
      <c r="U852" s="32"/>
      <c r="V852" s="32"/>
      <c r="W852" s="32"/>
      <c r="X852" s="32"/>
      <c r="Y852" s="32"/>
      <c r="Z852" s="32"/>
      <c r="AA852" s="32"/>
      <c r="AB852" s="32"/>
      <c r="AC852" s="32"/>
      <c r="AD852" s="221"/>
    </row>
    <row r="853" spans="18:30" x14ac:dyDescent="0.25">
      <c r="R853" s="32"/>
      <c r="S853" s="32"/>
      <c r="T853" s="32"/>
      <c r="U853" s="32"/>
      <c r="V853" s="32"/>
      <c r="W853" s="32"/>
      <c r="X853" s="32"/>
      <c r="Y853" s="32"/>
      <c r="Z853" s="32"/>
      <c r="AA853" s="32"/>
      <c r="AB853" s="32"/>
      <c r="AC853" s="32"/>
      <c r="AD853" s="221"/>
    </row>
    <row r="854" spans="18:30" x14ac:dyDescent="0.25">
      <c r="R854" s="32"/>
      <c r="S854" s="32"/>
      <c r="T854" s="32"/>
      <c r="U854" s="32"/>
      <c r="V854" s="32"/>
      <c r="W854" s="32"/>
      <c r="X854" s="32"/>
      <c r="Y854" s="32"/>
      <c r="Z854" s="32"/>
      <c r="AA854" s="32"/>
      <c r="AB854" s="32"/>
      <c r="AC854" s="32"/>
      <c r="AD854" s="221"/>
    </row>
    <row r="855" spans="18:30" x14ac:dyDescent="0.25">
      <c r="R855" s="32"/>
      <c r="S855" s="32"/>
      <c r="T855" s="32"/>
      <c r="U855" s="32"/>
      <c r="V855" s="32"/>
      <c r="W855" s="32"/>
      <c r="X855" s="32"/>
      <c r="Y855" s="32"/>
      <c r="Z855" s="32"/>
      <c r="AA855" s="32"/>
      <c r="AB855" s="32"/>
      <c r="AC855" s="32"/>
      <c r="AD855" s="221"/>
    </row>
    <row r="856" spans="18:30" x14ac:dyDescent="0.25">
      <c r="R856" s="32"/>
      <c r="S856" s="32"/>
      <c r="T856" s="32"/>
      <c r="U856" s="32"/>
      <c r="V856" s="32"/>
      <c r="W856" s="32"/>
      <c r="X856" s="32"/>
      <c r="Y856" s="32"/>
      <c r="Z856" s="32"/>
      <c r="AA856" s="32"/>
      <c r="AB856" s="32"/>
      <c r="AC856" s="32"/>
      <c r="AD856" s="221"/>
    </row>
    <row r="857" spans="18:30" x14ac:dyDescent="0.25">
      <c r="R857" s="32"/>
      <c r="S857" s="32"/>
      <c r="T857" s="32"/>
      <c r="U857" s="32"/>
      <c r="V857" s="32"/>
      <c r="W857" s="32"/>
      <c r="X857" s="32"/>
      <c r="Y857" s="32"/>
      <c r="Z857" s="32"/>
      <c r="AA857" s="32"/>
      <c r="AB857" s="32"/>
      <c r="AC857" s="32"/>
      <c r="AD857" s="221"/>
    </row>
    <row r="858" spans="18:30" x14ac:dyDescent="0.25">
      <c r="R858" s="32"/>
      <c r="S858" s="32"/>
      <c r="T858" s="32"/>
      <c r="U858" s="32"/>
      <c r="V858" s="32"/>
      <c r="W858" s="32"/>
      <c r="X858" s="32"/>
      <c r="Y858" s="32"/>
      <c r="Z858" s="32"/>
      <c r="AA858" s="32"/>
      <c r="AB858" s="32"/>
      <c r="AC858" s="32"/>
      <c r="AD858" s="221"/>
    </row>
    <row r="859" spans="18:30" x14ac:dyDescent="0.25">
      <c r="R859" s="32"/>
      <c r="S859" s="32"/>
      <c r="T859" s="32"/>
      <c r="U859" s="32"/>
      <c r="V859" s="32"/>
      <c r="W859" s="32"/>
      <c r="X859" s="32"/>
      <c r="Y859" s="32"/>
      <c r="Z859" s="32"/>
      <c r="AA859" s="32"/>
      <c r="AB859" s="32"/>
      <c r="AC859" s="32"/>
      <c r="AD859" s="221"/>
    </row>
    <row r="860" spans="18:30" x14ac:dyDescent="0.25">
      <c r="R860" s="32"/>
      <c r="S860" s="32"/>
      <c r="T860" s="32"/>
      <c r="U860" s="32"/>
      <c r="V860" s="32"/>
      <c r="W860" s="32"/>
      <c r="X860" s="32"/>
      <c r="Y860" s="32"/>
      <c r="Z860" s="32"/>
      <c r="AA860" s="32"/>
      <c r="AB860" s="32"/>
      <c r="AC860" s="32"/>
      <c r="AD860" s="221"/>
    </row>
    <row r="861" spans="18:30" x14ac:dyDescent="0.25">
      <c r="R861" s="32"/>
      <c r="S861" s="32"/>
      <c r="T861" s="32"/>
      <c r="U861" s="32"/>
      <c r="V861" s="32"/>
      <c r="W861" s="32"/>
      <c r="X861" s="32"/>
      <c r="Y861" s="32"/>
      <c r="Z861" s="32"/>
      <c r="AA861" s="32"/>
      <c r="AB861" s="32"/>
      <c r="AC861" s="32"/>
      <c r="AD861" s="221"/>
    </row>
    <row r="862" spans="18:30" x14ac:dyDescent="0.25">
      <c r="R862" s="32"/>
      <c r="S862" s="32"/>
      <c r="T862" s="32"/>
      <c r="U862" s="32"/>
      <c r="V862" s="32"/>
      <c r="W862" s="32"/>
      <c r="X862" s="32"/>
      <c r="Y862" s="32"/>
      <c r="Z862" s="32"/>
      <c r="AA862" s="32"/>
      <c r="AB862" s="32"/>
      <c r="AC862" s="32"/>
      <c r="AD862" s="221"/>
    </row>
    <row r="863" spans="18:30" x14ac:dyDescent="0.25">
      <c r="R863" s="32"/>
      <c r="S863" s="32"/>
      <c r="T863" s="32"/>
      <c r="U863" s="32"/>
      <c r="V863" s="32"/>
      <c r="W863" s="32"/>
      <c r="X863" s="32"/>
      <c r="Y863" s="32"/>
      <c r="Z863" s="32"/>
      <c r="AA863" s="32"/>
      <c r="AB863" s="32"/>
      <c r="AC863" s="32"/>
      <c r="AD863" s="221"/>
    </row>
    <row r="864" spans="18:30" x14ac:dyDescent="0.25">
      <c r="R864" s="32"/>
      <c r="S864" s="32"/>
      <c r="T864" s="32"/>
      <c r="U864" s="32"/>
      <c r="V864" s="32"/>
      <c r="W864" s="32"/>
      <c r="X864" s="32"/>
      <c r="Y864" s="32"/>
      <c r="Z864" s="32"/>
      <c r="AA864" s="32"/>
      <c r="AB864" s="32"/>
      <c r="AC864" s="32"/>
      <c r="AD864" s="221"/>
    </row>
    <row r="865" spans="18:30" x14ac:dyDescent="0.25">
      <c r="R865" s="32"/>
      <c r="S865" s="32"/>
      <c r="T865" s="32"/>
      <c r="U865" s="32"/>
      <c r="V865" s="32"/>
      <c r="W865" s="32"/>
      <c r="X865" s="32"/>
      <c r="Y865" s="32"/>
      <c r="Z865" s="32"/>
      <c r="AA865" s="32"/>
      <c r="AB865" s="32"/>
      <c r="AC865" s="32"/>
      <c r="AD865" s="221"/>
    </row>
    <row r="866" spans="18:30" x14ac:dyDescent="0.25">
      <c r="R866" s="32"/>
      <c r="S866" s="32"/>
      <c r="T866" s="32"/>
      <c r="U866" s="32"/>
      <c r="V866" s="32"/>
      <c r="W866" s="32"/>
      <c r="X866" s="32"/>
      <c r="Y866" s="32"/>
      <c r="Z866" s="32"/>
      <c r="AA866" s="32"/>
      <c r="AB866" s="32"/>
      <c r="AC866" s="32"/>
      <c r="AD866" s="221"/>
    </row>
    <row r="867" spans="18:30" x14ac:dyDescent="0.25">
      <c r="R867" s="32"/>
      <c r="S867" s="32"/>
      <c r="T867" s="32"/>
      <c r="U867" s="32"/>
      <c r="V867" s="32"/>
      <c r="W867" s="32"/>
      <c r="X867" s="32"/>
      <c r="Y867" s="32"/>
      <c r="Z867" s="32"/>
      <c r="AA867" s="32"/>
      <c r="AB867" s="32"/>
      <c r="AC867" s="32"/>
      <c r="AD867" s="221"/>
    </row>
    <row r="868" spans="18:30" x14ac:dyDescent="0.25">
      <c r="R868" s="32"/>
      <c r="S868" s="32"/>
      <c r="T868" s="32"/>
      <c r="U868" s="32"/>
      <c r="V868" s="32"/>
      <c r="W868" s="32"/>
      <c r="X868" s="32"/>
      <c r="Y868" s="32"/>
      <c r="Z868" s="32"/>
      <c r="AA868" s="32"/>
      <c r="AB868" s="32"/>
      <c r="AC868" s="32"/>
      <c r="AD868" s="221"/>
    </row>
    <row r="869" spans="18:30" x14ac:dyDescent="0.25">
      <c r="R869" s="32"/>
      <c r="S869" s="32"/>
      <c r="T869" s="32"/>
      <c r="U869" s="32"/>
      <c r="V869" s="32"/>
      <c r="W869" s="32"/>
      <c r="X869" s="32"/>
      <c r="Y869" s="32"/>
      <c r="Z869" s="32"/>
      <c r="AA869" s="32"/>
      <c r="AB869" s="32"/>
      <c r="AC869" s="32"/>
      <c r="AD869" s="221"/>
    </row>
    <row r="870" spans="18:30" x14ac:dyDescent="0.25">
      <c r="R870" s="32"/>
      <c r="S870" s="32"/>
      <c r="T870" s="32"/>
      <c r="U870" s="32"/>
      <c r="V870" s="32"/>
      <c r="W870" s="32"/>
      <c r="X870" s="32"/>
      <c r="Y870" s="32"/>
      <c r="Z870" s="32"/>
      <c r="AA870" s="32"/>
      <c r="AB870" s="32"/>
      <c r="AC870" s="32"/>
      <c r="AD870" s="221"/>
    </row>
    <row r="871" spans="18:30" x14ac:dyDescent="0.25">
      <c r="R871" s="32"/>
      <c r="S871" s="32"/>
      <c r="T871" s="32"/>
      <c r="U871" s="32"/>
      <c r="V871" s="32"/>
      <c r="W871" s="32"/>
      <c r="X871" s="32"/>
      <c r="Y871" s="32"/>
      <c r="Z871" s="32"/>
      <c r="AA871" s="32"/>
      <c r="AB871" s="32"/>
      <c r="AC871" s="32"/>
      <c r="AD871" s="221"/>
    </row>
    <row r="872" spans="18:30" x14ac:dyDescent="0.25">
      <c r="R872" s="32"/>
      <c r="S872" s="32"/>
      <c r="T872" s="32"/>
      <c r="U872" s="32"/>
      <c r="V872" s="32"/>
      <c r="W872" s="32"/>
      <c r="X872" s="32"/>
      <c r="Y872" s="32"/>
      <c r="Z872" s="32"/>
      <c r="AA872" s="32"/>
      <c r="AB872" s="32"/>
      <c r="AC872" s="32"/>
      <c r="AD872" s="221"/>
    </row>
    <row r="873" spans="18:30" x14ac:dyDescent="0.25">
      <c r="R873" s="32"/>
      <c r="S873" s="32"/>
      <c r="T873" s="32"/>
      <c r="U873" s="32"/>
      <c r="V873" s="32"/>
      <c r="W873" s="32"/>
      <c r="X873" s="32"/>
      <c r="Y873" s="32"/>
      <c r="Z873" s="32"/>
      <c r="AA873" s="32"/>
      <c r="AB873" s="32"/>
      <c r="AC873" s="32"/>
      <c r="AD873" s="221"/>
    </row>
    <row r="874" spans="18:30" x14ac:dyDescent="0.25">
      <c r="R874" s="32"/>
      <c r="S874" s="32"/>
      <c r="T874" s="32"/>
      <c r="U874" s="32"/>
      <c r="V874" s="32"/>
      <c r="W874" s="32"/>
      <c r="X874" s="32"/>
      <c r="Y874" s="32"/>
      <c r="Z874" s="32"/>
      <c r="AA874" s="32"/>
      <c r="AB874" s="32"/>
      <c r="AC874" s="32"/>
      <c r="AD874" s="221"/>
    </row>
    <row r="875" spans="18:30" x14ac:dyDescent="0.25">
      <c r="R875" s="32"/>
      <c r="S875" s="32"/>
      <c r="T875" s="32"/>
      <c r="U875" s="32"/>
      <c r="V875" s="32"/>
      <c r="W875" s="32"/>
      <c r="X875" s="32"/>
      <c r="Y875" s="32"/>
      <c r="Z875" s="32"/>
      <c r="AA875" s="32"/>
      <c r="AB875" s="32"/>
      <c r="AC875" s="32"/>
      <c r="AD875" s="221"/>
    </row>
    <row r="876" spans="18:30" x14ac:dyDescent="0.25">
      <c r="R876" s="32"/>
      <c r="S876" s="32"/>
      <c r="T876" s="32"/>
      <c r="U876" s="32"/>
      <c r="V876" s="32"/>
      <c r="W876" s="32"/>
      <c r="X876" s="32"/>
      <c r="Y876" s="32"/>
      <c r="Z876" s="32"/>
      <c r="AA876" s="32"/>
      <c r="AB876" s="32"/>
      <c r="AC876" s="32"/>
      <c r="AD876" s="221"/>
    </row>
    <row r="877" spans="18:30" x14ac:dyDescent="0.25">
      <c r="R877" s="32"/>
      <c r="S877" s="32"/>
      <c r="T877" s="32"/>
      <c r="U877" s="32"/>
      <c r="V877" s="32"/>
      <c r="W877" s="32"/>
      <c r="X877" s="32"/>
      <c r="Y877" s="32"/>
      <c r="Z877" s="32"/>
      <c r="AA877" s="32"/>
      <c r="AB877" s="32"/>
      <c r="AC877" s="32"/>
      <c r="AD877" s="221"/>
    </row>
    <row r="878" spans="18:30" x14ac:dyDescent="0.25">
      <c r="R878" s="32"/>
      <c r="S878" s="32"/>
      <c r="T878" s="32"/>
      <c r="U878" s="32"/>
      <c r="V878" s="32"/>
      <c r="W878" s="32"/>
      <c r="X878" s="32"/>
      <c r="Y878" s="32"/>
      <c r="Z878" s="32"/>
      <c r="AA878" s="32"/>
      <c r="AB878" s="32"/>
      <c r="AC878" s="32"/>
      <c r="AD878" s="221"/>
    </row>
    <row r="879" spans="18:30" x14ac:dyDescent="0.25">
      <c r="R879" s="32"/>
      <c r="S879" s="32"/>
      <c r="T879" s="32"/>
      <c r="U879" s="32"/>
      <c r="V879" s="32"/>
      <c r="W879" s="32"/>
      <c r="X879" s="32"/>
      <c r="Y879" s="32"/>
      <c r="Z879" s="32"/>
      <c r="AA879" s="32"/>
      <c r="AB879" s="32"/>
      <c r="AC879" s="32"/>
      <c r="AD879" s="221"/>
    </row>
    <row r="880" spans="18:30" x14ac:dyDescent="0.25">
      <c r="R880" s="32"/>
      <c r="S880" s="32"/>
      <c r="T880" s="32"/>
      <c r="U880" s="32"/>
      <c r="V880" s="32"/>
      <c r="W880" s="32"/>
      <c r="X880" s="32"/>
      <c r="Y880" s="32"/>
      <c r="Z880" s="32"/>
      <c r="AA880" s="32"/>
      <c r="AB880" s="32"/>
      <c r="AC880" s="32"/>
      <c r="AD880" s="221"/>
    </row>
    <row r="881" spans="18:30" x14ac:dyDescent="0.25">
      <c r="R881" s="32"/>
      <c r="S881" s="32"/>
      <c r="T881" s="32"/>
      <c r="U881" s="32"/>
      <c r="V881" s="32"/>
      <c r="W881" s="32"/>
      <c r="X881" s="32"/>
      <c r="Y881" s="32"/>
      <c r="Z881" s="32"/>
      <c r="AA881" s="32"/>
      <c r="AB881" s="32"/>
      <c r="AC881" s="32"/>
      <c r="AD881" s="221"/>
    </row>
    <row r="882" spans="18:30" x14ac:dyDescent="0.25">
      <c r="R882" s="32"/>
      <c r="S882" s="32"/>
      <c r="T882" s="32"/>
      <c r="U882" s="32"/>
      <c r="V882" s="32"/>
      <c r="W882" s="32"/>
      <c r="X882" s="32"/>
      <c r="Y882" s="32"/>
      <c r="Z882" s="32"/>
      <c r="AA882" s="32"/>
      <c r="AB882" s="32"/>
      <c r="AC882" s="32"/>
      <c r="AD882" s="221"/>
    </row>
    <row r="883" spans="18:30" x14ac:dyDescent="0.25">
      <c r="R883" s="32"/>
      <c r="S883" s="32"/>
      <c r="T883" s="32"/>
      <c r="U883" s="32"/>
      <c r="V883" s="32"/>
      <c r="W883" s="32"/>
      <c r="X883" s="32"/>
      <c r="Y883" s="32"/>
      <c r="Z883" s="32"/>
      <c r="AA883" s="32"/>
      <c r="AB883" s="32"/>
      <c r="AC883" s="32"/>
      <c r="AD883" s="221"/>
    </row>
    <row r="884" spans="18:30" x14ac:dyDescent="0.25">
      <c r="R884" s="32"/>
      <c r="S884" s="32"/>
      <c r="T884" s="32"/>
      <c r="U884" s="32"/>
      <c r="V884" s="32"/>
      <c r="W884" s="32"/>
      <c r="X884" s="32"/>
      <c r="Y884" s="32"/>
      <c r="Z884" s="32"/>
      <c r="AA884" s="32"/>
      <c r="AB884" s="32"/>
      <c r="AC884" s="32"/>
      <c r="AD884" s="221"/>
    </row>
    <row r="885" spans="18:30" x14ac:dyDescent="0.25">
      <c r="R885" s="32"/>
      <c r="S885" s="32"/>
      <c r="T885" s="32"/>
      <c r="U885" s="32"/>
      <c r="V885" s="32"/>
      <c r="W885" s="32"/>
      <c r="X885" s="32"/>
      <c r="Y885" s="32"/>
      <c r="Z885" s="32"/>
      <c r="AA885" s="32"/>
      <c r="AB885" s="32"/>
      <c r="AC885" s="32"/>
      <c r="AD885" s="221"/>
    </row>
    <row r="886" spans="18:30" x14ac:dyDescent="0.25">
      <c r="R886" s="32"/>
      <c r="S886" s="32"/>
      <c r="T886" s="32"/>
      <c r="U886" s="32"/>
      <c r="V886" s="32"/>
      <c r="W886" s="32"/>
      <c r="X886" s="32"/>
      <c r="Y886" s="32"/>
      <c r="Z886" s="32"/>
      <c r="AA886" s="32"/>
      <c r="AB886" s="32"/>
      <c r="AC886" s="32"/>
      <c r="AD886" s="221"/>
    </row>
    <row r="887" spans="18:30" x14ac:dyDescent="0.25">
      <c r="R887" s="32"/>
      <c r="S887" s="32"/>
      <c r="T887" s="32"/>
      <c r="U887" s="32"/>
      <c r="V887" s="32"/>
      <c r="W887" s="32"/>
      <c r="X887" s="32"/>
      <c r="Y887" s="32"/>
      <c r="Z887" s="32"/>
      <c r="AA887" s="32"/>
      <c r="AB887" s="32"/>
      <c r="AC887" s="32"/>
      <c r="AD887" s="221"/>
    </row>
    <row r="888" spans="18:30" x14ac:dyDescent="0.25">
      <c r="R888" s="32"/>
      <c r="S888" s="32"/>
      <c r="T888" s="32"/>
      <c r="U888" s="32"/>
      <c r="V888" s="32"/>
      <c r="W888" s="32"/>
      <c r="X888" s="32"/>
      <c r="Y888" s="32"/>
      <c r="Z888" s="32"/>
      <c r="AA888" s="32"/>
      <c r="AB888" s="32"/>
      <c r="AC888" s="32"/>
      <c r="AD888" s="221"/>
    </row>
    <row r="889" spans="18:30" x14ac:dyDescent="0.25">
      <c r="R889" s="32"/>
      <c r="S889" s="32"/>
      <c r="T889" s="32"/>
      <c r="U889" s="32"/>
      <c r="V889" s="32"/>
      <c r="W889" s="32"/>
      <c r="X889" s="32"/>
      <c r="Y889" s="32"/>
      <c r="Z889" s="32"/>
      <c r="AA889" s="32"/>
      <c r="AB889" s="32"/>
      <c r="AC889" s="32"/>
      <c r="AD889" s="221"/>
    </row>
    <row r="890" spans="18:30" x14ac:dyDescent="0.25">
      <c r="R890" s="32"/>
      <c r="S890" s="32"/>
      <c r="T890" s="32"/>
      <c r="U890" s="32"/>
      <c r="V890" s="32"/>
      <c r="W890" s="32"/>
      <c r="X890" s="32"/>
      <c r="Y890" s="32"/>
      <c r="Z890" s="32"/>
      <c r="AA890" s="32"/>
      <c r="AB890" s="32"/>
      <c r="AC890" s="32"/>
      <c r="AD890" s="221"/>
    </row>
    <row r="891" spans="18:30" x14ac:dyDescent="0.25">
      <c r="R891" s="32"/>
      <c r="S891" s="32"/>
      <c r="T891" s="32"/>
      <c r="U891" s="32"/>
      <c r="V891" s="32"/>
      <c r="W891" s="32"/>
      <c r="X891" s="32"/>
      <c r="Y891" s="32"/>
      <c r="Z891" s="32"/>
      <c r="AA891" s="32"/>
      <c r="AB891" s="32"/>
      <c r="AC891" s="32"/>
      <c r="AD891" s="221"/>
    </row>
    <row r="892" spans="18:30" x14ac:dyDescent="0.25">
      <c r="R892" s="32"/>
      <c r="S892" s="32"/>
      <c r="T892" s="32"/>
      <c r="U892" s="32"/>
      <c r="V892" s="32"/>
      <c r="W892" s="32"/>
      <c r="X892" s="32"/>
      <c r="Y892" s="32"/>
      <c r="Z892" s="32"/>
      <c r="AA892" s="32"/>
      <c r="AB892" s="32"/>
      <c r="AC892" s="32"/>
      <c r="AD892" s="221"/>
    </row>
    <row r="893" spans="18:30" x14ac:dyDescent="0.25">
      <c r="R893" s="32"/>
      <c r="S893" s="32"/>
      <c r="T893" s="32"/>
      <c r="U893" s="32"/>
      <c r="V893" s="32"/>
      <c r="W893" s="32"/>
      <c r="X893" s="32"/>
      <c r="Y893" s="32"/>
      <c r="Z893" s="32"/>
      <c r="AA893" s="32"/>
      <c r="AB893" s="32"/>
      <c r="AC893" s="32"/>
      <c r="AD893" s="221"/>
    </row>
    <row r="894" spans="18:30" x14ac:dyDescent="0.25">
      <c r="R894" s="32"/>
      <c r="S894" s="32"/>
      <c r="T894" s="32"/>
      <c r="U894" s="32"/>
      <c r="V894" s="32"/>
      <c r="W894" s="32"/>
      <c r="X894" s="32"/>
      <c r="Y894" s="32"/>
      <c r="Z894" s="32"/>
      <c r="AA894" s="32"/>
      <c r="AB894" s="32"/>
      <c r="AC894" s="32"/>
      <c r="AD894" s="221"/>
    </row>
    <row r="895" spans="18:30" x14ac:dyDescent="0.25">
      <c r="R895" s="32"/>
      <c r="S895" s="32"/>
      <c r="T895" s="32"/>
      <c r="U895" s="32"/>
      <c r="V895" s="32"/>
      <c r="W895" s="32"/>
      <c r="X895" s="32"/>
      <c r="Y895" s="32"/>
      <c r="Z895" s="32"/>
      <c r="AA895" s="32"/>
      <c r="AB895" s="32"/>
      <c r="AC895" s="32"/>
      <c r="AD895" s="221"/>
    </row>
    <row r="896" spans="18:30" x14ac:dyDescent="0.25">
      <c r="R896" s="32"/>
      <c r="S896" s="32"/>
      <c r="T896" s="32"/>
      <c r="U896" s="32"/>
      <c r="V896" s="32"/>
      <c r="W896" s="32"/>
      <c r="X896" s="32"/>
      <c r="Y896" s="32"/>
      <c r="Z896" s="32"/>
      <c r="AA896" s="32"/>
      <c r="AB896" s="32"/>
      <c r="AC896" s="32"/>
      <c r="AD896" s="221"/>
    </row>
    <row r="897" spans="18:30" x14ac:dyDescent="0.25">
      <c r="R897" s="32"/>
      <c r="S897" s="32"/>
      <c r="T897" s="32"/>
      <c r="U897" s="32"/>
      <c r="V897" s="32"/>
      <c r="W897" s="32"/>
      <c r="X897" s="32"/>
      <c r="Y897" s="32"/>
      <c r="Z897" s="32"/>
      <c r="AA897" s="32"/>
      <c r="AB897" s="32"/>
      <c r="AC897" s="32"/>
      <c r="AD897" s="221"/>
    </row>
    <row r="898" spans="18:30" x14ac:dyDescent="0.25">
      <c r="R898" s="32"/>
      <c r="S898" s="32"/>
      <c r="T898" s="32"/>
      <c r="U898" s="32"/>
      <c r="V898" s="32"/>
      <c r="W898" s="32"/>
      <c r="X898" s="32"/>
      <c r="Y898" s="32"/>
      <c r="Z898" s="32"/>
      <c r="AA898" s="32"/>
      <c r="AB898" s="32"/>
      <c r="AC898" s="32"/>
      <c r="AD898" s="221"/>
    </row>
    <row r="899" spans="18:30" x14ac:dyDescent="0.25">
      <c r="R899" s="32"/>
      <c r="S899" s="32"/>
      <c r="T899" s="32"/>
      <c r="U899" s="32"/>
      <c r="V899" s="32"/>
      <c r="W899" s="32"/>
      <c r="X899" s="32"/>
      <c r="Y899" s="32"/>
      <c r="Z899" s="32"/>
      <c r="AA899" s="32"/>
      <c r="AB899" s="32"/>
      <c r="AC899" s="32"/>
      <c r="AD899" s="221"/>
    </row>
    <row r="900" spans="18:30" x14ac:dyDescent="0.25">
      <c r="R900" s="32"/>
      <c r="S900" s="32"/>
      <c r="T900" s="32"/>
      <c r="U900" s="32"/>
      <c r="V900" s="32"/>
      <c r="W900" s="32"/>
      <c r="X900" s="32"/>
      <c r="Y900" s="32"/>
      <c r="Z900" s="32"/>
      <c r="AA900" s="32"/>
      <c r="AB900" s="32"/>
      <c r="AC900" s="32"/>
      <c r="AD900" s="221"/>
    </row>
    <row r="901" spans="18:30" x14ac:dyDescent="0.25">
      <c r="R901" s="32"/>
      <c r="S901" s="32"/>
      <c r="T901" s="32"/>
      <c r="U901" s="32"/>
      <c r="V901" s="32"/>
      <c r="W901" s="32"/>
      <c r="X901" s="32"/>
      <c r="Y901" s="32"/>
      <c r="Z901" s="32"/>
      <c r="AA901" s="32"/>
      <c r="AB901" s="32"/>
      <c r="AC901" s="32"/>
      <c r="AD901" s="221"/>
    </row>
    <row r="902" spans="18:30" x14ac:dyDescent="0.25">
      <c r="R902" s="32"/>
      <c r="S902" s="32"/>
      <c r="T902" s="32"/>
      <c r="U902" s="32"/>
      <c r="V902" s="32"/>
      <c r="W902" s="32"/>
      <c r="X902" s="32"/>
      <c r="Y902" s="32"/>
      <c r="Z902" s="32"/>
      <c r="AA902" s="32"/>
      <c r="AB902" s="32"/>
      <c r="AC902" s="32"/>
      <c r="AD902" s="221"/>
    </row>
    <row r="903" spans="18:30" x14ac:dyDescent="0.25">
      <c r="R903" s="32"/>
      <c r="S903" s="32"/>
      <c r="T903" s="32"/>
      <c r="U903" s="32"/>
      <c r="V903" s="32"/>
      <c r="W903" s="32"/>
      <c r="X903" s="32"/>
      <c r="Y903" s="32"/>
      <c r="Z903" s="32"/>
      <c r="AA903" s="32"/>
      <c r="AB903" s="32"/>
      <c r="AC903" s="32"/>
      <c r="AD903" s="221"/>
    </row>
    <row r="904" spans="18:30" x14ac:dyDescent="0.25">
      <c r="R904" s="32"/>
      <c r="S904" s="32"/>
      <c r="T904" s="32"/>
      <c r="U904" s="32"/>
      <c r="V904" s="32"/>
      <c r="W904" s="32"/>
      <c r="X904" s="32"/>
      <c r="Y904" s="32"/>
      <c r="Z904" s="32"/>
      <c r="AA904" s="32"/>
      <c r="AB904" s="32"/>
      <c r="AC904" s="32"/>
      <c r="AD904" s="221"/>
    </row>
    <row r="905" spans="18:30" x14ac:dyDescent="0.25">
      <c r="R905" s="32"/>
      <c r="S905" s="32"/>
      <c r="T905" s="32"/>
      <c r="U905" s="32"/>
      <c r="V905" s="32"/>
      <c r="W905" s="32"/>
      <c r="X905" s="32"/>
      <c r="Y905" s="32"/>
      <c r="Z905" s="32"/>
      <c r="AA905" s="32"/>
      <c r="AB905" s="32"/>
      <c r="AC905" s="32"/>
      <c r="AD905" s="221"/>
    </row>
    <row r="906" spans="18:30" x14ac:dyDescent="0.25">
      <c r="R906" s="32"/>
      <c r="S906" s="32"/>
      <c r="T906" s="32"/>
      <c r="U906" s="32"/>
      <c r="V906" s="32"/>
      <c r="W906" s="32"/>
      <c r="X906" s="32"/>
      <c r="Y906" s="32"/>
      <c r="Z906" s="32"/>
      <c r="AA906" s="32"/>
      <c r="AB906" s="32"/>
      <c r="AC906" s="32"/>
      <c r="AD906" s="221"/>
    </row>
    <row r="907" spans="18:30" x14ac:dyDescent="0.25">
      <c r="R907" s="32"/>
      <c r="S907" s="32"/>
      <c r="T907" s="32"/>
      <c r="U907" s="32"/>
      <c r="V907" s="32"/>
      <c r="W907" s="32"/>
      <c r="X907" s="32"/>
      <c r="Y907" s="32"/>
      <c r="Z907" s="32"/>
      <c r="AA907" s="32"/>
      <c r="AB907" s="32"/>
      <c r="AC907" s="32"/>
      <c r="AD907" s="221"/>
    </row>
    <row r="908" spans="18:30" x14ac:dyDescent="0.25">
      <c r="R908" s="32"/>
      <c r="S908" s="32"/>
      <c r="T908" s="32"/>
      <c r="U908" s="32"/>
      <c r="V908" s="32"/>
      <c r="W908" s="32"/>
      <c r="X908" s="32"/>
      <c r="Y908" s="32"/>
      <c r="Z908" s="32"/>
      <c r="AA908" s="32"/>
      <c r="AB908" s="32"/>
      <c r="AC908" s="32"/>
      <c r="AD908" s="221"/>
    </row>
    <row r="909" spans="18:30" x14ac:dyDescent="0.25">
      <c r="R909" s="32"/>
      <c r="S909" s="32"/>
      <c r="T909" s="32"/>
      <c r="U909" s="32"/>
      <c r="V909" s="32"/>
      <c r="W909" s="32"/>
      <c r="X909" s="32"/>
      <c r="Y909" s="32"/>
      <c r="Z909" s="32"/>
      <c r="AA909" s="32"/>
      <c r="AB909" s="32"/>
      <c r="AC909" s="32"/>
      <c r="AD909" s="221"/>
    </row>
    <row r="910" spans="18:30" x14ac:dyDescent="0.25">
      <c r="R910" s="32"/>
      <c r="S910" s="32"/>
      <c r="T910" s="32"/>
      <c r="U910" s="32"/>
      <c r="V910" s="32"/>
      <c r="W910" s="32"/>
      <c r="X910" s="32"/>
      <c r="Y910" s="32"/>
      <c r="Z910" s="32"/>
      <c r="AA910" s="32"/>
      <c r="AB910" s="32"/>
      <c r="AC910" s="32"/>
      <c r="AD910" s="221"/>
    </row>
    <row r="911" spans="18:30" x14ac:dyDescent="0.25">
      <c r="R911" s="32"/>
      <c r="S911" s="32"/>
      <c r="T911" s="32"/>
      <c r="U911" s="32"/>
      <c r="V911" s="32"/>
      <c r="W911" s="32"/>
      <c r="X911" s="32"/>
      <c r="Y911" s="32"/>
      <c r="Z911" s="32"/>
      <c r="AA911" s="32"/>
      <c r="AB911" s="32"/>
      <c r="AC911" s="32"/>
      <c r="AD911" s="221"/>
    </row>
    <row r="912" spans="18:30" x14ac:dyDescent="0.25">
      <c r="R912" s="32"/>
      <c r="S912" s="32"/>
      <c r="T912" s="32"/>
      <c r="U912" s="32"/>
      <c r="V912" s="32"/>
      <c r="W912" s="32"/>
      <c r="X912" s="32"/>
      <c r="Y912" s="32"/>
      <c r="Z912" s="32"/>
      <c r="AA912" s="32"/>
      <c r="AB912" s="32"/>
      <c r="AC912" s="32"/>
      <c r="AD912" s="221"/>
    </row>
    <row r="913" spans="18:30" x14ac:dyDescent="0.25">
      <c r="R913" s="32"/>
      <c r="S913" s="32"/>
      <c r="T913" s="32"/>
      <c r="U913" s="32"/>
      <c r="V913" s="32"/>
      <c r="W913" s="32"/>
      <c r="X913" s="32"/>
      <c r="Y913" s="32"/>
      <c r="Z913" s="32"/>
      <c r="AA913" s="32"/>
      <c r="AB913" s="32"/>
      <c r="AC913" s="32"/>
      <c r="AD913" s="221"/>
    </row>
    <row r="914" spans="18:30" x14ac:dyDescent="0.25">
      <c r="R914" s="32"/>
      <c r="S914" s="32"/>
      <c r="T914" s="32"/>
      <c r="U914" s="32"/>
      <c r="V914" s="32"/>
      <c r="W914" s="32"/>
      <c r="X914" s="32"/>
      <c r="Y914" s="32"/>
      <c r="Z914" s="32"/>
      <c r="AA914" s="32"/>
      <c r="AB914" s="32"/>
      <c r="AC914" s="32"/>
      <c r="AD914" s="221"/>
    </row>
    <row r="915" spans="18:30" x14ac:dyDescent="0.25">
      <c r="R915" s="32"/>
      <c r="S915" s="32"/>
      <c r="T915" s="32"/>
      <c r="U915" s="32"/>
      <c r="V915" s="32"/>
      <c r="W915" s="32"/>
      <c r="X915" s="32"/>
      <c r="Y915" s="32"/>
      <c r="Z915" s="32"/>
      <c r="AA915" s="32"/>
      <c r="AB915" s="32"/>
      <c r="AC915" s="32"/>
      <c r="AD915" s="221"/>
    </row>
    <row r="916" spans="18:30" x14ac:dyDescent="0.25">
      <c r="R916" s="32"/>
      <c r="S916" s="32"/>
      <c r="T916" s="32"/>
      <c r="U916" s="32"/>
      <c r="V916" s="32"/>
      <c r="W916" s="32"/>
      <c r="X916" s="32"/>
      <c r="Y916" s="32"/>
      <c r="Z916" s="32"/>
      <c r="AA916" s="32"/>
      <c r="AB916" s="32"/>
      <c r="AC916" s="32"/>
      <c r="AD916" s="221"/>
    </row>
    <row r="917" spans="18:30" x14ac:dyDescent="0.25">
      <c r="R917" s="32"/>
      <c r="S917" s="32"/>
      <c r="T917" s="32"/>
      <c r="U917" s="32"/>
      <c r="V917" s="32"/>
      <c r="W917" s="32"/>
      <c r="X917" s="32"/>
      <c r="Y917" s="32"/>
      <c r="Z917" s="32"/>
      <c r="AA917" s="32"/>
      <c r="AB917" s="32"/>
      <c r="AC917" s="32"/>
      <c r="AD917" s="221"/>
    </row>
    <row r="918" spans="18:30" x14ac:dyDescent="0.25">
      <c r="R918" s="32"/>
      <c r="S918" s="32"/>
      <c r="T918" s="32"/>
      <c r="U918" s="32"/>
      <c r="V918" s="32"/>
      <c r="W918" s="32"/>
      <c r="X918" s="32"/>
      <c r="Y918" s="32"/>
      <c r="Z918" s="32"/>
      <c r="AA918" s="32"/>
      <c r="AB918" s="32"/>
      <c r="AC918" s="32"/>
      <c r="AD918" s="221"/>
    </row>
    <row r="919" spans="18:30" x14ac:dyDescent="0.25">
      <c r="R919" s="32"/>
      <c r="S919" s="32"/>
      <c r="T919" s="32"/>
      <c r="U919" s="32"/>
      <c r="V919" s="32"/>
      <c r="W919" s="32"/>
      <c r="X919" s="32"/>
      <c r="Y919" s="32"/>
      <c r="Z919" s="32"/>
      <c r="AA919" s="32"/>
      <c r="AB919" s="32"/>
      <c r="AC919" s="32"/>
      <c r="AD919" s="221"/>
    </row>
    <row r="920" spans="18:30" x14ac:dyDescent="0.25">
      <c r="R920" s="32"/>
      <c r="S920" s="32"/>
      <c r="T920" s="32"/>
      <c r="U920" s="32"/>
      <c r="V920" s="32"/>
      <c r="W920" s="32"/>
      <c r="X920" s="32"/>
      <c r="Y920" s="32"/>
      <c r="Z920" s="32"/>
      <c r="AA920" s="32"/>
      <c r="AB920" s="32"/>
      <c r="AC920" s="32"/>
      <c r="AD920" s="221"/>
    </row>
    <row r="921" spans="18:30" x14ac:dyDescent="0.25">
      <c r="R921" s="32"/>
      <c r="S921" s="32"/>
      <c r="T921" s="32"/>
      <c r="U921" s="32"/>
      <c r="V921" s="32"/>
      <c r="W921" s="32"/>
      <c r="X921" s="32"/>
      <c r="Y921" s="32"/>
      <c r="Z921" s="32"/>
      <c r="AA921" s="32"/>
      <c r="AB921" s="32"/>
      <c r="AC921" s="32"/>
      <c r="AD921" s="221"/>
    </row>
    <row r="922" spans="18:30" x14ac:dyDescent="0.25">
      <c r="R922" s="32"/>
      <c r="S922" s="32"/>
      <c r="T922" s="32"/>
      <c r="U922" s="32"/>
      <c r="V922" s="32"/>
      <c r="W922" s="32"/>
      <c r="X922" s="32"/>
      <c r="Y922" s="32"/>
      <c r="Z922" s="32"/>
      <c r="AA922" s="32"/>
      <c r="AB922" s="32"/>
      <c r="AC922" s="32"/>
      <c r="AD922" s="221"/>
    </row>
    <row r="923" spans="18:30" x14ac:dyDescent="0.25">
      <c r="R923" s="32"/>
      <c r="S923" s="32"/>
      <c r="T923" s="32"/>
      <c r="U923" s="32"/>
      <c r="V923" s="32"/>
      <c r="W923" s="32"/>
      <c r="X923" s="32"/>
      <c r="Y923" s="32"/>
      <c r="Z923" s="32"/>
      <c r="AA923" s="32"/>
      <c r="AB923" s="32"/>
      <c r="AC923" s="32"/>
      <c r="AD923" s="221"/>
    </row>
    <row r="924" spans="18:30" x14ac:dyDescent="0.25">
      <c r="R924" s="32"/>
      <c r="S924" s="32"/>
      <c r="T924" s="32"/>
      <c r="U924" s="32"/>
      <c r="V924" s="32"/>
      <c r="W924" s="32"/>
      <c r="X924" s="32"/>
      <c r="Y924" s="32"/>
      <c r="Z924" s="32"/>
      <c r="AA924" s="32"/>
      <c r="AB924" s="32"/>
      <c r="AC924" s="32"/>
      <c r="AD924" s="221"/>
    </row>
    <row r="925" spans="18:30" x14ac:dyDescent="0.25">
      <c r="R925" s="32"/>
      <c r="S925" s="32"/>
      <c r="T925" s="32"/>
      <c r="U925" s="32"/>
      <c r="V925" s="32"/>
      <c r="W925" s="32"/>
      <c r="X925" s="32"/>
      <c r="Y925" s="32"/>
      <c r="Z925" s="32"/>
      <c r="AA925" s="32"/>
      <c r="AB925" s="32"/>
      <c r="AC925" s="32"/>
      <c r="AD925" s="221"/>
    </row>
    <row r="926" spans="18:30" x14ac:dyDescent="0.25">
      <c r="R926" s="32"/>
      <c r="S926" s="32"/>
      <c r="T926" s="32"/>
      <c r="U926" s="32"/>
      <c r="V926" s="32"/>
      <c r="W926" s="32"/>
      <c r="X926" s="32"/>
      <c r="Y926" s="32"/>
      <c r="Z926" s="32"/>
      <c r="AA926" s="32"/>
      <c r="AB926" s="32"/>
      <c r="AC926" s="32"/>
      <c r="AD926" s="221"/>
    </row>
    <row r="927" spans="18:30" x14ac:dyDescent="0.25">
      <c r="R927" s="32"/>
      <c r="S927" s="32"/>
      <c r="T927" s="32"/>
      <c r="U927" s="32"/>
      <c r="V927" s="32"/>
      <c r="W927" s="32"/>
      <c r="X927" s="32"/>
      <c r="Y927" s="32"/>
      <c r="Z927" s="32"/>
      <c r="AA927" s="32"/>
      <c r="AB927" s="32"/>
      <c r="AC927" s="32"/>
      <c r="AD927" s="221"/>
    </row>
    <row r="928" spans="18:30" x14ac:dyDescent="0.25">
      <c r="R928" s="32"/>
      <c r="S928" s="32"/>
      <c r="T928" s="32"/>
      <c r="U928" s="32"/>
      <c r="V928" s="32"/>
      <c r="W928" s="32"/>
      <c r="X928" s="32"/>
      <c r="Y928" s="32"/>
      <c r="Z928" s="32"/>
      <c r="AA928" s="32"/>
      <c r="AB928" s="32"/>
      <c r="AC928" s="32"/>
      <c r="AD928" s="221"/>
    </row>
    <row r="929" spans="18:30" x14ac:dyDescent="0.25">
      <c r="R929" s="32"/>
      <c r="S929" s="32"/>
      <c r="T929" s="32"/>
      <c r="U929" s="32"/>
      <c r="V929" s="32"/>
      <c r="W929" s="32"/>
      <c r="X929" s="32"/>
      <c r="Y929" s="32"/>
      <c r="Z929" s="32"/>
      <c r="AA929" s="32"/>
      <c r="AB929" s="32"/>
      <c r="AC929" s="32"/>
      <c r="AD929" s="221"/>
    </row>
    <row r="930" spans="18:30" x14ac:dyDescent="0.25">
      <c r="R930" s="32"/>
      <c r="S930" s="32"/>
      <c r="T930" s="32"/>
      <c r="U930" s="32"/>
      <c r="V930" s="32"/>
      <c r="W930" s="32"/>
      <c r="X930" s="32"/>
      <c r="Y930" s="32"/>
      <c r="Z930" s="32"/>
      <c r="AA930" s="32"/>
      <c r="AB930" s="32"/>
      <c r="AC930" s="32"/>
      <c r="AD930" s="221"/>
    </row>
    <row r="931" spans="18:30" x14ac:dyDescent="0.25">
      <c r="R931" s="32"/>
      <c r="S931" s="32"/>
      <c r="T931" s="32"/>
      <c r="U931" s="32"/>
      <c r="V931" s="32"/>
      <c r="W931" s="32"/>
      <c r="X931" s="32"/>
      <c r="Y931" s="32"/>
      <c r="Z931" s="32"/>
      <c r="AA931" s="32"/>
      <c r="AB931" s="32"/>
      <c r="AC931" s="32"/>
      <c r="AD931" s="221"/>
    </row>
    <row r="932" spans="18:30" x14ac:dyDescent="0.25">
      <c r="R932" s="32"/>
      <c r="S932" s="32"/>
      <c r="T932" s="32"/>
      <c r="U932" s="32"/>
      <c r="V932" s="32"/>
      <c r="W932" s="32"/>
      <c r="X932" s="32"/>
      <c r="Y932" s="32"/>
      <c r="Z932" s="32"/>
      <c r="AA932" s="32"/>
      <c r="AB932" s="32"/>
      <c r="AC932" s="32"/>
      <c r="AD932" s="221"/>
    </row>
    <row r="933" spans="18:30" x14ac:dyDescent="0.25">
      <c r="R933" s="32"/>
      <c r="S933" s="32"/>
      <c r="T933" s="32"/>
      <c r="U933" s="32"/>
      <c r="V933" s="32"/>
      <c r="W933" s="32"/>
      <c r="X933" s="32"/>
      <c r="Y933" s="32"/>
      <c r="Z933" s="32"/>
      <c r="AA933" s="32"/>
      <c r="AB933" s="32"/>
      <c r="AC933" s="32"/>
      <c r="AD933" s="221"/>
    </row>
    <row r="934" spans="18:30" x14ac:dyDescent="0.25">
      <c r="R934" s="32"/>
      <c r="S934" s="32"/>
      <c r="T934" s="32"/>
      <c r="U934" s="32"/>
      <c r="V934" s="32"/>
      <c r="W934" s="32"/>
      <c r="X934" s="32"/>
      <c r="Y934" s="32"/>
      <c r="Z934" s="32"/>
      <c r="AA934" s="32"/>
      <c r="AB934" s="32"/>
      <c r="AC934" s="32"/>
      <c r="AD934" s="221"/>
    </row>
    <row r="935" spans="18:30" x14ac:dyDescent="0.25">
      <c r="R935" s="32"/>
      <c r="S935" s="32"/>
      <c r="T935" s="32"/>
      <c r="U935" s="32"/>
      <c r="V935" s="32"/>
      <c r="W935" s="32"/>
      <c r="X935" s="32"/>
      <c r="Y935" s="32"/>
      <c r="Z935" s="32"/>
      <c r="AA935" s="32"/>
      <c r="AB935" s="32"/>
      <c r="AC935" s="32"/>
      <c r="AD935" s="221"/>
    </row>
    <row r="936" spans="18:30" x14ac:dyDescent="0.25">
      <c r="R936" s="32"/>
      <c r="S936" s="32"/>
      <c r="T936" s="32"/>
      <c r="U936" s="32"/>
      <c r="V936" s="32"/>
      <c r="W936" s="32"/>
      <c r="X936" s="32"/>
      <c r="Y936" s="32"/>
      <c r="Z936" s="32"/>
      <c r="AA936" s="32"/>
      <c r="AB936" s="32"/>
      <c r="AC936" s="32"/>
      <c r="AD936" s="221"/>
    </row>
    <row r="937" spans="18:30" x14ac:dyDescent="0.25">
      <c r="R937" s="32"/>
      <c r="S937" s="32"/>
      <c r="T937" s="32"/>
      <c r="U937" s="32"/>
      <c r="V937" s="32"/>
      <c r="W937" s="32"/>
      <c r="X937" s="32"/>
      <c r="Y937" s="32"/>
      <c r="Z937" s="32"/>
      <c r="AA937" s="32"/>
      <c r="AB937" s="32"/>
      <c r="AC937" s="32"/>
      <c r="AD937" s="221"/>
    </row>
    <row r="938" spans="18:30" x14ac:dyDescent="0.25">
      <c r="R938" s="32"/>
      <c r="S938" s="32"/>
      <c r="T938" s="32"/>
      <c r="U938" s="32"/>
      <c r="V938" s="32"/>
      <c r="W938" s="32"/>
      <c r="X938" s="32"/>
      <c r="Y938" s="32"/>
      <c r="Z938" s="32"/>
      <c r="AA938" s="32"/>
      <c r="AB938" s="32"/>
      <c r="AC938" s="32"/>
      <c r="AD938" s="221"/>
    </row>
    <row r="939" spans="18:30" x14ac:dyDescent="0.25">
      <c r="R939" s="32"/>
      <c r="S939" s="32"/>
      <c r="T939" s="32"/>
      <c r="U939" s="32"/>
      <c r="V939" s="32"/>
      <c r="W939" s="32"/>
      <c r="X939" s="32"/>
      <c r="Y939" s="32"/>
      <c r="Z939" s="32"/>
      <c r="AA939" s="32"/>
      <c r="AB939" s="32"/>
      <c r="AC939" s="32"/>
      <c r="AD939" s="221"/>
    </row>
    <row r="940" spans="18:30" x14ac:dyDescent="0.25">
      <c r="R940" s="32"/>
      <c r="S940" s="32"/>
      <c r="T940" s="32"/>
      <c r="U940" s="32"/>
      <c r="V940" s="32"/>
      <c r="W940" s="32"/>
      <c r="X940" s="32"/>
      <c r="Y940" s="32"/>
      <c r="Z940" s="32"/>
      <c r="AA940" s="32"/>
      <c r="AB940" s="32"/>
      <c r="AC940" s="32"/>
      <c r="AD940" s="221"/>
    </row>
    <row r="941" spans="18:30" x14ac:dyDescent="0.25">
      <c r="R941" s="32"/>
      <c r="S941" s="32"/>
      <c r="T941" s="32"/>
      <c r="U941" s="32"/>
      <c r="V941" s="32"/>
      <c r="W941" s="32"/>
      <c r="X941" s="32"/>
      <c r="Y941" s="32"/>
      <c r="Z941" s="32"/>
      <c r="AA941" s="32"/>
      <c r="AB941" s="32"/>
      <c r="AC941" s="32"/>
      <c r="AD941" s="221"/>
    </row>
    <row r="942" spans="18:30" x14ac:dyDescent="0.25">
      <c r="R942" s="32"/>
      <c r="S942" s="32"/>
      <c r="T942" s="32"/>
      <c r="U942" s="32"/>
      <c r="V942" s="32"/>
      <c r="W942" s="32"/>
      <c r="X942" s="32"/>
      <c r="Y942" s="32"/>
      <c r="Z942" s="32"/>
      <c r="AA942" s="32"/>
      <c r="AB942" s="32"/>
      <c r="AC942" s="32"/>
      <c r="AD942" s="221"/>
    </row>
    <row r="943" spans="18:30" x14ac:dyDescent="0.25">
      <c r="R943" s="32"/>
      <c r="S943" s="32"/>
      <c r="T943" s="32"/>
      <c r="U943" s="32"/>
      <c r="V943" s="32"/>
      <c r="W943" s="32"/>
      <c r="X943" s="32"/>
      <c r="Y943" s="32"/>
      <c r="Z943" s="32"/>
      <c r="AA943" s="32"/>
      <c r="AB943" s="32"/>
      <c r="AC943" s="32"/>
      <c r="AD943" s="221"/>
    </row>
    <row r="944" spans="18:30" x14ac:dyDescent="0.25">
      <c r="R944" s="32"/>
      <c r="S944" s="32"/>
      <c r="T944" s="32"/>
      <c r="U944" s="32"/>
      <c r="V944" s="32"/>
      <c r="W944" s="32"/>
      <c r="X944" s="32"/>
      <c r="Y944" s="32"/>
      <c r="Z944" s="32"/>
      <c r="AA944" s="32"/>
      <c r="AB944" s="32"/>
      <c r="AC944" s="32"/>
      <c r="AD944" s="221"/>
    </row>
    <row r="945" spans="18:30" x14ac:dyDescent="0.25">
      <c r="R945" s="32"/>
      <c r="S945" s="32"/>
      <c r="T945" s="32"/>
      <c r="U945" s="32"/>
      <c r="V945" s="32"/>
      <c r="W945" s="32"/>
      <c r="X945" s="32"/>
      <c r="Y945" s="32"/>
      <c r="Z945" s="32"/>
      <c r="AA945" s="32"/>
      <c r="AB945" s="32"/>
      <c r="AC945" s="32"/>
      <c r="AD945" s="221"/>
    </row>
    <row r="946" spans="18:30" x14ac:dyDescent="0.25">
      <c r="R946" s="32"/>
      <c r="S946" s="32"/>
      <c r="T946" s="32"/>
      <c r="U946" s="32"/>
      <c r="V946" s="32"/>
      <c r="W946" s="32"/>
      <c r="X946" s="32"/>
      <c r="Y946" s="32"/>
      <c r="Z946" s="32"/>
      <c r="AA946" s="32"/>
      <c r="AB946" s="32"/>
      <c r="AC946" s="32"/>
      <c r="AD946" s="221"/>
    </row>
    <row r="947" spans="18:30" x14ac:dyDescent="0.25">
      <c r="R947" s="32"/>
      <c r="S947" s="32"/>
      <c r="T947" s="32"/>
      <c r="U947" s="32"/>
      <c r="V947" s="32"/>
      <c r="W947" s="32"/>
      <c r="X947" s="32"/>
      <c r="Y947" s="32"/>
      <c r="Z947" s="32"/>
      <c r="AA947" s="32"/>
      <c r="AB947" s="32"/>
      <c r="AC947" s="32"/>
      <c r="AD947" s="221"/>
    </row>
    <row r="948" spans="18:30" x14ac:dyDescent="0.25">
      <c r="R948" s="32"/>
      <c r="S948" s="32"/>
      <c r="T948" s="32"/>
      <c r="U948" s="32"/>
      <c r="V948" s="32"/>
      <c r="W948" s="32"/>
      <c r="X948" s="32"/>
      <c r="Y948" s="32"/>
      <c r="Z948" s="32"/>
      <c r="AA948" s="32"/>
      <c r="AB948" s="32"/>
      <c r="AC948" s="32"/>
      <c r="AD948" s="221"/>
    </row>
    <row r="949" spans="18:30" x14ac:dyDescent="0.25">
      <c r="R949" s="32"/>
      <c r="S949" s="32"/>
      <c r="T949" s="32"/>
      <c r="U949" s="32"/>
      <c r="V949" s="32"/>
      <c r="W949" s="32"/>
      <c r="X949" s="32"/>
      <c r="Y949" s="32"/>
      <c r="Z949" s="32"/>
      <c r="AA949" s="32"/>
      <c r="AB949" s="32"/>
      <c r="AC949" s="32"/>
      <c r="AD949" s="221"/>
    </row>
    <row r="950" spans="18:30" x14ac:dyDescent="0.25">
      <c r="R950" s="32"/>
      <c r="S950" s="32"/>
      <c r="T950" s="32"/>
      <c r="U950" s="32"/>
      <c r="V950" s="32"/>
      <c r="W950" s="32"/>
      <c r="X950" s="32"/>
      <c r="Y950" s="32"/>
      <c r="Z950" s="32"/>
      <c r="AA950" s="32"/>
      <c r="AB950" s="32"/>
      <c r="AC950" s="32"/>
      <c r="AD950" s="221"/>
    </row>
    <row r="951" spans="18:30" x14ac:dyDescent="0.25">
      <c r="R951" s="32"/>
      <c r="S951" s="32"/>
      <c r="T951" s="32"/>
      <c r="U951" s="32"/>
      <c r="V951" s="32"/>
      <c r="W951" s="32"/>
      <c r="X951" s="32"/>
      <c r="Y951" s="32"/>
      <c r="Z951" s="32"/>
      <c r="AA951" s="32"/>
      <c r="AB951" s="32"/>
      <c r="AC951" s="32"/>
      <c r="AD951" s="221"/>
    </row>
    <row r="952" spans="18:30" x14ac:dyDescent="0.25">
      <c r="R952" s="32"/>
      <c r="S952" s="32"/>
      <c r="T952" s="32"/>
      <c r="U952" s="32"/>
      <c r="V952" s="32"/>
      <c r="W952" s="32"/>
      <c r="X952" s="32"/>
      <c r="Y952" s="32"/>
      <c r="Z952" s="32"/>
      <c r="AA952" s="32"/>
      <c r="AB952" s="32"/>
      <c r="AC952" s="32"/>
      <c r="AD952" s="221"/>
    </row>
    <row r="953" spans="18:30" x14ac:dyDescent="0.25">
      <c r="R953" s="32"/>
      <c r="S953" s="32"/>
      <c r="T953" s="32"/>
      <c r="U953" s="32"/>
      <c r="V953" s="32"/>
      <c r="W953" s="32"/>
      <c r="X953" s="32"/>
      <c r="Y953" s="32"/>
      <c r="Z953" s="32"/>
      <c r="AA953" s="32"/>
      <c r="AB953" s="32"/>
      <c r="AC953" s="32"/>
      <c r="AD953" s="221"/>
    </row>
    <row r="954" spans="18:30" x14ac:dyDescent="0.25">
      <c r="R954" s="32"/>
      <c r="S954" s="32"/>
      <c r="T954" s="32"/>
      <c r="U954" s="32"/>
      <c r="V954" s="32"/>
      <c r="W954" s="32"/>
      <c r="X954" s="32"/>
      <c r="Y954" s="32"/>
      <c r="Z954" s="32"/>
      <c r="AA954" s="32"/>
      <c r="AB954" s="32"/>
      <c r="AC954" s="32"/>
      <c r="AD954" s="221"/>
    </row>
    <row r="955" spans="18:30" x14ac:dyDescent="0.25">
      <c r="R955" s="32"/>
      <c r="S955" s="32"/>
      <c r="T955" s="32"/>
      <c r="U955" s="32"/>
      <c r="V955" s="32"/>
      <c r="W955" s="32"/>
      <c r="X955" s="32"/>
      <c r="Y955" s="32"/>
      <c r="Z955" s="32"/>
      <c r="AA955" s="32"/>
      <c r="AB955" s="32"/>
      <c r="AC955" s="32"/>
      <c r="AD955" s="221"/>
    </row>
    <row r="956" spans="18:30" x14ac:dyDescent="0.25">
      <c r="R956" s="32"/>
      <c r="S956" s="32"/>
      <c r="T956" s="32"/>
      <c r="U956" s="32"/>
      <c r="V956" s="32"/>
      <c r="W956" s="32"/>
      <c r="X956" s="32"/>
      <c r="Y956" s="32"/>
      <c r="Z956" s="32"/>
      <c r="AA956" s="32"/>
      <c r="AB956" s="32"/>
      <c r="AC956" s="32"/>
      <c r="AD956" s="221"/>
    </row>
    <row r="957" spans="18:30" x14ac:dyDescent="0.25">
      <c r="R957" s="32"/>
      <c r="S957" s="32"/>
      <c r="T957" s="32"/>
      <c r="U957" s="32"/>
      <c r="V957" s="32"/>
      <c r="W957" s="32"/>
      <c r="X957" s="32"/>
      <c r="Y957" s="32"/>
      <c r="Z957" s="32"/>
      <c r="AA957" s="32"/>
      <c r="AB957" s="32"/>
      <c r="AC957" s="32"/>
      <c r="AD957" s="221"/>
    </row>
    <row r="958" spans="18:30" x14ac:dyDescent="0.25">
      <c r="R958" s="32"/>
      <c r="S958" s="32"/>
      <c r="T958" s="32"/>
      <c r="U958" s="32"/>
      <c r="V958" s="32"/>
      <c r="W958" s="32"/>
      <c r="X958" s="32"/>
      <c r="Y958" s="32"/>
      <c r="Z958" s="32"/>
      <c r="AA958" s="32"/>
      <c r="AB958" s="32"/>
      <c r="AC958" s="32"/>
      <c r="AD958" s="221"/>
    </row>
    <row r="959" spans="18:30" x14ac:dyDescent="0.25">
      <c r="R959" s="32"/>
      <c r="S959" s="32"/>
      <c r="T959" s="32"/>
      <c r="U959" s="32"/>
      <c r="V959" s="32"/>
      <c r="W959" s="32"/>
      <c r="X959" s="32"/>
      <c r="Y959" s="32"/>
      <c r="Z959" s="32"/>
      <c r="AA959" s="32"/>
      <c r="AB959" s="32"/>
      <c r="AC959" s="32"/>
      <c r="AD959" s="221"/>
    </row>
    <row r="960" spans="18:30" x14ac:dyDescent="0.25">
      <c r="R960" s="32"/>
      <c r="S960" s="32"/>
      <c r="T960" s="32"/>
      <c r="U960" s="32"/>
      <c r="V960" s="32"/>
      <c r="W960" s="32"/>
      <c r="X960" s="32"/>
      <c r="Y960" s="32"/>
      <c r="Z960" s="32"/>
      <c r="AA960" s="32"/>
      <c r="AB960" s="32"/>
      <c r="AC960" s="32"/>
      <c r="AD960" s="221"/>
    </row>
    <row r="961" spans="18:30" x14ac:dyDescent="0.25">
      <c r="R961" s="32"/>
      <c r="S961" s="32"/>
      <c r="T961" s="32"/>
      <c r="U961" s="32"/>
      <c r="V961" s="32"/>
      <c r="W961" s="32"/>
      <c r="X961" s="32"/>
      <c r="Y961" s="32"/>
      <c r="Z961" s="32"/>
      <c r="AA961" s="32"/>
      <c r="AB961" s="32"/>
      <c r="AC961" s="32"/>
      <c r="AD961" s="221"/>
    </row>
    <row r="962" spans="18:30" x14ac:dyDescent="0.25">
      <c r="R962" s="32"/>
      <c r="S962" s="32"/>
      <c r="T962" s="32"/>
      <c r="U962" s="32"/>
      <c r="V962" s="32"/>
      <c r="W962" s="32"/>
      <c r="X962" s="32"/>
      <c r="Y962" s="32"/>
      <c r="Z962" s="32"/>
      <c r="AA962" s="32"/>
      <c r="AB962" s="32"/>
      <c r="AC962" s="32"/>
      <c r="AD962" s="221"/>
    </row>
    <row r="963" spans="18:30" x14ac:dyDescent="0.25">
      <c r="R963" s="32"/>
      <c r="S963" s="32"/>
      <c r="T963" s="32"/>
      <c r="U963" s="32"/>
      <c r="V963" s="32"/>
      <c r="W963" s="32"/>
      <c r="X963" s="32"/>
      <c r="Y963" s="32"/>
      <c r="Z963" s="32"/>
      <c r="AA963" s="32"/>
      <c r="AB963" s="32"/>
      <c r="AC963" s="32"/>
      <c r="AD963" s="221"/>
    </row>
    <row r="964" spans="18:30" x14ac:dyDescent="0.25">
      <c r="R964" s="32"/>
      <c r="S964" s="32"/>
      <c r="T964" s="32"/>
      <c r="U964" s="32"/>
      <c r="V964" s="32"/>
      <c r="W964" s="32"/>
      <c r="X964" s="32"/>
      <c r="Y964" s="32"/>
      <c r="Z964" s="32"/>
      <c r="AA964" s="32"/>
      <c r="AB964" s="32"/>
      <c r="AC964" s="32"/>
      <c r="AD964" s="221"/>
    </row>
    <row r="965" spans="18:30" x14ac:dyDescent="0.25">
      <c r="R965" s="32"/>
      <c r="S965" s="32"/>
      <c r="T965" s="32"/>
      <c r="U965" s="32"/>
      <c r="V965" s="32"/>
      <c r="W965" s="32"/>
      <c r="X965" s="32"/>
      <c r="Y965" s="32"/>
      <c r="Z965" s="32"/>
      <c r="AA965" s="32"/>
      <c r="AB965" s="32"/>
      <c r="AC965" s="32"/>
      <c r="AD965" s="221"/>
    </row>
    <row r="966" spans="18:30" x14ac:dyDescent="0.25">
      <c r="R966" s="32"/>
      <c r="S966" s="32"/>
      <c r="T966" s="32"/>
      <c r="U966" s="32"/>
      <c r="V966" s="32"/>
      <c r="W966" s="32"/>
      <c r="X966" s="32"/>
      <c r="Y966" s="32"/>
      <c r="Z966" s="32"/>
      <c r="AA966" s="32"/>
      <c r="AB966" s="32"/>
      <c r="AC966" s="32"/>
      <c r="AD966" s="221"/>
    </row>
    <row r="967" spans="18:30" x14ac:dyDescent="0.25">
      <c r="R967" s="32"/>
      <c r="S967" s="32"/>
      <c r="T967" s="32"/>
      <c r="U967" s="32"/>
      <c r="V967" s="32"/>
      <c r="W967" s="32"/>
      <c r="X967" s="32"/>
      <c r="Y967" s="32"/>
      <c r="Z967" s="32"/>
      <c r="AA967" s="32"/>
      <c r="AB967" s="32"/>
      <c r="AC967" s="32"/>
      <c r="AD967" s="221"/>
    </row>
    <row r="968" spans="18:30" x14ac:dyDescent="0.25">
      <c r="R968" s="32"/>
      <c r="S968" s="32"/>
      <c r="T968" s="32"/>
      <c r="U968" s="32"/>
      <c r="V968" s="32"/>
      <c r="W968" s="32"/>
      <c r="X968" s="32"/>
      <c r="Y968" s="32"/>
      <c r="Z968" s="32"/>
      <c r="AA968" s="32"/>
      <c r="AB968" s="32"/>
      <c r="AC968" s="32"/>
      <c r="AD968" s="221"/>
    </row>
    <row r="969" spans="18:30" x14ac:dyDescent="0.25">
      <c r="R969" s="32"/>
      <c r="S969" s="32"/>
      <c r="T969" s="32"/>
      <c r="U969" s="32"/>
      <c r="V969" s="32"/>
      <c r="W969" s="32"/>
      <c r="X969" s="32"/>
      <c r="Y969" s="32"/>
      <c r="Z969" s="32"/>
      <c r="AA969" s="32"/>
      <c r="AB969" s="32"/>
      <c r="AC969" s="32"/>
      <c r="AD969" s="221"/>
    </row>
    <row r="970" spans="18:30" x14ac:dyDescent="0.25">
      <c r="R970" s="32"/>
      <c r="S970" s="32"/>
      <c r="T970" s="32"/>
      <c r="U970" s="32"/>
      <c r="V970" s="32"/>
      <c r="W970" s="32"/>
      <c r="X970" s="32"/>
      <c r="Y970" s="32"/>
      <c r="Z970" s="32"/>
      <c r="AA970" s="32"/>
      <c r="AB970" s="32"/>
      <c r="AC970" s="32"/>
      <c r="AD970" s="221"/>
    </row>
    <row r="971" spans="18:30" x14ac:dyDescent="0.25">
      <c r="R971" s="32"/>
      <c r="S971" s="32"/>
      <c r="T971" s="32"/>
      <c r="U971" s="32"/>
      <c r="V971" s="32"/>
      <c r="W971" s="32"/>
      <c r="X971" s="32"/>
      <c r="Y971" s="32"/>
      <c r="Z971" s="32"/>
      <c r="AA971" s="32"/>
      <c r="AB971" s="32"/>
      <c r="AC971" s="32"/>
      <c r="AD971" s="221"/>
    </row>
    <row r="972" spans="18:30" x14ac:dyDescent="0.25">
      <c r="R972" s="32"/>
      <c r="S972" s="32"/>
      <c r="T972" s="32"/>
      <c r="U972" s="32"/>
      <c r="V972" s="32"/>
      <c r="W972" s="32"/>
      <c r="X972" s="32"/>
      <c r="Y972" s="32"/>
      <c r="Z972" s="32"/>
      <c r="AA972" s="32"/>
      <c r="AB972" s="32"/>
      <c r="AC972" s="32"/>
      <c r="AD972" s="221"/>
    </row>
    <row r="973" spans="18:30" x14ac:dyDescent="0.25">
      <c r="R973" s="32"/>
      <c r="S973" s="32"/>
      <c r="T973" s="32"/>
      <c r="U973" s="32"/>
      <c r="V973" s="32"/>
      <c r="W973" s="32"/>
      <c r="X973" s="32"/>
      <c r="Y973" s="32"/>
      <c r="Z973" s="32"/>
      <c r="AA973" s="32"/>
      <c r="AB973" s="32"/>
      <c r="AC973" s="32"/>
      <c r="AD973" s="221"/>
    </row>
    <row r="974" spans="18:30" x14ac:dyDescent="0.25">
      <c r="R974" s="32"/>
      <c r="S974" s="32"/>
      <c r="T974" s="32"/>
      <c r="U974" s="32"/>
      <c r="V974" s="32"/>
      <c r="W974" s="32"/>
      <c r="X974" s="32"/>
      <c r="Y974" s="32"/>
      <c r="Z974" s="32"/>
      <c r="AA974" s="32"/>
      <c r="AB974" s="32"/>
      <c r="AC974" s="32"/>
      <c r="AD974" s="221"/>
    </row>
    <row r="975" spans="18:30" x14ac:dyDescent="0.25">
      <c r="R975" s="32"/>
      <c r="S975" s="32"/>
      <c r="T975" s="32"/>
      <c r="U975" s="32"/>
      <c r="V975" s="32"/>
      <c r="W975" s="32"/>
      <c r="X975" s="32"/>
      <c r="Y975" s="32"/>
      <c r="Z975" s="32"/>
      <c r="AA975" s="32"/>
      <c r="AB975" s="32"/>
      <c r="AC975" s="32"/>
      <c r="AD975" s="221"/>
    </row>
    <row r="976" spans="18:30" x14ac:dyDescent="0.25">
      <c r="R976" s="32"/>
      <c r="S976" s="32"/>
      <c r="T976" s="32"/>
      <c r="U976" s="32"/>
      <c r="V976" s="32"/>
      <c r="W976" s="32"/>
      <c r="X976" s="32"/>
      <c r="Y976" s="32"/>
      <c r="Z976" s="32"/>
      <c r="AA976" s="32"/>
      <c r="AB976" s="32"/>
      <c r="AC976" s="32"/>
      <c r="AD976" s="221"/>
    </row>
    <row r="977" spans="18:30" x14ac:dyDescent="0.25">
      <c r="R977" s="32"/>
      <c r="S977" s="32"/>
      <c r="T977" s="32"/>
      <c r="U977" s="32"/>
      <c r="V977" s="32"/>
      <c r="W977" s="32"/>
      <c r="X977" s="32"/>
      <c r="Y977" s="32"/>
      <c r="Z977" s="32"/>
      <c r="AA977" s="32"/>
      <c r="AB977" s="32"/>
      <c r="AC977" s="32"/>
      <c r="AD977" s="221"/>
    </row>
    <row r="978" spans="18:30" x14ac:dyDescent="0.25">
      <c r="R978" s="32"/>
      <c r="S978" s="32"/>
      <c r="T978" s="32"/>
      <c r="U978" s="32"/>
      <c r="V978" s="32"/>
      <c r="W978" s="32"/>
      <c r="X978" s="32"/>
      <c r="Y978" s="32"/>
      <c r="Z978" s="32"/>
      <c r="AA978" s="32"/>
      <c r="AB978" s="32"/>
      <c r="AC978" s="32"/>
      <c r="AD978" s="221"/>
    </row>
    <row r="979" spans="18:30" x14ac:dyDescent="0.25">
      <c r="R979" s="32"/>
      <c r="S979" s="32"/>
      <c r="T979" s="32"/>
      <c r="U979" s="32"/>
      <c r="V979" s="32"/>
      <c r="W979" s="32"/>
      <c r="X979" s="32"/>
      <c r="Y979" s="32"/>
      <c r="Z979" s="32"/>
      <c r="AA979" s="32"/>
      <c r="AB979" s="32"/>
      <c r="AC979" s="32"/>
      <c r="AD979" s="221"/>
    </row>
    <row r="980" spans="18:30" x14ac:dyDescent="0.25">
      <c r="R980" s="32"/>
      <c r="S980" s="32"/>
      <c r="T980" s="32"/>
      <c r="U980" s="32"/>
      <c r="V980" s="32"/>
      <c r="W980" s="32"/>
      <c r="X980" s="32"/>
      <c r="Y980" s="32"/>
      <c r="Z980" s="32"/>
      <c r="AA980" s="32"/>
      <c r="AB980" s="32"/>
      <c r="AC980" s="32"/>
      <c r="AD980" s="221"/>
    </row>
    <row r="981" spans="18:30" x14ac:dyDescent="0.25">
      <c r="R981" s="32"/>
      <c r="S981" s="32"/>
      <c r="T981" s="32"/>
      <c r="U981" s="32"/>
      <c r="V981" s="32"/>
      <c r="W981" s="32"/>
      <c r="X981" s="32"/>
      <c r="Y981" s="32"/>
      <c r="Z981" s="32"/>
      <c r="AA981" s="32"/>
      <c r="AB981" s="32"/>
      <c r="AC981" s="32"/>
      <c r="AD981" s="221"/>
    </row>
    <row r="982" spans="18:30" x14ac:dyDescent="0.25">
      <c r="R982" s="32"/>
      <c r="S982" s="32"/>
      <c r="T982" s="32"/>
      <c r="U982" s="32"/>
      <c r="V982" s="32"/>
      <c r="W982" s="32"/>
      <c r="X982" s="32"/>
      <c r="Y982" s="32"/>
      <c r="Z982" s="32"/>
      <c r="AA982" s="32"/>
      <c r="AB982" s="32"/>
      <c r="AC982" s="32"/>
      <c r="AD982" s="221"/>
    </row>
    <row r="983" spans="18:30" x14ac:dyDescent="0.25">
      <c r="R983" s="32"/>
      <c r="S983" s="32"/>
      <c r="T983" s="32"/>
      <c r="U983" s="32"/>
      <c r="V983" s="32"/>
      <c r="W983" s="32"/>
      <c r="X983" s="32"/>
      <c r="Y983" s="32"/>
      <c r="Z983" s="32"/>
      <c r="AA983" s="32"/>
      <c r="AB983" s="32"/>
      <c r="AC983" s="32"/>
      <c r="AD983" s="221"/>
    </row>
    <row r="984" spans="18:30" x14ac:dyDescent="0.25">
      <c r="R984" s="32"/>
      <c r="S984" s="32"/>
      <c r="T984" s="32"/>
      <c r="U984" s="32"/>
      <c r="V984" s="32"/>
      <c r="W984" s="32"/>
      <c r="X984" s="32"/>
      <c r="Y984" s="32"/>
      <c r="Z984" s="32"/>
      <c r="AA984" s="32"/>
      <c r="AB984" s="32"/>
      <c r="AC984" s="32"/>
      <c r="AD984" s="221"/>
    </row>
    <row r="985" spans="18:30" x14ac:dyDescent="0.25">
      <c r="R985" s="32"/>
      <c r="S985" s="32"/>
      <c r="T985" s="32"/>
      <c r="U985" s="32"/>
      <c r="V985" s="32"/>
      <c r="W985" s="32"/>
      <c r="X985" s="32"/>
      <c r="Y985" s="32"/>
      <c r="Z985" s="32"/>
      <c r="AA985" s="32"/>
      <c r="AB985" s="32"/>
      <c r="AC985" s="32"/>
      <c r="AD985" s="221"/>
    </row>
    <row r="986" spans="18:30" x14ac:dyDescent="0.25">
      <c r="R986" s="32"/>
      <c r="S986" s="32"/>
      <c r="T986" s="32"/>
      <c r="U986" s="32"/>
      <c r="V986" s="32"/>
      <c r="W986" s="32"/>
      <c r="X986" s="32"/>
      <c r="Y986" s="32"/>
      <c r="Z986" s="32"/>
      <c r="AA986" s="32"/>
      <c r="AB986" s="32"/>
      <c r="AC986" s="32"/>
      <c r="AD986" s="221"/>
    </row>
    <row r="987" spans="18:30" x14ac:dyDescent="0.25">
      <c r="R987" s="32"/>
      <c r="S987" s="32"/>
      <c r="T987" s="32"/>
      <c r="U987" s="32"/>
      <c r="V987" s="32"/>
      <c r="W987" s="32"/>
      <c r="X987" s="32"/>
      <c r="Y987" s="32"/>
      <c r="Z987" s="32"/>
      <c r="AA987" s="32"/>
      <c r="AB987" s="32"/>
      <c r="AC987" s="32"/>
      <c r="AD987" s="221"/>
    </row>
    <row r="988" spans="18:30" x14ac:dyDescent="0.25">
      <c r="R988" s="32"/>
      <c r="S988" s="32"/>
      <c r="T988" s="32"/>
      <c r="U988" s="32"/>
      <c r="V988" s="32"/>
      <c r="W988" s="32"/>
      <c r="X988" s="32"/>
      <c r="Y988" s="32"/>
      <c r="Z988" s="32"/>
      <c r="AA988" s="32"/>
      <c r="AB988" s="32"/>
      <c r="AC988" s="32"/>
      <c r="AD988" s="221"/>
    </row>
    <row r="989" spans="18:30" x14ac:dyDescent="0.25">
      <c r="R989" s="32"/>
      <c r="S989" s="32"/>
      <c r="T989" s="32"/>
      <c r="U989" s="32"/>
      <c r="V989" s="32"/>
      <c r="W989" s="32"/>
      <c r="X989" s="32"/>
      <c r="Y989" s="32"/>
      <c r="Z989" s="32"/>
      <c r="AA989" s="32"/>
      <c r="AB989" s="32"/>
      <c r="AC989" s="32"/>
      <c r="AD989" s="221"/>
    </row>
    <row r="990" spans="18:30" x14ac:dyDescent="0.25">
      <c r="R990" s="32"/>
      <c r="S990" s="32"/>
      <c r="T990" s="32"/>
      <c r="U990" s="32"/>
      <c r="V990" s="32"/>
      <c r="W990" s="32"/>
      <c r="X990" s="32"/>
      <c r="Y990" s="32"/>
      <c r="Z990" s="32"/>
      <c r="AA990" s="32"/>
      <c r="AB990" s="32"/>
      <c r="AC990" s="32"/>
      <c r="AD990" s="221"/>
    </row>
    <row r="991" spans="18:30" x14ac:dyDescent="0.25">
      <c r="R991" s="32"/>
      <c r="S991" s="32"/>
      <c r="T991" s="32"/>
      <c r="U991" s="32"/>
      <c r="V991" s="32"/>
      <c r="W991" s="32"/>
      <c r="X991" s="32"/>
      <c r="Y991" s="32"/>
      <c r="Z991" s="32"/>
      <c r="AA991" s="32"/>
      <c r="AB991" s="32"/>
      <c r="AC991" s="32"/>
      <c r="AD991" s="221"/>
    </row>
    <row r="992" spans="18:30" x14ac:dyDescent="0.25">
      <c r="R992" s="32"/>
      <c r="S992" s="32"/>
      <c r="T992" s="32"/>
      <c r="U992" s="32"/>
      <c r="V992" s="32"/>
      <c r="W992" s="32"/>
      <c r="X992" s="32"/>
      <c r="Y992" s="32"/>
      <c r="Z992" s="32"/>
      <c r="AA992" s="32"/>
      <c r="AB992" s="32"/>
      <c r="AC992" s="32"/>
      <c r="AD992" s="221"/>
    </row>
    <row r="993" spans="18:30" x14ac:dyDescent="0.25">
      <c r="R993" s="32"/>
      <c r="S993" s="32"/>
      <c r="T993" s="32"/>
      <c r="U993" s="32"/>
      <c r="V993" s="32"/>
      <c r="W993" s="32"/>
      <c r="X993" s="32"/>
      <c r="Y993" s="32"/>
      <c r="Z993" s="32"/>
      <c r="AA993" s="32"/>
      <c r="AB993" s="32"/>
      <c r="AC993" s="32"/>
      <c r="AD993" s="221"/>
    </row>
    <row r="994" spans="18:30" x14ac:dyDescent="0.25">
      <c r="R994" s="32"/>
      <c r="S994" s="32"/>
      <c r="T994" s="32"/>
      <c r="U994" s="32"/>
      <c r="V994" s="32"/>
      <c r="W994" s="32"/>
      <c r="X994" s="32"/>
      <c r="Y994" s="32"/>
      <c r="Z994" s="32"/>
      <c r="AA994" s="32"/>
      <c r="AB994" s="32"/>
      <c r="AC994" s="32"/>
      <c r="AD994" s="221"/>
    </row>
    <row r="995" spans="18:30" x14ac:dyDescent="0.25">
      <c r="R995" s="32"/>
      <c r="S995" s="32"/>
      <c r="T995" s="32"/>
      <c r="U995" s="32"/>
      <c r="V995" s="32"/>
      <c r="W995" s="32"/>
      <c r="X995" s="32"/>
      <c r="Y995" s="32"/>
      <c r="Z995" s="32"/>
      <c r="AA995" s="32"/>
      <c r="AB995" s="32"/>
      <c r="AC995" s="32"/>
      <c r="AD995" s="221"/>
    </row>
    <row r="996" spans="18:30" x14ac:dyDescent="0.25">
      <c r="R996" s="32"/>
      <c r="S996" s="32"/>
      <c r="T996" s="32"/>
      <c r="U996" s="32"/>
      <c r="V996" s="32"/>
      <c r="W996" s="32"/>
      <c r="X996" s="32"/>
      <c r="Y996" s="32"/>
      <c r="Z996" s="32"/>
      <c r="AA996" s="32"/>
      <c r="AB996" s="32"/>
      <c r="AC996" s="32"/>
      <c r="AD996" s="221"/>
    </row>
    <row r="997" spans="18:30" x14ac:dyDescent="0.25">
      <c r="R997" s="32"/>
      <c r="S997" s="32"/>
      <c r="T997" s="32"/>
      <c r="U997" s="32"/>
      <c r="V997" s="32"/>
      <c r="W997" s="32"/>
      <c r="X997" s="32"/>
      <c r="Y997" s="32"/>
      <c r="Z997" s="32"/>
      <c r="AA997" s="32"/>
      <c r="AB997" s="32"/>
      <c r="AC997" s="32"/>
      <c r="AD997" s="221"/>
    </row>
    <row r="998" spans="18:30" x14ac:dyDescent="0.25">
      <c r="R998" s="32"/>
      <c r="S998" s="32"/>
      <c r="T998" s="32"/>
      <c r="U998" s="32"/>
      <c r="V998" s="32"/>
      <c r="W998" s="32"/>
      <c r="X998" s="32"/>
      <c r="Y998" s="32"/>
      <c r="Z998" s="32"/>
      <c r="AA998" s="32"/>
      <c r="AB998" s="32"/>
      <c r="AC998" s="32"/>
      <c r="AD998" s="221"/>
    </row>
    <row r="999" spans="18:30" x14ac:dyDescent="0.25">
      <c r="R999" s="32"/>
      <c r="S999" s="32"/>
      <c r="T999" s="32"/>
      <c r="U999" s="32"/>
      <c r="V999" s="32"/>
      <c r="W999" s="32"/>
      <c r="X999" s="32"/>
      <c r="Y999" s="32"/>
      <c r="Z999" s="32"/>
      <c r="AA999" s="32"/>
      <c r="AB999" s="32"/>
      <c r="AC999" s="32"/>
      <c r="AD999" s="221"/>
    </row>
    <row r="1000" spans="18:30" x14ac:dyDescent="0.25">
      <c r="R1000" s="32"/>
      <c r="S1000" s="32"/>
      <c r="T1000" s="32"/>
      <c r="U1000" s="32"/>
      <c r="V1000" s="32"/>
      <c r="W1000" s="32"/>
      <c r="X1000" s="32"/>
      <c r="Y1000" s="32"/>
      <c r="Z1000" s="32"/>
      <c r="AA1000" s="32"/>
      <c r="AB1000" s="32"/>
      <c r="AC1000" s="32"/>
      <c r="AD1000" s="221"/>
    </row>
    <row r="1001" spans="18:30" x14ac:dyDescent="0.25">
      <c r="R1001" s="32"/>
      <c r="S1001" s="32"/>
      <c r="T1001" s="32"/>
      <c r="U1001" s="32"/>
      <c r="V1001" s="32"/>
      <c r="W1001" s="32"/>
      <c r="X1001" s="32"/>
      <c r="Y1001" s="32"/>
      <c r="Z1001" s="32"/>
      <c r="AA1001" s="32"/>
      <c r="AB1001" s="32"/>
      <c r="AC1001" s="32"/>
      <c r="AD1001" s="221"/>
    </row>
    <row r="1002" spans="18:30" x14ac:dyDescent="0.25">
      <c r="R1002" s="32"/>
      <c r="S1002" s="32"/>
      <c r="T1002" s="32"/>
      <c r="U1002" s="32"/>
      <c r="V1002" s="32"/>
      <c r="W1002" s="32"/>
      <c r="X1002" s="32"/>
      <c r="Y1002" s="32"/>
      <c r="Z1002" s="32"/>
      <c r="AA1002" s="32"/>
      <c r="AB1002" s="32"/>
      <c r="AC1002" s="32"/>
      <c r="AD1002" s="221"/>
    </row>
    <row r="1003" spans="18:30" x14ac:dyDescent="0.25">
      <c r="R1003" s="32"/>
      <c r="S1003" s="32"/>
      <c r="T1003" s="32"/>
      <c r="U1003" s="32"/>
      <c r="V1003" s="32"/>
      <c r="W1003" s="32"/>
      <c r="X1003" s="32"/>
      <c r="Y1003" s="32"/>
      <c r="Z1003" s="32"/>
      <c r="AA1003" s="32"/>
      <c r="AB1003" s="32"/>
      <c r="AC1003" s="32"/>
      <c r="AD1003" s="221"/>
    </row>
    <row r="1004" spans="18:30" x14ac:dyDescent="0.25">
      <c r="R1004" s="32"/>
      <c r="S1004" s="32"/>
      <c r="T1004" s="32"/>
      <c r="U1004" s="32"/>
      <c r="V1004" s="32"/>
      <c r="W1004" s="32"/>
      <c r="X1004" s="32"/>
      <c r="Y1004" s="32"/>
      <c r="Z1004" s="32"/>
      <c r="AA1004" s="32"/>
      <c r="AB1004" s="32"/>
      <c r="AC1004" s="32"/>
      <c r="AD1004" s="221"/>
    </row>
    <row r="1005" spans="18:30" x14ac:dyDescent="0.25">
      <c r="R1005" s="32"/>
      <c r="S1005" s="32"/>
      <c r="T1005" s="32"/>
      <c r="U1005" s="32"/>
      <c r="V1005" s="32"/>
      <c r="W1005" s="32"/>
      <c r="X1005" s="32"/>
      <c r="Y1005" s="32"/>
      <c r="Z1005" s="32"/>
      <c r="AA1005" s="32"/>
      <c r="AB1005" s="32"/>
      <c r="AC1005" s="32"/>
      <c r="AD1005" s="221"/>
    </row>
    <row r="1006" spans="18:30" x14ac:dyDescent="0.25">
      <c r="R1006" s="32"/>
      <c r="S1006" s="32"/>
      <c r="T1006" s="32"/>
      <c r="U1006" s="32"/>
      <c r="V1006" s="32"/>
      <c r="W1006" s="32"/>
      <c r="X1006" s="32"/>
      <c r="Y1006" s="32"/>
      <c r="Z1006" s="32"/>
      <c r="AA1006" s="32"/>
      <c r="AB1006" s="32"/>
      <c r="AC1006" s="32"/>
      <c r="AD1006" s="221"/>
    </row>
    <row r="1007" spans="18:30" x14ac:dyDescent="0.25">
      <c r="R1007" s="32"/>
      <c r="S1007" s="32"/>
      <c r="T1007" s="32"/>
      <c r="U1007" s="32"/>
      <c r="V1007" s="32"/>
      <c r="W1007" s="32"/>
      <c r="X1007" s="32"/>
      <c r="Y1007" s="32"/>
      <c r="Z1007" s="32"/>
      <c r="AA1007" s="32"/>
      <c r="AB1007" s="32"/>
      <c r="AC1007" s="32"/>
      <c r="AD1007" s="221"/>
    </row>
    <row r="1008" spans="18:30" x14ac:dyDescent="0.25">
      <c r="R1008" s="32"/>
      <c r="S1008" s="32"/>
      <c r="T1008" s="32"/>
      <c r="U1008" s="32"/>
      <c r="V1008" s="32"/>
      <c r="W1008" s="32"/>
      <c r="X1008" s="32"/>
      <c r="Y1008" s="32"/>
      <c r="Z1008" s="32"/>
      <c r="AA1008" s="32"/>
      <c r="AB1008" s="32"/>
      <c r="AC1008" s="32"/>
      <c r="AD1008" s="221"/>
    </row>
    <row r="1009" spans="18:30" x14ac:dyDescent="0.25">
      <c r="R1009" s="32"/>
      <c r="S1009" s="32"/>
      <c r="T1009" s="32"/>
      <c r="U1009" s="32"/>
      <c r="V1009" s="32"/>
      <c r="W1009" s="32"/>
      <c r="X1009" s="32"/>
      <c r="Y1009" s="32"/>
      <c r="Z1009" s="32"/>
      <c r="AA1009" s="32"/>
      <c r="AB1009" s="32"/>
      <c r="AC1009" s="32"/>
      <c r="AD1009" s="221"/>
    </row>
    <row r="1010" spans="18:30" x14ac:dyDescent="0.25">
      <c r="R1010" s="32"/>
      <c r="S1010" s="32"/>
      <c r="T1010" s="32"/>
      <c r="U1010" s="32"/>
      <c r="V1010" s="32"/>
      <c r="W1010" s="32"/>
      <c r="X1010" s="32"/>
      <c r="Y1010" s="32"/>
      <c r="Z1010" s="32"/>
      <c r="AA1010" s="32"/>
      <c r="AB1010" s="32"/>
      <c r="AC1010" s="32"/>
      <c r="AD1010" s="221"/>
    </row>
    <row r="1011" spans="18:30" x14ac:dyDescent="0.25">
      <c r="R1011" s="32"/>
      <c r="S1011" s="32"/>
      <c r="T1011" s="32"/>
      <c r="U1011" s="32"/>
      <c r="V1011" s="32"/>
      <c r="W1011" s="32"/>
      <c r="X1011" s="32"/>
      <c r="Y1011" s="32"/>
      <c r="Z1011" s="32"/>
      <c r="AA1011" s="32"/>
      <c r="AB1011" s="32"/>
      <c r="AC1011" s="32"/>
      <c r="AD1011" s="221"/>
    </row>
    <row r="1012" spans="18:30" x14ac:dyDescent="0.25">
      <c r="R1012" s="32"/>
      <c r="S1012" s="32"/>
      <c r="T1012" s="32"/>
      <c r="U1012" s="32"/>
      <c r="V1012" s="32"/>
      <c r="W1012" s="32"/>
      <c r="X1012" s="32"/>
      <c r="Y1012" s="32"/>
      <c r="Z1012" s="32"/>
      <c r="AA1012" s="32"/>
      <c r="AB1012" s="32"/>
      <c r="AC1012" s="32"/>
      <c r="AD1012" s="221"/>
    </row>
    <row r="1013" spans="18:30" x14ac:dyDescent="0.25">
      <c r="R1013" s="32"/>
      <c r="S1013" s="32"/>
      <c r="T1013" s="32"/>
      <c r="U1013" s="32"/>
      <c r="V1013" s="32"/>
      <c r="W1013" s="32"/>
      <c r="X1013" s="32"/>
      <c r="Y1013" s="32"/>
      <c r="Z1013" s="32"/>
      <c r="AA1013" s="32"/>
      <c r="AB1013" s="32"/>
      <c r="AC1013" s="32"/>
      <c r="AD1013" s="221"/>
    </row>
    <row r="1014" spans="18:30" x14ac:dyDescent="0.25">
      <c r="R1014" s="32"/>
      <c r="S1014" s="32"/>
      <c r="T1014" s="32"/>
      <c r="U1014" s="32"/>
      <c r="V1014" s="32"/>
      <c r="W1014" s="32"/>
      <c r="X1014" s="32"/>
      <c r="Y1014" s="32"/>
      <c r="Z1014" s="32"/>
      <c r="AA1014" s="32"/>
      <c r="AB1014" s="32"/>
      <c r="AC1014" s="32"/>
      <c r="AD1014" s="221"/>
    </row>
    <row r="1015" spans="18:30" x14ac:dyDescent="0.25">
      <c r="R1015" s="32"/>
      <c r="S1015" s="32"/>
      <c r="T1015" s="32"/>
      <c r="U1015" s="32"/>
      <c r="V1015" s="32"/>
      <c r="W1015" s="32"/>
      <c r="X1015" s="32"/>
      <c r="Y1015" s="32"/>
      <c r="Z1015" s="32"/>
      <c r="AA1015" s="32"/>
      <c r="AB1015" s="32"/>
      <c r="AC1015" s="32"/>
      <c r="AD1015" s="221"/>
    </row>
    <row r="1016" spans="18:30" x14ac:dyDescent="0.25">
      <c r="R1016" s="32"/>
      <c r="S1016" s="32"/>
      <c r="T1016" s="32"/>
      <c r="U1016" s="32"/>
      <c r="V1016" s="32"/>
      <c r="W1016" s="32"/>
      <c r="X1016" s="32"/>
      <c r="Y1016" s="32"/>
      <c r="Z1016" s="32"/>
      <c r="AA1016" s="32"/>
      <c r="AB1016" s="32"/>
      <c r="AC1016" s="32"/>
      <c r="AD1016" s="221"/>
    </row>
    <row r="1017" spans="18:30" x14ac:dyDescent="0.25">
      <c r="R1017" s="32"/>
      <c r="S1017" s="32"/>
      <c r="T1017" s="32"/>
      <c r="U1017" s="32"/>
      <c r="V1017" s="32"/>
      <c r="W1017" s="32"/>
      <c r="X1017" s="32"/>
      <c r="Y1017" s="32"/>
      <c r="Z1017" s="32"/>
      <c r="AA1017" s="32"/>
      <c r="AB1017" s="32"/>
      <c r="AC1017" s="32"/>
      <c r="AD1017" s="221"/>
    </row>
    <row r="1018" spans="18:30" x14ac:dyDescent="0.25">
      <c r="R1018" s="32"/>
      <c r="S1018" s="32"/>
      <c r="T1018" s="32"/>
      <c r="U1018" s="32"/>
      <c r="V1018" s="32"/>
      <c r="W1018" s="32"/>
      <c r="X1018" s="32"/>
      <c r="Y1018" s="32"/>
      <c r="Z1018" s="32"/>
      <c r="AA1018" s="32"/>
      <c r="AB1018" s="32"/>
      <c r="AC1018" s="32"/>
      <c r="AD1018" s="221"/>
    </row>
    <row r="1019" spans="18:30" x14ac:dyDescent="0.25">
      <c r="R1019" s="32"/>
      <c r="S1019" s="32"/>
      <c r="T1019" s="32"/>
      <c r="U1019" s="32"/>
      <c r="V1019" s="32"/>
      <c r="W1019" s="32"/>
      <c r="X1019" s="32"/>
      <c r="Y1019" s="32"/>
      <c r="Z1019" s="32"/>
      <c r="AA1019" s="32"/>
      <c r="AB1019" s="32"/>
      <c r="AC1019" s="32"/>
      <c r="AD1019" s="221"/>
    </row>
    <row r="1020" spans="18:30" x14ac:dyDescent="0.25">
      <c r="R1020" s="32"/>
      <c r="S1020" s="32"/>
      <c r="T1020" s="32"/>
      <c r="U1020" s="32"/>
      <c r="V1020" s="32"/>
      <c r="W1020" s="32"/>
      <c r="X1020" s="32"/>
      <c r="Y1020" s="32"/>
      <c r="Z1020" s="32"/>
      <c r="AA1020" s="32"/>
      <c r="AB1020" s="32"/>
      <c r="AC1020" s="32"/>
      <c r="AD1020" s="221"/>
    </row>
    <row r="1021" spans="18:30" x14ac:dyDescent="0.25">
      <c r="R1021" s="32"/>
      <c r="S1021" s="32"/>
      <c r="T1021" s="32"/>
      <c r="U1021" s="32"/>
      <c r="V1021" s="32"/>
      <c r="W1021" s="32"/>
      <c r="X1021" s="32"/>
      <c r="Y1021" s="32"/>
      <c r="Z1021" s="32"/>
      <c r="AA1021" s="32"/>
      <c r="AB1021" s="32"/>
      <c r="AC1021" s="32"/>
      <c r="AD1021" s="221"/>
    </row>
    <row r="1022" spans="18:30" x14ac:dyDescent="0.25">
      <c r="R1022" s="32"/>
      <c r="S1022" s="32"/>
      <c r="T1022" s="32"/>
      <c r="U1022" s="32"/>
      <c r="V1022" s="32"/>
      <c r="W1022" s="32"/>
      <c r="X1022" s="32"/>
      <c r="Y1022" s="32"/>
      <c r="Z1022" s="32"/>
      <c r="AA1022" s="32"/>
      <c r="AB1022" s="32"/>
      <c r="AC1022" s="32"/>
      <c r="AD1022" s="221"/>
    </row>
    <row r="1023" spans="18:30" x14ac:dyDescent="0.25">
      <c r="R1023" s="32"/>
      <c r="S1023" s="32"/>
      <c r="T1023" s="32"/>
      <c r="U1023" s="32"/>
      <c r="V1023" s="32"/>
      <c r="W1023" s="32"/>
      <c r="X1023" s="32"/>
      <c r="Y1023" s="32"/>
      <c r="Z1023" s="32"/>
      <c r="AA1023" s="32"/>
      <c r="AB1023" s="32"/>
      <c r="AC1023" s="32"/>
      <c r="AD1023" s="221"/>
    </row>
    <row r="1024" spans="18:30" x14ac:dyDescent="0.25">
      <c r="R1024" s="32"/>
      <c r="S1024" s="32"/>
      <c r="T1024" s="32"/>
      <c r="U1024" s="32"/>
      <c r="V1024" s="32"/>
      <c r="W1024" s="32"/>
      <c r="X1024" s="32"/>
      <c r="Y1024" s="32"/>
      <c r="Z1024" s="32"/>
      <c r="AA1024" s="32"/>
      <c r="AB1024" s="32"/>
      <c r="AC1024" s="32"/>
      <c r="AD1024" s="221"/>
    </row>
    <row r="1025" spans="18:30" x14ac:dyDescent="0.25">
      <c r="R1025" s="32"/>
      <c r="S1025" s="32"/>
      <c r="T1025" s="32"/>
      <c r="U1025" s="32"/>
      <c r="V1025" s="32"/>
      <c r="W1025" s="32"/>
      <c r="X1025" s="32"/>
      <c r="Y1025" s="32"/>
      <c r="Z1025" s="32"/>
      <c r="AA1025" s="32"/>
      <c r="AB1025" s="32"/>
      <c r="AC1025" s="32"/>
      <c r="AD1025" s="221"/>
    </row>
    <row r="1026" spans="18:30" x14ac:dyDescent="0.25">
      <c r="R1026" s="32"/>
      <c r="S1026" s="32"/>
      <c r="T1026" s="32"/>
      <c r="U1026" s="32"/>
      <c r="V1026" s="32"/>
      <c r="W1026" s="32"/>
      <c r="X1026" s="32"/>
      <c r="Y1026" s="32"/>
      <c r="Z1026" s="32"/>
      <c r="AA1026" s="32"/>
      <c r="AB1026" s="32"/>
      <c r="AC1026" s="32"/>
      <c r="AD1026" s="221"/>
    </row>
    <row r="1027" spans="18:30" x14ac:dyDescent="0.25">
      <c r="R1027" s="32"/>
      <c r="S1027" s="32"/>
      <c r="T1027" s="32"/>
      <c r="U1027" s="32"/>
      <c r="V1027" s="32"/>
      <c r="W1027" s="32"/>
      <c r="X1027" s="32"/>
      <c r="Y1027" s="32"/>
      <c r="Z1027" s="32"/>
      <c r="AA1027" s="32"/>
      <c r="AB1027" s="32"/>
      <c r="AC1027" s="32"/>
      <c r="AD1027" s="221"/>
    </row>
    <row r="1028" spans="18:30" x14ac:dyDescent="0.25">
      <c r="R1028" s="32"/>
      <c r="S1028" s="32"/>
      <c r="T1028" s="32"/>
      <c r="U1028" s="32"/>
      <c r="V1028" s="32"/>
      <c r="W1028" s="32"/>
      <c r="X1028" s="32"/>
      <c r="Y1028" s="32"/>
      <c r="Z1028" s="32"/>
      <c r="AA1028" s="32"/>
      <c r="AB1028" s="32"/>
      <c r="AC1028" s="32"/>
      <c r="AD1028" s="221"/>
    </row>
    <row r="1029" spans="18:30" x14ac:dyDescent="0.25">
      <c r="R1029" s="32"/>
      <c r="S1029" s="32"/>
      <c r="T1029" s="32"/>
      <c r="U1029" s="32"/>
      <c r="V1029" s="32"/>
      <c r="W1029" s="32"/>
      <c r="X1029" s="32"/>
      <c r="Y1029" s="32"/>
      <c r="Z1029" s="32"/>
      <c r="AA1029" s="32"/>
      <c r="AB1029" s="32"/>
      <c r="AC1029" s="32"/>
      <c r="AD1029" s="221"/>
    </row>
    <row r="1030" spans="18:30" x14ac:dyDescent="0.25">
      <c r="R1030" s="32"/>
      <c r="S1030" s="32"/>
      <c r="T1030" s="32"/>
      <c r="U1030" s="32"/>
      <c r="V1030" s="32"/>
      <c r="W1030" s="32"/>
      <c r="X1030" s="32"/>
      <c r="Y1030" s="32"/>
      <c r="Z1030" s="32"/>
      <c r="AA1030" s="32"/>
      <c r="AB1030" s="32"/>
      <c r="AC1030" s="32"/>
      <c r="AD1030" s="221"/>
    </row>
    <row r="1031" spans="18:30" x14ac:dyDescent="0.25">
      <c r="R1031" s="32"/>
      <c r="S1031" s="32"/>
      <c r="T1031" s="32"/>
      <c r="U1031" s="32"/>
      <c r="V1031" s="32"/>
      <c r="W1031" s="32"/>
      <c r="X1031" s="32"/>
      <c r="Y1031" s="32"/>
      <c r="Z1031" s="32"/>
      <c r="AA1031" s="32"/>
      <c r="AB1031" s="32"/>
      <c r="AC1031" s="32"/>
      <c r="AD1031" s="221"/>
    </row>
    <row r="1032" spans="18:30" x14ac:dyDescent="0.25">
      <c r="R1032" s="32"/>
      <c r="S1032" s="32"/>
      <c r="T1032" s="32"/>
      <c r="U1032" s="32"/>
      <c r="V1032" s="32"/>
      <c r="W1032" s="32"/>
      <c r="X1032" s="32"/>
      <c r="Y1032" s="32"/>
      <c r="Z1032" s="32"/>
      <c r="AA1032" s="32"/>
      <c r="AB1032" s="32"/>
      <c r="AC1032" s="32"/>
      <c r="AD1032" s="221"/>
    </row>
    <row r="1033" spans="18:30" x14ac:dyDescent="0.25">
      <c r="R1033" s="32"/>
      <c r="S1033" s="32"/>
      <c r="T1033" s="32"/>
      <c r="U1033" s="32"/>
      <c r="V1033" s="32"/>
      <c r="W1033" s="32"/>
      <c r="X1033" s="32"/>
      <c r="Y1033" s="32"/>
      <c r="Z1033" s="32"/>
      <c r="AA1033" s="32"/>
      <c r="AB1033" s="32"/>
      <c r="AC1033" s="32"/>
      <c r="AD1033" s="221"/>
    </row>
    <row r="1034" spans="18:30" x14ac:dyDescent="0.25">
      <c r="R1034" s="32"/>
      <c r="S1034" s="32"/>
      <c r="T1034" s="32"/>
      <c r="U1034" s="32"/>
      <c r="V1034" s="32"/>
      <c r="W1034" s="32"/>
      <c r="X1034" s="32"/>
      <c r="Y1034" s="32"/>
      <c r="Z1034" s="32"/>
      <c r="AA1034" s="32"/>
      <c r="AB1034" s="32"/>
      <c r="AC1034" s="32"/>
      <c r="AD1034" s="221"/>
    </row>
    <row r="1035" spans="18:30" x14ac:dyDescent="0.25">
      <c r="R1035" s="32"/>
      <c r="S1035" s="32"/>
      <c r="T1035" s="32"/>
      <c r="U1035" s="32"/>
      <c r="V1035" s="32"/>
      <c r="W1035" s="32"/>
      <c r="X1035" s="32"/>
      <c r="Y1035" s="32"/>
      <c r="Z1035" s="32"/>
      <c r="AA1035" s="32"/>
      <c r="AB1035" s="32"/>
      <c r="AC1035" s="32"/>
      <c r="AD1035" s="221"/>
    </row>
    <row r="1036" spans="18:30" x14ac:dyDescent="0.25">
      <c r="R1036" s="32"/>
      <c r="S1036" s="32"/>
      <c r="T1036" s="32"/>
      <c r="U1036" s="32"/>
      <c r="V1036" s="32"/>
      <c r="W1036" s="32"/>
      <c r="X1036" s="32"/>
      <c r="Y1036" s="32"/>
      <c r="Z1036" s="32"/>
      <c r="AA1036" s="32"/>
      <c r="AB1036" s="32"/>
      <c r="AC1036" s="32"/>
      <c r="AD1036" s="221"/>
    </row>
    <row r="1037" spans="18:30" x14ac:dyDescent="0.25">
      <c r="R1037" s="32"/>
      <c r="S1037" s="32"/>
      <c r="T1037" s="32"/>
      <c r="U1037" s="32"/>
      <c r="V1037" s="32"/>
      <c r="W1037" s="32"/>
      <c r="X1037" s="32"/>
      <c r="Y1037" s="32"/>
      <c r="Z1037" s="32"/>
      <c r="AA1037" s="32"/>
      <c r="AB1037" s="32"/>
      <c r="AC1037" s="32"/>
      <c r="AD1037" s="221"/>
    </row>
    <row r="1038" spans="18:30" x14ac:dyDescent="0.25">
      <c r="R1038" s="32"/>
      <c r="S1038" s="32"/>
      <c r="T1038" s="32"/>
      <c r="U1038" s="32"/>
      <c r="V1038" s="32"/>
      <c r="W1038" s="32"/>
      <c r="X1038" s="32"/>
      <c r="Y1038" s="32"/>
      <c r="Z1038" s="32"/>
      <c r="AA1038" s="32"/>
      <c r="AB1038" s="32"/>
      <c r="AC1038" s="32"/>
      <c r="AD1038" s="221"/>
    </row>
    <row r="1039" spans="18:30" x14ac:dyDescent="0.25">
      <c r="R1039" s="32"/>
      <c r="S1039" s="32"/>
      <c r="T1039" s="32"/>
      <c r="U1039" s="32"/>
      <c r="V1039" s="32"/>
      <c r="W1039" s="32"/>
      <c r="X1039" s="32"/>
      <c r="Y1039" s="32"/>
      <c r="Z1039" s="32"/>
      <c r="AA1039" s="32"/>
      <c r="AB1039" s="32"/>
      <c r="AC1039" s="32"/>
      <c r="AD1039" s="221"/>
    </row>
    <row r="1040" spans="18:30" x14ac:dyDescent="0.25">
      <c r="R1040" s="32"/>
      <c r="S1040" s="32"/>
      <c r="T1040" s="32"/>
      <c r="U1040" s="32"/>
      <c r="V1040" s="32"/>
      <c r="W1040" s="32"/>
      <c r="X1040" s="32"/>
      <c r="Y1040" s="32"/>
      <c r="Z1040" s="32"/>
      <c r="AA1040" s="32"/>
      <c r="AB1040" s="32"/>
      <c r="AC1040" s="32"/>
      <c r="AD1040" s="221"/>
    </row>
    <row r="1041" spans="18:30" x14ac:dyDescent="0.25">
      <c r="R1041" s="32"/>
      <c r="S1041" s="32"/>
      <c r="T1041" s="32"/>
      <c r="U1041" s="32"/>
      <c r="V1041" s="32"/>
      <c r="W1041" s="32"/>
      <c r="X1041" s="32"/>
      <c r="Y1041" s="32"/>
      <c r="Z1041" s="32"/>
      <c r="AA1041" s="32"/>
      <c r="AB1041" s="32"/>
      <c r="AC1041" s="32"/>
      <c r="AD1041" s="221"/>
    </row>
    <row r="1042" spans="18:30" x14ac:dyDescent="0.25">
      <c r="R1042" s="32"/>
      <c r="S1042" s="32"/>
      <c r="T1042" s="32"/>
      <c r="U1042" s="32"/>
      <c r="V1042" s="32"/>
      <c r="W1042" s="32"/>
      <c r="X1042" s="32"/>
      <c r="Y1042" s="32"/>
      <c r="Z1042" s="32"/>
      <c r="AA1042" s="32"/>
      <c r="AB1042" s="32"/>
      <c r="AC1042" s="32"/>
      <c r="AD1042" s="221"/>
    </row>
    <row r="1043" spans="18:30" x14ac:dyDescent="0.25">
      <c r="R1043" s="32"/>
      <c r="S1043" s="32"/>
      <c r="T1043" s="32"/>
      <c r="U1043" s="32"/>
      <c r="V1043" s="32"/>
      <c r="W1043" s="32"/>
      <c r="X1043" s="32"/>
      <c r="Y1043" s="32"/>
      <c r="Z1043" s="32"/>
      <c r="AA1043" s="32"/>
      <c r="AB1043" s="32"/>
      <c r="AC1043" s="32"/>
      <c r="AD1043" s="221"/>
    </row>
    <row r="1044" spans="18:30" x14ac:dyDescent="0.25">
      <c r="R1044" s="32"/>
      <c r="S1044" s="32"/>
      <c r="T1044" s="32"/>
      <c r="U1044" s="32"/>
      <c r="V1044" s="32"/>
      <c r="W1044" s="32"/>
      <c r="X1044" s="32"/>
      <c r="Y1044" s="32"/>
      <c r="Z1044" s="32"/>
      <c r="AA1044" s="32"/>
      <c r="AB1044" s="32"/>
      <c r="AC1044" s="32"/>
      <c r="AD1044" s="221"/>
    </row>
    <row r="1045" spans="18:30" x14ac:dyDescent="0.25">
      <c r="R1045" s="32"/>
      <c r="S1045" s="32"/>
      <c r="T1045" s="32"/>
      <c r="U1045" s="32"/>
      <c r="V1045" s="32"/>
      <c r="W1045" s="32"/>
      <c r="X1045" s="32"/>
      <c r="Y1045" s="32"/>
      <c r="Z1045" s="32"/>
      <c r="AA1045" s="32"/>
      <c r="AB1045" s="32"/>
      <c r="AC1045" s="32"/>
      <c r="AD1045" s="221"/>
    </row>
    <row r="1046" spans="18:30" x14ac:dyDescent="0.25">
      <c r="R1046" s="32"/>
      <c r="S1046" s="32"/>
      <c r="T1046" s="32"/>
      <c r="U1046" s="32"/>
      <c r="V1046" s="32"/>
      <c r="W1046" s="32"/>
      <c r="X1046" s="32"/>
      <c r="Y1046" s="32"/>
      <c r="Z1046" s="32"/>
      <c r="AA1046" s="32"/>
      <c r="AB1046" s="32"/>
      <c r="AC1046" s="32"/>
      <c r="AD1046" s="221"/>
    </row>
    <row r="1047" spans="18:30" x14ac:dyDescent="0.25">
      <c r="R1047" s="32"/>
      <c r="S1047" s="32"/>
      <c r="T1047" s="32"/>
      <c r="U1047" s="32"/>
      <c r="V1047" s="32"/>
      <c r="W1047" s="32"/>
      <c r="X1047" s="32"/>
      <c r="Y1047" s="32"/>
      <c r="Z1047" s="32"/>
      <c r="AA1047" s="32"/>
      <c r="AB1047" s="32"/>
      <c r="AC1047" s="32"/>
      <c r="AD1047" s="221"/>
    </row>
    <row r="1048" spans="18:30" x14ac:dyDescent="0.25">
      <c r="R1048" s="32"/>
      <c r="S1048" s="32"/>
      <c r="T1048" s="32"/>
      <c r="U1048" s="32"/>
      <c r="V1048" s="32"/>
      <c r="W1048" s="32"/>
      <c r="X1048" s="32"/>
      <c r="Y1048" s="32"/>
      <c r="Z1048" s="32"/>
      <c r="AA1048" s="32"/>
      <c r="AB1048" s="32"/>
      <c r="AC1048" s="32"/>
      <c r="AD1048" s="221"/>
    </row>
    <row r="1049" spans="18:30" x14ac:dyDescent="0.25">
      <c r="R1049" s="32"/>
      <c r="S1049" s="32"/>
      <c r="T1049" s="32"/>
      <c r="U1049" s="32"/>
      <c r="V1049" s="32"/>
      <c r="W1049" s="32"/>
      <c r="X1049" s="32"/>
      <c r="Y1049" s="32"/>
      <c r="Z1049" s="32"/>
      <c r="AA1049" s="32"/>
      <c r="AB1049" s="32"/>
      <c r="AC1049" s="32"/>
      <c r="AD1049" s="221"/>
    </row>
    <row r="1050" spans="18:30" x14ac:dyDescent="0.25">
      <c r="R1050" s="32"/>
      <c r="S1050" s="32"/>
      <c r="T1050" s="32"/>
      <c r="U1050" s="32"/>
      <c r="V1050" s="32"/>
      <c r="W1050" s="32"/>
      <c r="X1050" s="32"/>
      <c r="Y1050" s="32"/>
      <c r="Z1050" s="32"/>
      <c r="AA1050" s="32"/>
      <c r="AB1050" s="32"/>
      <c r="AC1050" s="32"/>
      <c r="AD1050" s="221"/>
    </row>
    <row r="1051" spans="18:30" x14ac:dyDescent="0.25">
      <c r="R1051" s="32"/>
      <c r="S1051" s="32"/>
      <c r="T1051" s="32"/>
      <c r="U1051" s="32"/>
      <c r="V1051" s="32"/>
      <c r="W1051" s="32"/>
      <c r="X1051" s="32"/>
      <c r="Y1051" s="32"/>
      <c r="Z1051" s="32"/>
      <c r="AA1051" s="32"/>
      <c r="AB1051" s="32"/>
      <c r="AC1051" s="32"/>
      <c r="AD1051" s="221"/>
    </row>
    <row r="1052" spans="18:30" x14ac:dyDescent="0.25">
      <c r="R1052" s="32"/>
      <c r="S1052" s="32"/>
      <c r="T1052" s="32"/>
      <c r="U1052" s="32"/>
      <c r="V1052" s="32"/>
      <c r="W1052" s="32"/>
      <c r="X1052" s="32"/>
      <c r="Y1052" s="32"/>
      <c r="Z1052" s="32"/>
      <c r="AA1052" s="32"/>
      <c r="AB1052" s="32"/>
      <c r="AC1052" s="32"/>
      <c r="AD1052" s="221"/>
    </row>
    <row r="1053" spans="18:30" x14ac:dyDescent="0.25">
      <c r="R1053" s="32"/>
      <c r="S1053" s="32"/>
      <c r="T1053" s="32"/>
      <c r="U1053" s="32"/>
      <c r="V1053" s="32"/>
      <c r="W1053" s="32"/>
      <c r="X1053" s="32"/>
      <c r="Y1053" s="32"/>
      <c r="Z1053" s="32"/>
      <c r="AA1053" s="32"/>
      <c r="AB1053" s="32"/>
      <c r="AC1053" s="32"/>
      <c r="AD1053" s="221"/>
    </row>
    <row r="1054" spans="18:30" x14ac:dyDescent="0.25">
      <c r="R1054" s="32"/>
      <c r="S1054" s="32"/>
      <c r="T1054" s="32"/>
      <c r="U1054" s="32"/>
      <c r="V1054" s="32"/>
      <c r="W1054" s="32"/>
      <c r="X1054" s="32"/>
      <c r="Y1054" s="32"/>
      <c r="Z1054" s="32"/>
      <c r="AA1054" s="32"/>
      <c r="AB1054" s="32"/>
      <c r="AC1054" s="32"/>
      <c r="AD1054" s="221"/>
    </row>
    <row r="1055" spans="18:30" x14ac:dyDescent="0.25">
      <c r="R1055" s="32"/>
      <c r="S1055" s="32"/>
      <c r="T1055" s="32"/>
      <c r="U1055" s="32"/>
      <c r="V1055" s="32"/>
      <c r="W1055" s="32"/>
      <c r="X1055" s="32"/>
      <c r="Y1055" s="32"/>
      <c r="Z1055" s="32"/>
      <c r="AA1055" s="32"/>
      <c r="AB1055" s="32"/>
      <c r="AC1055" s="32"/>
      <c r="AD1055" s="221"/>
    </row>
    <row r="1056" spans="18:30" x14ac:dyDescent="0.25">
      <c r="R1056" s="32"/>
      <c r="S1056" s="32"/>
      <c r="T1056" s="32"/>
      <c r="U1056" s="32"/>
      <c r="V1056" s="32"/>
      <c r="W1056" s="32"/>
      <c r="X1056" s="32"/>
      <c r="Y1056" s="32"/>
      <c r="Z1056" s="32"/>
      <c r="AA1056" s="32"/>
      <c r="AB1056" s="32"/>
      <c r="AC1056" s="32"/>
      <c r="AD1056" s="221"/>
    </row>
    <row r="1057" spans="18:30" x14ac:dyDescent="0.25">
      <c r="R1057" s="32"/>
      <c r="S1057" s="32"/>
      <c r="T1057" s="32"/>
      <c r="U1057" s="32"/>
      <c r="V1057" s="32"/>
      <c r="W1057" s="32"/>
      <c r="X1057" s="32"/>
      <c r="Y1057" s="32"/>
      <c r="Z1057" s="32"/>
      <c r="AA1057" s="32"/>
      <c r="AB1057" s="32"/>
      <c r="AC1057" s="32"/>
      <c r="AD1057" s="221"/>
    </row>
    <row r="1058" spans="18:30" x14ac:dyDescent="0.25">
      <c r="R1058" s="32"/>
      <c r="S1058" s="32"/>
      <c r="T1058" s="32"/>
      <c r="U1058" s="32"/>
      <c r="V1058" s="32"/>
      <c r="W1058" s="32"/>
      <c r="X1058" s="32"/>
      <c r="Y1058" s="32"/>
      <c r="Z1058" s="32"/>
      <c r="AA1058" s="32"/>
      <c r="AB1058" s="32"/>
      <c r="AC1058" s="32"/>
      <c r="AD1058" s="221"/>
    </row>
    <row r="1059" spans="18:30" x14ac:dyDescent="0.25">
      <c r="R1059" s="32"/>
      <c r="S1059" s="32"/>
      <c r="T1059" s="32"/>
      <c r="U1059" s="32"/>
      <c r="V1059" s="32"/>
      <c r="W1059" s="32"/>
      <c r="X1059" s="32"/>
      <c r="Y1059" s="32"/>
      <c r="Z1059" s="32"/>
      <c r="AA1059" s="32"/>
      <c r="AB1059" s="32"/>
      <c r="AC1059" s="32"/>
      <c r="AD1059" s="221"/>
    </row>
    <row r="1060" spans="18:30" x14ac:dyDescent="0.25">
      <c r="R1060" s="32"/>
      <c r="S1060" s="32"/>
      <c r="T1060" s="32"/>
      <c r="U1060" s="32"/>
      <c r="V1060" s="32"/>
      <c r="W1060" s="32"/>
      <c r="X1060" s="32"/>
      <c r="Y1060" s="32"/>
      <c r="Z1060" s="32"/>
      <c r="AA1060" s="32"/>
      <c r="AB1060" s="32"/>
      <c r="AC1060" s="32"/>
      <c r="AD1060" s="221"/>
    </row>
    <row r="1061" spans="18:30" x14ac:dyDescent="0.25">
      <c r="R1061" s="32"/>
      <c r="S1061" s="32"/>
      <c r="T1061" s="32"/>
      <c r="U1061" s="32"/>
      <c r="V1061" s="32"/>
      <c r="W1061" s="32"/>
      <c r="X1061" s="32"/>
      <c r="Y1061" s="32"/>
      <c r="Z1061" s="32"/>
      <c r="AA1061" s="32"/>
      <c r="AB1061" s="32"/>
      <c r="AC1061" s="32"/>
      <c r="AD1061" s="221"/>
    </row>
    <row r="1062" spans="18:30" x14ac:dyDescent="0.25">
      <c r="R1062" s="32"/>
      <c r="S1062" s="32"/>
      <c r="T1062" s="32"/>
      <c r="U1062" s="32"/>
      <c r="V1062" s="32"/>
      <c r="W1062" s="32"/>
      <c r="X1062" s="32"/>
      <c r="Y1062" s="32"/>
      <c r="Z1062" s="32"/>
      <c r="AA1062" s="32"/>
      <c r="AB1062" s="32"/>
      <c r="AC1062" s="32"/>
      <c r="AD1062" s="221"/>
    </row>
    <row r="1063" spans="18:30" x14ac:dyDescent="0.25">
      <c r="R1063" s="32"/>
      <c r="S1063" s="32"/>
      <c r="T1063" s="32"/>
      <c r="U1063" s="32"/>
      <c r="V1063" s="32"/>
      <c r="W1063" s="32"/>
      <c r="X1063" s="32"/>
      <c r="Y1063" s="32"/>
      <c r="Z1063" s="32"/>
      <c r="AA1063" s="32"/>
      <c r="AB1063" s="32"/>
      <c r="AC1063" s="32"/>
      <c r="AD1063" s="221"/>
    </row>
    <row r="1064" spans="18:30" x14ac:dyDescent="0.25">
      <c r="R1064" s="32"/>
      <c r="S1064" s="32"/>
      <c r="T1064" s="32"/>
      <c r="U1064" s="32"/>
      <c r="V1064" s="32"/>
      <c r="W1064" s="32"/>
      <c r="X1064" s="32"/>
      <c r="Y1064" s="32"/>
      <c r="Z1064" s="32"/>
      <c r="AA1064" s="32"/>
      <c r="AB1064" s="32"/>
      <c r="AC1064" s="32"/>
      <c r="AD1064" s="221"/>
    </row>
    <row r="1065" spans="18:30" x14ac:dyDescent="0.25">
      <c r="R1065" s="32"/>
      <c r="S1065" s="32"/>
      <c r="T1065" s="32"/>
      <c r="U1065" s="32"/>
      <c r="V1065" s="32"/>
      <c r="W1065" s="32"/>
      <c r="X1065" s="32"/>
      <c r="Y1065" s="32"/>
      <c r="Z1065" s="32"/>
      <c r="AA1065" s="32"/>
      <c r="AB1065" s="32"/>
      <c r="AC1065" s="32"/>
      <c r="AD1065" s="221"/>
    </row>
    <row r="1066" spans="18:30" x14ac:dyDescent="0.25">
      <c r="R1066" s="32"/>
      <c r="S1066" s="32"/>
      <c r="T1066" s="32"/>
      <c r="U1066" s="32"/>
      <c r="V1066" s="32"/>
      <c r="W1066" s="32"/>
      <c r="X1066" s="32"/>
      <c r="Y1066" s="32"/>
      <c r="Z1066" s="32"/>
      <c r="AA1066" s="32"/>
      <c r="AB1066" s="32"/>
      <c r="AC1066" s="32"/>
      <c r="AD1066" s="221"/>
    </row>
    <row r="1067" spans="18:30" x14ac:dyDescent="0.25">
      <c r="R1067" s="32"/>
      <c r="S1067" s="32"/>
      <c r="T1067" s="32"/>
      <c r="U1067" s="32"/>
      <c r="V1067" s="32"/>
      <c r="W1067" s="32"/>
      <c r="X1067" s="32"/>
      <c r="Y1067" s="32"/>
      <c r="Z1067" s="32"/>
      <c r="AA1067" s="32"/>
      <c r="AB1067" s="32"/>
      <c r="AC1067" s="32"/>
      <c r="AD1067" s="221"/>
    </row>
    <row r="1068" spans="18:30" x14ac:dyDescent="0.25">
      <c r="R1068" s="32"/>
      <c r="S1068" s="32"/>
      <c r="T1068" s="32"/>
      <c r="U1068" s="32"/>
      <c r="V1068" s="32"/>
      <c r="W1068" s="32"/>
      <c r="X1068" s="32"/>
      <c r="Y1068" s="32"/>
      <c r="Z1068" s="32"/>
      <c r="AA1068" s="32"/>
      <c r="AB1068" s="32"/>
      <c r="AC1068" s="32"/>
      <c r="AD1068" s="221"/>
    </row>
    <row r="1069" spans="18:30" x14ac:dyDescent="0.25">
      <c r="R1069" s="32"/>
      <c r="S1069" s="32"/>
      <c r="T1069" s="32"/>
      <c r="U1069" s="32"/>
      <c r="V1069" s="32"/>
      <c r="W1069" s="32"/>
      <c r="X1069" s="32"/>
      <c r="Y1069" s="32"/>
      <c r="Z1069" s="32"/>
      <c r="AA1069" s="32"/>
      <c r="AB1069" s="32"/>
      <c r="AC1069" s="32"/>
      <c r="AD1069" s="221"/>
    </row>
    <row r="1070" spans="18:30" x14ac:dyDescent="0.25">
      <c r="R1070" s="32"/>
      <c r="S1070" s="32"/>
      <c r="T1070" s="32"/>
      <c r="U1070" s="32"/>
      <c r="V1070" s="32"/>
      <c r="W1070" s="32"/>
      <c r="X1070" s="32"/>
      <c r="Y1070" s="32"/>
      <c r="Z1070" s="32"/>
      <c r="AA1070" s="32"/>
      <c r="AB1070" s="32"/>
      <c r="AC1070" s="32"/>
      <c r="AD1070" s="221"/>
    </row>
    <row r="1071" spans="18:30" x14ac:dyDescent="0.25">
      <c r="R1071" s="32"/>
      <c r="S1071" s="32"/>
      <c r="T1071" s="32"/>
      <c r="U1071" s="32"/>
      <c r="V1071" s="32"/>
      <c r="W1071" s="32"/>
      <c r="X1071" s="32"/>
      <c r="Y1071" s="32"/>
      <c r="Z1071" s="32"/>
      <c r="AA1071" s="32"/>
      <c r="AB1071" s="32"/>
      <c r="AC1071" s="32"/>
      <c r="AD1071" s="221"/>
    </row>
    <row r="1072" spans="18:30" x14ac:dyDescent="0.25">
      <c r="R1072" s="32"/>
      <c r="S1072" s="32"/>
      <c r="T1072" s="32"/>
      <c r="U1072" s="32"/>
      <c r="V1072" s="32"/>
      <c r="W1072" s="32"/>
      <c r="X1072" s="32"/>
      <c r="Y1072" s="32"/>
      <c r="Z1072" s="32"/>
      <c r="AA1072" s="32"/>
      <c r="AB1072" s="32"/>
      <c r="AC1072" s="32"/>
      <c r="AD1072" s="221"/>
    </row>
    <row r="1073" spans="18:30" x14ac:dyDescent="0.25">
      <c r="R1073" s="32"/>
      <c r="S1073" s="32"/>
      <c r="T1073" s="32"/>
      <c r="U1073" s="32"/>
      <c r="V1073" s="32"/>
      <c r="W1073" s="32"/>
      <c r="X1073" s="32"/>
      <c r="Y1073" s="32"/>
      <c r="Z1073" s="32"/>
      <c r="AA1073" s="32"/>
      <c r="AB1073" s="32"/>
      <c r="AC1073" s="32"/>
      <c r="AD1073" s="221"/>
    </row>
    <row r="1074" spans="18:30" x14ac:dyDescent="0.25">
      <c r="R1074" s="32"/>
      <c r="S1074" s="32"/>
      <c r="T1074" s="32"/>
      <c r="U1074" s="32"/>
      <c r="V1074" s="32"/>
      <c r="W1074" s="32"/>
      <c r="X1074" s="32"/>
      <c r="Y1074" s="32"/>
      <c r="Z1074" s="32"/>
      <c r="AA1074" s="32"/>
      <c r="AB1074" s="32"/>
      <c r="AC1074" s="32"/>
      <c r="AD1074" s="221"/>
    </row>
    <row r="1075" spans="18:30" x14ac:dyDescent="0.25">
      <c r="R1075" s="32"/>
      <c r="S1075" s="32"/>
      <c r="T1075" s="32"/>
      <c r="U1075" s="32"/>
      <c r="V1075" s="32"/>
      <c r="W1075" s="32"/>
      <c r="X1075" s="32"/>
      <c r="Y1075" s="32"/>
      <c r="Z1075" s="32"/>
      <c r="AA1075" s="32"/>
      <c r="AB1075" s="32"/>
      <c r="AC1075" s="32"/>
      <c r="AD1075" s="221"/>
    </row>
    <row r="1076" spans="18:30" x14ac:dyDescent="0.25">
      <c r="R1076" s="32"/>
      <c r="S1076" s="32"/>
      <c r="T1076" s="32"/>
      <c r="U1076" s="32"/>
      <c r="V1076" s="32"/>
      <c r="W1076" s="32"/>
      <c r="X1076" s="32"/>
      <c r="Y1076" s="32"/>
      <c r="Z1076" s="32"/>
      <c r="AA1076" s="32"/>
      <c r="AB1076" s="32"/>
      <c r="AC1076" s="32"/>
      <c r="AD1076" s="221"/>
    </row>
    <row r="1077" spans="18:30" x14ac:dyDescent="0.25">
      <c r="R1077" s="32"/>
      <c r="S1077" s="32"/>
      <c r="T1077" s="32"/>
      <c r="U1077" s="32"/>
      <c r="V1077" s="32"/>
      <c r="W1077" s="32"/>
      <c r="X1077" s="32"/>
      <c r="Y1077" s="32"/>
      <c r="Z1077" s="32"/>
      <c r="AA1077" s="32"/>
      <c r="AB1077" s="32"/>
      <c r="AC1077" s="32"/>
      <c r="AD1077" s="221"/>
    </row>
    <row r="1078" spans="18:30" x14ac:dyDescent="0.25">
      <c r="R1078" s="32"/>
      <c r="S1078" s="32"/>
      <c r="T1078" s="32"/>
      <c r="U1078" s="32"/>
      <c r="V1078" s="32"/>
      <c r="W1078" s="32"/>
      <c r="X1078" s="32"/>
      <c r="Y1078" s="32"/>
      <c r="Z1078" s="32"/>
      <c r="AA1078" s="32"/>
      <c r="AB1078" s="32"/>
      <c r="AC1078" s="32"/>
      <c r="AD1078" s="221"/>
    </row>
    <row r="1079" spans="18:30" x14ac:dyDescent="0.25">
      <c r="R1079" s="32"/>
      <c r="S1079" s="32"/>
      <c r="T1079" s="32"/>
      <c r="U1079" s="32"/>
      <c r="V1079" s="32"/>
      <c r="W1079" s="32"/>
      <c r="X1079" s="32"/>
      <c r="Y1079" s="32"/>
      <c r="Z1079" s="32"/>
      <c r="AA1079" s="32"/>
      <c r="AB1079" s="32"/>
      <c r="AC1079" s="32"/>
      <c r="AD1079" s="221"/>
    </row>
    <row r="1080" spans="18:30" x14ac:dyDescent="0.25">
      <c r="R1080" s="32"/>
      <c r="S1080" s="32"/>
      <c r="T1080" s="32"/>
      <c r="U1080" s="32"/>
      <c r="V1080" s="32"/>
      <c r="W1080" s="32"/>
      <c r="X1080" s="32"/>
      <c r="Y1080" s="32"/>
      <c r="Z1080" s="32"/>
      <c r="AA1080" s="32"/>
      <c r="AB1080" s="32"/>
      <c r="AC1080" s="32"/>
      <c r="AD1080" s="221"/>
    </row>
    <row r="1081" spans="18:30" x14ac:dyDescent="0.25">
      <c r="R1081" s="32"/>
      <c r="S1081" s="32"/>
      <c r="T1081" s="32"/>
      <c r="U1081" s="32"/>
      <c r="V1081" s="32"/>
      <c r="W1081" s="32"/>
      <c r="X1081" s="32"/>
      <c r="Y1081" s="32"/>
      <c r="Z1081" s="32"/>
      <c r="AA1081" s="32"/>
      <c r="AB1081" s="32"/>
      <c r="AC1081" s="32"/>
      <c r="AD1081" s="221"/>
    </row>
    <row r="1082" spans="18:30" x14ac:dyDescent="0.25">
      <c r="R1082" s="32"/>
      <c r="S1082" s="32"/>
      <c r="T1082" s="32"/>
      <c r="U1082" s="32"/>
      <c r="V1082" s="32"/>
      <c r="W1082" s="32"/>
      <c r="X1082" s="32"/>
      <c r="Y1082" s="32"/>
      <c r="Z1082" s="32"/>
      <c r="AA1082" s="32"/>
      <c r="AB1082" s="32"/>
      <c r="AC1082" s="32"/>
      <c r="AD1082" s="221"/>
    </row>
    <row r="1083" spans="18:30" x14ac:dyDescent="0.25">
      <c r="R1083" s="32"/>
      <c r="S1083" s="32"/>
      <c r="T1083" s="32"/>
      <c r="U1083" s="32"/>
      <c r="V1083" s="32"/>
      <c r="W1083" s="32"/>
      <c r="X1083" s="32"/>
      <c r="Y1083" s="32"/>
      <c r="Z1083" s="32"/>
      <c r="AA1083" s="32"/>
      <c r="AB1083" s="32"/>
      <c r="AC1083" s="32"/>
      <c r="AD1083" s="221"/>
    </row>
    <row r="1084" spans="18:30" x14ac:dyDescent="0.25">
      <c r="R1084" s="32"/>
      <c r="S1084" s="32"/>
      <c r="T1084" s="32"/>
      <c r="U1084" s="32"/>
      <c r="V1084" s="32"/>
      <c r="W1084" s="32"/>
      <c r="X1084" s="32"/>
      <c r="Y1084" s="32"/>
      <c r="Z1084" s="32"/>
      <c r="AA1084" s="32"/>
      <c r="AB1084" s="32"/>
      <c r="AC1084" s="32"/>
      <c r="AD1084" s="221"/>
    </row>
    <row r="1085" spans="18:30" x14ac:dyDescent="0.25">
      <c r="R1085" s="32"/>
      <c r="S1085" s="32"/>
      <c r="T1085" s="32"/>
      <c r="U1085" s="32"/>
      <c r="V1085" s="32"/>
      <c r="W1085" s="32"/>
      <c r="X1085" s="32"/>
      <c r="Y1085" s="32"/>
      <c r="Z1085" s="32"/>
      <c r="AA1085" s="32"/>
      <c r="AB1085" s="32"/>
      <c r="AC1085" s="32"/>
      <c r="AD1085" s="221"/>
    </row>
    <row r="1086" spans="18:30" x14ac:dyDescent="0.25">
      <c r="R1086" s="32"/>
      <c r="S1086" s="32"/>
      <c r="T1086" s="32"/>
      <c r="U1086" s="32"/>
      <c r="V1086" s="32"/>
      <c r="W1086" s="32"/>
      <c r="X1086" s="32"/>
      <c r="Y1086" s="32"/>
      <c r="Z1086" s="32"/>
      <c r="AA1086" s="32"/>
      <c r="AB1086" s="32"/>
      <c r="AC1086" s="32"/>
      <c r="AD1086" s="221"/>
    </row>
    <row r="1087" spans="18:30" x14ac:dyDescent="0.25">
      <c r="R1087" s="32"/>
      <c r="S1087" s="32"/>
      <c r="T1087" s="32"/>
      <c r="U1087" s="32"/>
      <c r="V1087" s="32"/>
      <c r="W1087" s="32"/>
      <c r="X1087" s="32"/>
      <c r="Y1087" s="32"/>
      <c r="Z1087" s="32"/>
      <c r="AA1087" s="32"/>
      <c r="AB1087" s="32"/>
      <c r="AC1087" s="32"/>
      <c r="AD1087" s="221"/>
    </row>
    <row r="1088" spans="18:30" x14ac:dyDescent="0.25">
      <c r="R1088" s="32"/>
      <c r="S1088" s="32"/>
      <c r="T1088" s="32"/>
      <c r="U1088" s="32"/>
      <c r="V1088" s="32"/>
      <c r="W1088" s="32"/>
      <c r="X1088" s="32"/>
      <c r="Y1088" s="32"/>
      <c r="Z1088" s="32"/>
      <c r="AA1088" s="32"/>
      <c r="AB1088" s="32"/>
      <c r="AC1088" s="32"/>
      <c r="AD1088" s="221"/>
    </row>
    <row r="1089" spans="18:30" x14ac:dyDescent="0.25">
      <c r="R1089" s="32"/>
      <c r="S1089" s="32"/>
      <c r="T1089" s="32"/>
      <c r="U1089" s="32"/>
      <c r="V1089" s="32"/>
      <c r="W1089" s="32"/>
      <c r="X1089" s="32"/>
      <c r="Y1089" s="32"/>
      <c r="Z1089" s="32"/>
      <c r="AA1089" s="32"/>
      <c r="AB1089" s="32"/>
      <c r="AC1089" s="32"/>
      <c r="AD1089" s="221"/>
    </row>
    <row r="1090" spans="18:30" x14ac:dyDescent="0.25">
      <c r="R1090" s="32"/>
      <c r="S1090" s="32"/>
      <c r="T1090" s="32"/>
      <c r="U1090" s="32"/>
      <c r="V1090" s="32"/>
      <c r="W1090" s="32"/>
      <c r="X1090" s="32"/>
      <c r="Y1090" s="32"/>
      <c r="Z1090" s="32"/>
      <c r="AA1090" s="32"/>
      <c r="AB1090" s="32"/>
      <c r="AC1090" s="32"/>
      <c r="AD1090" s="221"/>
    </row>
    <row r="1091" spans="18:30" x14ac:dyDescent="0.25">
      <c r="R1091" s="32"/>
      <c r="S1091" s="32"/>
      <c r="T1091" s="32"/>
      <c r="U1091" s="32"/>
      <c r="V1091" s="32"/>
      <c r="W1091" s="32"/>
      <c r="X1091" s="32"/>
      <c r="Y1091" s="32"/>
      <c r="Z1091" s="32"/>
      <c r="AA1091" s="32"/>
      <c r="AB1091" s="32"/>
      <c r="AC1091" s="32"/>
      <c r="AD1091" s="221"/>
    </row>
    <row r="1092" spans="18:30" x14ac:dyDescent="0.25">
      <c r="R1092" s="32"/>
      <c r="S1092" s="32"/>
      <c r="T1092" s="32"/>
      <c r="U1092" s="32"/>
      <c r="V1092" s="32"/>
      <c r="W1092" s="32"/>
      <c r="X1092" s="32"/>
      <c r="Y1092" s="32"/>
      <c r="Z1092" s="32"/>
      <c r="AA1092" s="32"/>
      <c r="AB1092" s="32"/>
      <c r="AC1092" s="32"/>
      <c r="AD1092" s="221"/>
    </row>
    <row r="1093" spans="18:30" x14ac:dyDescent="0.25">
      <c r="R1093" s="32"/>
      <c r="S1093" s="32"/>
      <c r="T1093" s="32"/>
      <c r="U1093" s="32"/>
      <c r="V1093" s="32"/>
      <c r="W1093" s="32"/>
      <c r="X1093" s="32"/>
      <c r="Y1093" s="32"/>
      <c r="Z1093" s="32"/>
      <c r="AA1093" s="32"/>
      <c r="AB1093" s="32"/>
      <c r="AC1093" s="32"/>
      <c r="AD1093" s="221"/>
    </row>
    <row r="1094" spans="18:30" x14ac:dyDescent="0.25">
      <c r="R1094" s="32"/>
      <c r="S1094" s="32"/>
      <c r="T1094" s="32"/>
      <c r="U1094" s="32"/>
      <c r="V1094" s="32"/>
      <c r="W1094" s="32"/>
      <c r="X1094" s="32"/>
      <c r="Y1094" s="32"/>
      <c r="Z1094" s="32"/>
      <c r="AA1094" s="32"/>
      <c r="AB1094" s="32"/>
      <c r="AC1094" s="32"/>
      <c r="AD1094" s="221"/>
    </row>
    <row r="1095" spans="18:30" x14ac:dyDescent="0.25">
      <c r="R1095" s="32"/>
      <c r="S1095" s="32"/>
      <c r="T1095" s="32"/>
      <c r="U1095" s="32"/>
      <c r="V1095" s="32"/>
      <c r="W1095" s="32"/>
      <c r="X1095" s="32"/>
      <c r="Y1095" s="32"/>
      <c r="Z1095" s="32"/>
      <c r="AA1095" s="32"/>
      <c r="AB1095" s="32"/>
      <c r="AC1095" s="32"/>
      <c r="AD1095" s="221"/>
    </row>
    <row r="1096" spans="18:30" x14ac:dyDescent="0.25">
      <c r="R1096" s="32"/>
      <c r="S1096" s="32"/>
      <c r="T1096" s="32"/>
      <c r="U1096" s="32"/>
      <c r="V1096" s="32"/>
      <c r="W1096" s="32"/>
      <c r="X1096" s="32"/>
      <c r="Y1096" s="32"/>
      <c r="Z1096" s="32"/>
      <c r="AA1096" s="32"/>
      <c r="AB1096" s="32"/>
      <c r="AC1096" s="32"/>
      <c r="AD1096" s="221"/>
    </row>
    <row r="1097" spans="18:30" x14ac:dyDescent="0.25">
      <c r="R1097" s="32"/>
      <c r="S1097" s="32"/>
      <c r="T1097" s="32"/>
      <c r="U1097" s="32"/>
      <c r="V1097" s="32"/>
      <c r="W1097" s="32"/>
      <c r="X1097" s="32"/>
      <c r="Y1097" s="32"/>
      <c r="Z1097" s="32"/>
      <c r="AA1097" s="32"/>
      <c r="AB1097" s="32"/>
      <c r="AC1097" s="32"/>
      <c r="AD1097" s="221"/>
    </row>
    <row r="1098" spans="18:30" x14ac:dyDescent="0.25">
      <c r="R1098" s="32"/>
      <c r="S1098" s="32"/>
      <c r="T1098" s="32"/>
      <c r="U1098" s="32"/>
      <c r="V1098" s="32"/>
      <c r="W1098" s="32"/>
      <c r="X1098" s="32"/>
      <c r="Y1098" s="32"/>
      <c r="Z1098" s="32"/>
      <c r="AA1098" s="32"/>
      <c r="AB1098" s="32"/>
      <c r="AC1098" s="32"/>
      <c r="AD1098" s="221"/>
    </row>
    <row r="1099" spans="18:30" x14ac:dyDescent="0.25">
      <c r="R1099" s="32"/>
      <c r="S1099" s="32"/>
      <c r="T1099" s="32"/>
      <c r="U1099" s="32"/>
      <c r="V1099" s="32"/>
      <c r="W1099" s="32"/>
      <c r="X1099" s="32"/>
      <c r="Y1099" s="32"/>
      <c r="Z1099" s="32"/>
      <c r="AA1099" s="32"/>
      <c r="AB1099" s="32"/>
      <c r="AC1099" s="32"/>
      <c r="AD1099" s="221"/>
    </row>
    <row r="1100" spans="18:30" x14ac:dyDescent="0.25">
      <c r="R1100" s="32"/>
      <c r="S1100" s="32"/>
      <c r="T1100" s="32"/>
      <c r="U1100" s="32"/>
      <c r="V1100" s="32"/>
      <c r="W1100" s="32"/>
      <c r="X1100" s="32"/>
      <c r="Y1100" s="32"/>
      <c r="Z1100" s="32"/>
      <c r="AA1100" s="32"/>
      <c r="AB1100" s="32"/>
      <c r="AC1100" s="32"/>
      <c r="AD1100" s="221"/>
    </row>
    <row r="1101" spans="18:30" x14ac:dyDescent="0.25">
      <c r="R1101" s="32"/>
      <c r="S1101" s="32"/>
      <c r="T1101" s="32"/>
      <c r="U1101" s="32"/>
      <c r="V1101" s="32"/>
      <c r="W1101" s="32"/>
      <c r="X1101" s="32"/>
      <c r="Y1101" s="32"/>
      <c r="Z1101" s="32"/>
      <c r="AA1101" s="32"/>
      <c r="AB1101" s="32"/>
      <c r="AC1101" s="32"/>
      <c r="AD1101" s="221"/>
    </row>
    <row r="1102" spans="18:30" x14ac:dyDescent="0.25">
      <c r="R1102" s="32"/>
      <c r="S1102" s="32"/>
      <c r="T1102" s="32"/>
      <c r="U1102" s="32"/>
      <c r="V1102" s="32"/>
      <c r="W1102" s="32"/>
      <c r="X1102" s="32"/>
      <c r="Y1102" s="32"/>
      <c r="Z1102" s="32"/>
      <c r="AA1102" s="32"/>
      <c r="AB1102" s="32"/>
      <c r="AC1102" s="32"/>
      <c r="AD1102" s="221"/>
    </row>
    <row r="1103" spans="18:30" x14ac:dyDescent="0.25">
      <c r="R1103" s="32"/>
      <c r="S1103" s="32"/>
      <c r="T1103" s="32"/>
      <c r="U1103" s="32"/>
      <c r="V1103" s="32"/>
      <c r="W1103" s="32"/>
      <c r="X1103" s="32"/>
      <c r="Y1103" s="32"/>
      <c r="Z1103" s="32"/>
      <c r="AA1103" s="32"/>
      <c r="AB1103" s="32"/>
      <c r="AC1103" s="32"/>
      <c r="AD1103" s="221"/>
    </row>
    <row r="1104" spans="18:30" x14ac:dyDescent="0.25">
      <c r="R1104" s="32"/>
      <c r="S1104" s="32"/>
      <c r="T1104" s="32"/>
      <c r="U1104" s="32"/>
      <c r="V1104" s="32"/>
      <c r="W1104" s="32"/>
      <c r="X1104" s="32"/>
      <c r="Y1104" s="32"/>
      <c r="Z1104" s="32"/>
      <c r="AA1104" s="32"/>
      <c r="AB1104" s="32"/>
      <c r="AC1104" s="32"/>
      <c r="AD1104" s="221"/>
    </row>
    <row r="1105" spans="18:30" x14ac:dyDescent="0.25">
      <c r="R1105" s="32"/>
      <c r="S1105" s="32"/>
      <c r="T1105" s="32"/>
      <c r="U1105" s="32"/>
      <c r="V1105" s="32"/>
      <c r="W1105" s="32"/>
      <c r="X1105" s="32"/>
      <c r="Y1105" s="32"/>
      <c r="Z1105" s="32"/>
      <c r="AA1105" s="32"/>
      <c r="AB1105" s="32"/>
      <c r="AC1105" s="32"/>
      <c r="AD1105" s="221"/>
    </row>
    <row r="1106" spans="18:30" x14ac:dyDescent="0.25">
      <c r="R1106" s="32"/>
      <c r="S1106" s="32"/>
      <c r="T1106" s="32"/>
      <c r="U1106" s="32"/>
      <c r="V1106" s="32"/>
      <c r="W1106" s="32"/>
      <c r="X1106" s="32"/>
      <c r="Y1106" s="32"/>
      <c r="Z1106" s="32"/>
      <c r="AA1106" s="32"/>
      <c r="AB1106" s="32"/>
      <c r="AC1106" s="32"/>
      <c r="AD1106" s="221"/>
    </row>
    <row r="1107" spans="18:30" x14ac:dyDescent="0.25">
      <c r="R1107" s="32"/>
      <c r="S1107" s="32"/>
      <c r="T1107" s="32"/>
      <c r="U1107" s="32"/>
      <c r="V1107" s="32"/>
      <c r="W1107" s="32"/>
      <c r="X1107" s="32"/>
      <c r="Y1107" s="32"/>
      <c r="Z1107" s="32"/>
      <c r="AA1107" s="32"/>
      <c r="AB1107" s="32"/>
      <c r="AC1107" s="32"/>
      <c r="AD1107" s="221"/>
    </row>
    <row r="1108" spans="18:30" x14ac:dyDescent="0.25">
      <c r="R1108" s="32"/>
      <c r="S1108" s="32"/>
      <c r="T1108" s="32"/>
      <c r="U1108" s="32"/>
      <c r="V1108" s="32"/>
      <c r="W1108" s="32"/>
      <c r="X1108" s="32"/>
      <c r="Y1108" s="32"/>
      <c r="Z1108" s="32"/>
      <c r="AA1108" s="32"/>
      <c r="AB1108" s="32"/>
      <c r="AC1108" s="32"/>
      <c r="AD1108" s="221"/>
    </row>
    <row r="1109" spans="18:30" x14ac:dyDescent="0.25">
      <c r="R1109" s="32"/>
      <c r="S1109" s="32"/>
      <c r="T1109" s="32"/>
      <c r="U1109" s="32"/>
      <c r="V1109" s="32"/>
      <c r="W1109" s="32"/>
      <c r="X1109" s="32"/>
      <c r="Y1109" s="32"/>
      <c r="Z1109" s="32"/>
      <c r="AA1109" s="32"/>
      <c r="AB1109" s="32"/>
      <c r="AC1109" s="32"/>
      <c r="AD1109" s="221"/>
    </row>
    <row r="1110" spans="18:30" x14ac:dyDescent="0.25">
      <c r="R1110" s="32"/>
      <c r="S1110" s="32"/>
      <c r="T1110" s="32"/>
      <c r="U1110" s="32"/>
      <c r="V1110" s="32"/>
      <c r="W1110" s="32"/>
      <c r="X1110" s="32"/>
      <c r="Y1110" s="32"/>
      <c r="Z1110" s="32"/>
      <c r="AA1110" s="32"/>
      <c r="AB1110" s="32"/>
      <c r="AC1110" s="32"/>
      <c r="AD1110" s="221"/>
    </row>
    <row r="1111" spans="18:30" x14ac:dyDescent="0.25">
      <c r="R1111" s="32"/>
      <c r="S1111" s="32"/>
      <c r="T1111" s="32"/>
      <c r="U1111" s="32"/>
      <c r="V1111" s="32"/>
      <c r="W1111" s="32"/>
      <c r="X1111" s="32"/>
      <c r="Y1111" s="32"/>
      <c r="Z1111" s="32"/>
      <c r="AA1111" s="32"/>
      <c r="AB1111" s="32"/>
      <c r="AC1111" s="32"/>
      <c r="AD1111" s="221"/>
    </row>
    <row r="1112" spans="18:30" x14ac:dyDescent="0.25">
      <c r="R1112" s="32"/>
      <c r="S1112" s="32"/>
      <c r="T1112" s="32"/>
      <c r="U1112" s="32"/>
      <c r="V1112" s="32"/>
      <c r="W1112" s="32"/>
      <c r="X1112" s="32"/>
      <c r="Y1112" s="32"/>
      <c r="Z1112" s="32"/>
      <c r="AA1112" s="32"/>
      <c r="AB1112" s="32"/>
      <c r="AC1112" s="32"/>
      <c r="AD1112" s="221"/>
    </row>
    <row r="1113" spans="18:30" x14ac:dyDescent="0.25">
      <c r="R1113" s="32"/>
      <c r="S1113" s="32"/>
      <c r="T1113" s="32"/>
      <c r="U1113" s="32"/>
      <c r="V1113" s="32"/>
      <c r="W1113" s="32"/>
      <c r="X1113" s="32"/>
      <c r="Y1113" s="32"/>
      <c r="Z1113" s="32"/>
      <c r="AA1113" s="32"/>
      <c r="AB1113" s="32"/>
      <c r="AC1113" s="32"/>
      <c r="AD1113" s="221"/>
    </row>
    <row r="1114" spans="18:30" x14ac:dyDescent="0.25">
      <c r="R1114" s="32"/>
      <c r="S1114" s="32"/>
      <c r="T1114" s="32"/>
      <c r="U1114" s="32"/>
      <c r="V1114" s="32"/>
      <c r="W1114" s="32"/>
      <c r="X1114" s="32"/>
      <c r="Y1114" s="32"/>
      <c r="Z1114" s="32"/>
      <c r="AA1114" s="32"/>
      <c r="AB1114" s="32"/>
      <c r="AC1114" s="32"/>
      <c r="AD1114" s="221"/>
    </row>
    <row r="1115" spans="18:30" x14ac:dyDescent="0.25">
      <c r="R1115" s="32"/>
      <c r="S1115" s="32"/>
      <c r="T1115" s="32"/>
      <c r="U1115" s="32"/>
      <c r="V1115" s="32"/>
      <c r="W1115" s="32"/>
      <c r="X1115" s="32"/>
      <c r="Y1115" s="32"/>
      <c r="Z1115" s="32"/>
      <c r="AA1115" s="32"/>
      <c r="AB1115" s="32"/>
      <c r="AC1115" s="32"/>
      <c r="AD1115" s="221"/>
    </row>
    <row r="1116" spans="18:30" x14ac:dyDescent="0.25">
      <c r="R1116" s="32"/>
      <c r="S1116" s="32"/>
      <c r="T1116" s="32"/>
      <c r="U1116" s="32"/>
      <c r="V1116" s="32"/>
      <c r="W1116" s="32"/>
      <c r="X1116" s="32"/>
      <c r="Y1116" s="32"/>
      <c r="Z1116" s="32"/>
      <c r="AA1116" s="32"/>
      <c r="AB1116" s="32"/>
      <c r="AC1116" s="32"/>
      <c r="AD1116" s="221"/>
    </row>
    <row r="1117" spans="18:30" x14ac:dyDescent="0.25">
      <c r="R1117" s="32"/>
      <c r="S1117" s="32"/>
      <c r="T1117" s="32"/>
      <c r="U1117" s="32"/>
      <c r="V1117" s="32"/>
      <c r="W1117" s="32"/>
      <c r="X1117" s="32"/>
      <c r="Y1117" s="32"/>
      <c r="Z1117" s="32"/>
      <c r="AA1117" s="32"/>
      <c r="AB1117" s="32"/>
      <c r="AC1117" s="32"/>
      <c r="AD1117" s="221"/>
    </row>
    <row r="1118" spans="18:30" x14ac:dyDescent="0.25">
      <c r="R1118" s="32"/>
      <c r="S1118" s="32"/>
      <c r="T1118" s="32"/>
      <c r="U1118" s="32"/>
      <c r="V1118" s="32"/>
      <c r="W1118" s="32"/>
      <c r="X1118" s="32"/>
      <c r="Y1118" s="32"/>
      <c r="Z1118" s="32"/>
      <c r="AA1118" s="32"/>
      <c r="AB1118" s="32"/>
      <c r="AC1118" s="32"/>
      <c r="AD1118" s="221"/>
    </row>
    <row r="1119" spans="18:30" x14ac:dyDescent="0.25">
      <c r="R1119" s="32"/>
      <c r="S1119" s="32"/>
      <c r="T1119" s="32"/>
      <c r="U1119" s="32"/>
      <c r="V1119" s="32"/>
      <c r="W1119" s="32"/>
      <c r="X1119" s="32"/>
      <c r="Y1119" s="32"/>
      <c r="Z1119" s="32"/>
      <c r="AA1119" s="32"/>
      <c r="AB1119" s="32"/>
      <c r="AC1119" s="32"/>
      <c r="AD1119" s="221"/>
    </row>
    <row r="1120" spans="18:30" x14ac:dyDescent="0.25">
      <c r="R1120" s="32"/>
      <c r="S1120" s="32"/>
      <c r="T1120" s="32"/>
      <c r="U1120" s="32"/>
      <c r="V1120" s="32"/>
      <c r="W1120" s="32"/>
      <c r="X1120" s="32"/>
      <c r="Y1120" s="32"/>
      <c r="Z1120" s="32"/>
      <c r="AA1120" s="32"/>
      <c r="AB1120" s="32"/>
      <c r="AC1120" s="32"/>
      <c r="AD1120" s="221"/>
    </row>
    <row r="1121" spans="18:30" x14ac:dyDescent="0.25">
      <c r="R1121" s="32"/>
      <c r="S1121" s="32"/>
      <c r="T1121" s="32"/>
      <c r="U1121" s="32"/>
      <c r="V1121" s="32"/>
      <c r="W1121" s="32"/>
      <c r="X1121" s="32"/>
      <c r="Y1121" s="32"/>
      <c r="Z1121" s="32"/>
      <c r="AA1121" s="32"/>
      <c r="AB1121" s="32"/>
      <c r="AC1121" s="32"/>
      <c r="AD1121" s="221"/>
    </row>
    <row r="1122" spans="18:30" x14ac:dyDescent="0.25">
      <c r="R1122" s="32"/>
      <c r="S1122" s="32"/>
      <c r="T1122" s="32"/>
      <c r="U1122" s="32"/>
      <c r="V1122" s="32"/>
      <c r="W1122" s="32"/>
      <c r="X1122" s="32"/>
      <c r="Y1122" s="32"/>
      <c r="Z1122" s="32"/>
      <c r="AA1122" s="32"/>
      <c r="AB1122" s="32"/>
      <c r="AC1122" s="32"/>
      <c r="AD1122" s="221"/>
    </row>
    <row r="1123" spans="18:30" x14ac:dyDescent="0.25">
      <c r="R1123" s="32"/>
      <c r="S1123" s="32"/>
      <c r="T1123" s="32"/>
      <c r="U1123" s="32"/>
      <c r="V1123" s="32"/>
      <c r="W1123" s="32"/>
      <c r="X1123" s="32"/>
      <c r="Y1123" s="32"/>
      <c r="Z1123" s="32"/>
      <c r="AA1123" s="32"/>
      <c r="AB1123" s="32"/>
      <c r="AC1123" s="32"/>
      <c r="AD1123" s="221"/>
    </row>
    <row r="1124" spans="18:30" x14ac:dyDescent="0.25">
      <c r="R1124" s="32"/>
      <c r="S1124" s="32"/>
      <c r="T1124" s="32"/>
      <c r="U1124" s="32"/>
      <c r="V1124" s="32"/>
      <c r="W1124" s="32"/>
      <c r="X1124" s="32"/>
      <c r="Y1124" s="32"/>
      <c r="Z1124" s="32"/>
      <c r="AA1124" s="32"/>
      <c r="AB1124" s="32"/>
      <c r="AC1124" s="32"/>
      <c r="AD1124" s="221"/>
    </row>
    <row r="1125" spans="18:30" x14ac:dyDescent="0.25">
      <c r="R1125" s="32"/>
      <c r="S1125" s="32"/>
      <c r="T1125" s="32"/>
      <c r="U1125" s="32"/>
      <c r="V1125" s="32"/>
      <c r="W1125" s="32"/>
      <c r="X1125" s="32"/>
      <c r="Y1125" s="32"/>
      <c r="Z1125" s="32"/>
      <c r="AA1125" s="32"/>
      <c r="AB1125" s="32"/>
      <c r="AC1125" s="32"/>
      <c r="AD1125" s="221"/>
    </row>
    <row r="1126" spans="18:30" x14ac:dyDescent="0.25">
      <c r="R1126" s="32"/>
      <c r="S1126" s="32"/>
      <c r="T1126" s="32"/>
      <c r="U1126" s="32"/>
      <c r="V1126" s="32"/>
      <c r="W1126" s="32"/>
      <c r="X1126" s="32"/>
      <c r="Y1126" s="32"/>
      <c r="Z1126" s="32"/>
      <c r="AA1126" s="32"/>
      <c r="AB1126" s="32"/>
      <c r="AC1126" s="32"/>
      <c r="AD1126" s="221"/>
    </row>
    <row r="1127" spans="18:30" x14ac:dyDescent="0.25">
      <c r="R1127" s="32"/>
      <c r="S1127" s="32"/>
      <c r="T1127" s="32"/>
      <c r="U1127" s="32"/>
      <c r="V1127" s="32"/>
      <c r="W1127" s="32"/>
      <c r="X1127" s="32"/>
      <c r="Y1127" s="32"/>
      <c r="Z1127" s="32"/>
      <c r="AA1127" s="32"/>
      <c r="AB1127" s="32"/>
      <c r="AC1127" s="32"/>
      <c r="AD1127" s="221"/>
    </row>
    <row r="1128" spans="18:30" x14ac:dyDescent="0.25">
      <c r="R1128" s="32"/>
      <c r="S1128" s="32"/>
      <c r="T1128" s="32"/>
      <c r="U1128" s="32"/>
      <c r="V1128" s="32"/>
      <c r="W1128" s="32"/>
      <c r="X1128" s="32"/>
      <c r="Y1128" s="32"/>
      <c r="Z1128" s="32"/>
      <c r="AA1128" s="32"/>
      <c r="AB1128" s="32"/>
      <c r="AC1128" s="32"/>
      <c r="AD1128" s="221"/>
    </row>
    <row r="1129" spans="18:30" x14ac:dyDescent="0.25">
      <c r="R1129" s="32"/>
      <c r="S1129" s="32"/>
      <c r="T1129" s="32"/>
      <c r="U1129" s="32"/>
      <c r="V1129" s="32"/>
      <c r="W1129" s="32"/>
      <c r="X1129" s="32"/>
      <c r="Y1129" s="32"/>
      <c r="Z1129" s="32"/>
      <c r="AA1129" s="32"/>
      <c r="AB1129" s="32"/>
      <c r="AC1129" s="32"/>
      <c r="AD1129" s="221"/>
    </row>
    <row r="1130" spans="18:30" x14ac:dyDescent="0.25">
      <c r="R1130" s="32"/>
      <c r="S1130" s="32"/>
      <c r="T1130" s="32"/>
      <c r="U1130" s="32"/>
      <c r="V1130" s="32"/>
      <c r="W1130" s="32"/>
      <c r="X1130" s="32"/>
      <c r="Y1130" s="32"/>
      <c r="Z1130" s="32"/>
      <c r="AA1130" s="32"/>
      <c r="AB1130" s="32"/>
      <c r="AC1130" s="32"/>
      <c r="AD1130" s="221"/>
    </row>
    <row r="1131" spans="18:30" x14ac:dyDescent="0.25">
      <c r="R1131" s="32"/>
      <c r="S1131" s="32"/>
      <c r="T1131" s="32"/>
      <c r="U1131" s="32"/>
      <c r="V1131" s="32"/>
      <c r="W1131" s="32"/>
      <c r="X1131" s="32"/>
      <c r="Y1131" s="32"/>
      <c r="Z1131" s="32"/>
      <c r="AA1131" s="32"/>
      <c r="AB1131" s="32"/>
      <c r="AC1131" s="32"/>
      <c r="AD1131" s="221"/>
    </row>
    <row r="1132" spans="18:30" x14ac:dyDescent="0.25">
      <c r="R1132" s="32"/>
      <c r="S1132" s="32"/>
      <c r="T1132" s="32"/>
      <c r="U1132" s="32"/>
      <c r="V1132" s="32"/>
      <c r="W1132" s="32"/>
      <c r="X1132" s="32"/>
      <c r="Y1132" s="32"/>
      <c r="Z1132" s="32"/>
      <c r="AA1132" s="32"/>
      <c r="AB1132" s="32"/>
      <c r="AC1132" s="32"/>
      <c r="AD1132" s="221"/>
    </row>
    <row r="1133" spans="18:30" x14ac:dyDescent="0.25">
      <c r="R1133" s="32"/>
      <c r="S1133" s="32"/>
      <c r="T1133" s="32"/>
      <c r="U1133" s="32"/>
      <c r="V1133" s="32"/>
      <c r="W1133" s="32"/>
      <c r="X1133" s="32"/>
      <c r="Y1133" s="32"/>
      <c r="Z1133" s="32"/>
      <c r="AA1133" s="32"/>
      <c r="AB1133" s="32"/>
      <c r="AC1133" s="32"/>
      <c r="AD1133" s="221"/>
    </row>
    <row r="1134" spans="18:30" x14ac:dyDescent="0.25">
      <c r="R1134" s="32"/>
      <c r="S1134" s="32"/>
      <c r="T1134" s="32"/>
      <c r="U1134" s="32"/>
      <c r="V1134" s="32"/>
      <c r="W1134" s="32"/>
      <c r="X1134" s="32"/>
      <c r="Y1134" s="32"/>
      <c r="Z1134" s="32"/>
      <c r="AA1134" s="32"/>
      <c r="AB1134" s="32"/>
      <c r="AC1134" s="32"/>
      <c r="AD1134" s="221"/>
    </row>
    <row r="1135" spans="18:30" x14ac:dyDescent="0.25">
      <c r="R1135" s="32"/>
      <c r="S1135" s="32"/>
      <c r="T1135" s="32"/>
      <c r="U1135" s="32"/>
      <c r="V1135" s="32"/>
      <c r="W1135" s="32"/>
      <c r="X1135" s="32"/>
      <c r="Y1135" s="32"/>
      <c r="Z1135" s="32"/>
      <c r="AA1135" s="32"/>
      <c r="AB1135" s="32"/>
      <c r="AC1135" s="32"/>
      <c r="AD1135" s="221"/>
    </row>
    <row r="1136" spans="18:30" x14ac:dyDescent="0.25">
      <c r="R1136" s="32"/>
      <c r="S1136" s="32"/>
      <c r="T1136" s="32"/>
      <c r="U1136" s="32"/>
      <c r="V1136" s="32"/>
      <c r="W1136" s="32"/>
      <c r="X1136" s="32"/>
      <c r="Y1136" s="32"/>
      <c r="Z1136" s="32"/>
      <c r="AA1136" s="32"/>
      <c r="AB1136" s="32"/>
      <c r="AC1136" s="32"/>
      <c r="AD1136" s="221"/>
    </row>
    <row r="1137" spans="18:30" x14ac:dyDescent="0.25">
      <c r="R1137" s="32"/>
      <c r="S1137" s="32"/>
      <c r="T1137" s="32"/>
      <c r="U1137" s="32"/>
      <c r="V1137" s="32"/>
      <c r="W1137" s="32"/>
      <c r="X1137" s="32"/>
      <c r="Y1137" s="32"/>
      <c r="Z1137" s="32"/>
      <c r="AA1137" s="32"/>
      <c r="AB1137" s="32"/>
      <c r="AC1137" s="32"/>
      <c r="AD1137" s="221"/>
    </row>
    <row r="1138" spans="18:30" x14ac:dyDescent="0.25">
      <c r="R1138" s="32"/>
      <c r="S1138" s="32"/>
      <c r="T1138" s="32"/>
      <c r="U1138" s="32"/>
      <c r="V1138" s="32"/>
      <c r="W1138" s="32"/>
      <c r="X1138" s="32"/>
      <c r="Y1138" s="32"/>
      <c r="Z1138" s="32"/>
      <c r="AA1138" s="32"/>
      <c r="AB1138" s="32"/>
      <c r="AC1138" s="32"/>
      <c r="AD1138" s="221"/>
    </row>
    <row r="1139" spans="18:30" x14ac:dyDescent="0.25">
      <c r="R1139" s="32"/>
      <c r="S1139" s="32"/>
      <c r="T1139" s="32"/>
      <c r="U1139" s="32"/>
      <c r="V1139" s="32"/>
      <c r="W1139" s="32"/>
      <c r="X1139" s="32"/>
      <c r="Y1139" s="32"/>
      <c r="Z1139" s="32"/>
      <c r="AA1139" s="32"/>
      <c r="AB1139" s="32"/>
      <c r="AC1139" s="32"/>
      <c r="AD1139" s="221"/>
    </row>
    <row r="1140" spans="18:30" x14ac:dyDescent="0.25">
      <c r="R1140" s="32"/>
      <c r="S1140" s="32"/>
      <c r="T1140" s="32"/>
      <c r="U1140" s="32"/>
      <c r="V1140" s="32"/>
      <c r="W1140" s="32"/>
      <c r="X1140" s="32"/>
      <c r="Y1140" s="32"/>
      <c r="Z1140" s="32"/>
      <c r="AA1140" s="32"/>
      <c r="AB1140" s="32"/>
      <c r="AC1140" s="32"/>
      <c r="AD1140" s="221"/>
    </row>
    <row r="1141" spans="18:30" x14ac:dyDescent="0.25">
      <c r="R1141" s="32"/>
      <c r="S1141" s="32"/>
      <c r="T1141" s="32"/>
      <c r="U1141" s="32"/>
      <c r="V1141" s="32"/>
      <c r="W1141" s="32"/>
      <c r="X1141" s="32"/>
      <c r="Y1141" s="32"/>
      <c r="Z1141" s="32"/>
      <c r="AA1141" s="32"/>
      <c r="AB1141" s="32"/>
      <c r="AC1141" s="32"/>
      <c r="AD1141" s="221"/>
    </row>
    <row r="1142" spans="18:30" x14ac:dyDescent="0.25">
      <c r="R1142" s="32"/>
      <c r="S1142" s="32"/>
      <c r="T1142" s="32"/>
      <c r="U1142" s="32"/>
      <c r="V1142" s="32"/>
      <c r="W1142" s="32"/>
      <c r="X1142" s="32"/>
      <c r="Y1142" s="32"/>
      <c r="Z1142" s="32"/>
      <c r="AA1142" s="32"/>
      <c r="AB1142" s="32"/>
      <c r="AC1142" s="32"/>
      <c r="AD1142" s="221"/>
    </row>
    <row r="1143" spans="18:30" x14ac:dyDescent="0.25">
      <c r="R1143" s="32"/>
      <c r="S1143" s="32"/>
      <c r="T1143" s="32"/>
      <c r="U1143" s="32"/>
      <c r="V1143" s="32"/>
      <c r="W1143" s="32"/>
      <c r="X1143" s="32"/>
      <c r="Y1143" s="32"/>
      <c r="Z1143" s="32"/>
      <c r="AA1143" s="32"/>
      <c r="AB1143" s="32"/>
      <c r="AC1143" s="32"/>
      <c r="AD1143" s="221"/>
    </row>
    <row r="1144" spans="18:30" x14ac:dyDescent="0.25">
      <c r="R1144" s="32"/>
      <c r="S1144" s="32"/>
      <c r="T1144" s="32"/>
      <c r="U1144" s="32"/>
      <c r="V1144" s="32"/>
      <c r="W1144" s="32"/>
      <c r="X1144" s="32"/>
      <c r="Y1144" s="32"/>
      <c r="Z1144" s="32"/>
      <c r="AA1144" s="32"/>
      <c r="AB1144" s="32"/>
      <c r="AC1144" s="32"/>
      <c r="AD1144" s="221"/>
    </row>
    <row r="1145" spans="18:30" x14ac:dyDescent="0.25">
      <c r="R1145" s="32"/>
      <c r="S1145" s="32"/>
      <c r="T1145" s="32"/>
      <c r="U1145" s="32"/>
      <c r="V1145" s="32"/>
      <c r="W1145" s="32"/>
      <c r="X1145" s="32"/>
      <c r="Y1145" s="32"/>
      <c r="Z1145" s="32"/>
      <c r="AA1145" s="32"/>
      <c r="AB1145" s="32"/>
      <c r="AC1145" s="32"/>
      <c r="AD1145" s="221"/>
    </row>
    <row r="1146" spans="18:30" x14ac:dyDescent="0.25">
      <c r="R1146" s="32"/>
      <c r="S1146" s="32"/>
      <c r="T1146" s="32"/>
      <c r="U1146" s="32"/>
      <c r="V1146" s="32"/>
      <c r="W1146" s="32"/>
      <c r="X1146" s="32"/>
      <c r="Y1146" s="32"/>
      <c r="Z1146" s="32"/>
      <c r="AA1146" s="32"/>
      <c r="AB1146" s="32"/>
      <c r="AC1146" s="32"/>
      <c r="AD1146" s="221"/>
    </row>
    <row r="1147" spans="18:30" x14ac:dyDescent="0.25">
      <c r="R1147" s="32"/>
      <c r="S1147" s="32"/>
      <c r="T1147" s="32"/>
      <c r="U1147" s="32"/>
      <c r="V1147" s="32"/>
      <c r="W1147" s="32"/>
      <c r="X1147" s="32"/>
      <c r="Y1147" s="32"/>
      <c r="Z1147" s="32"/>
      <c r="AA1147" s="32"/>
      <c r="AB1147" s="32"/>
      <c r="AC1147" s="32"/>
      <c r="AD1147" s="221"/>
    </row>
    <row r="1148" spans="18:30" x14ac:dyDescent="0.25">
      <c r="R1148" s="32"/>
      <c r="S1148" s="32"/>
      <c r="T1148" s="32"/>
      <c r="U1148" s="32"/>
      <c r="V1148" s="32"/>
      <c r="W1148" s="32"/>
      <c r="X1148" s="32"/>
      <c r="Y1148" s="32"/>
      <c r="Z1148" s="32"/>
      <c r="AA1148" s="32"/>
      <c r="AB1148" s="32"/>
      <c r="AC1148" s="32"/>
      <c r="AD1148" s="221"/>
    </row>
    <row r="1149" spans="18:30" x14ac:dyDescent="0.25">
      <c r="R1149" s="32"/>
      <c r="S1149" s="32"/>
      <c r="T1149" s="32"/>
      <c r="U1149" s="32"/>
      <c r="V1149" s="32"/>
      <c r="W1149" s="32"/>
      <c r="X1149" s="32"/>
      <c r="Y1149" s="32"/>
      <c r="Z1149" s="32"/>
      <c r="AA1149" s="32"/>
      <c r="AB1149" s="32"/>
      <c r="AC1149" s="32"/>
      <c r="AD1149" s="221"/>
    </row>
    <row r="1150" spans="18:30" x14ac:dyDescent="0.25">
      <c r="R1150" s="32"/>
      <c r="S1150" s="32"/>
      <c r="T1150" s="32"/>
      <c r="U1150" s="32"/>
      <c r="V1150" s="32"/>
      <c r="W1150" s="32"/>
      <c r="X1150" s="32"/>
      <c r="Y1150" s="32"/>
      <c r="Z1150" s="32"/>
      <c r="AA1150" s="32"/>
      <c r="AB1150" s="32"/>
      <c r="AC1150" s="32"/>
      <c r="AD1150" s="221"/>
    </row>
    <row r="1151" spans="18:30" x14ac:dyDescent="0.25">
      <c r="R1151" s="32"/>
      <c r="S1151" s="32"/>
      <c r="T1151" s="32"/>
      <c r="U1151" s="32"/>
      <c r="V1151" s="32"/>
      <c r="W1151" s="32"/>
      <c r="X1151" s="32"/>
      <c r="Y1151" s="32"/>
      <c r="Z1151" s="32"/>
      <c r="AA1151" s="32"/>
      <c r="AB1151" s="32"/>
      <c r="AC1151" s="32"/>
      <c r="AD1151" s="221"/>
    </row>
    <row r="1152" spans="18:30" x14ac:dyDescent="0.25">
      <c r="R1152" s="32"/>
      <c r="S1152" s="32"/>
      <c r="T1152" s="32"/>
      <c r="U1152" s="32"/>
      <c r="V1152" s="32"/>
      <c r="W1152" s="32"/>
      <c r="X1152" s="32"/>
      <c r="Y1152" s="32"/>
      <c r="Z1152" s="32"/>
      <c r="AA1152" s="32"/>
      <c r="AB1152" s="32"/>
      <c r="AC1152" s="32"/>
      <c r="AD1152" s="221"/>
    </row>
    <row r="1153" spans="18:30" x14ac:dyDescent="0.25">
      <c r="R1153" s="32"/>
      <c r="S1153" s="32"/>
      <c r="T1153" s="32"/>
      <c r="U1153" s="32"/>
      <c r="V1153" s="32"/>
      <c r="W1153" s="32"/>
      <c r="X1153" s="32"/>
      <c r="Y1153" s="32"/>
      <c r="Z1153" s="32"/>
      <c r="AA1153" s="32"/>
      <c r="AB1153" s="32"/>
      <c r="AC1153" s="32"/>
      <c r="AD1153" s="221"/>
    </row>
    <row r="1154" spans="18:30" x14ac:dyDescent="0.25">
      <c r="R1154" s="32"/>
      <c r="S1154" s="32"/>
      <c r="T1154" s="32"/>
      <c r="U1154" s="32"/>
      <c r="V1154" s="32"/>
      <c r="W1154" s="32"/>
      <c r="X1154" s="32"/>
      <c r="Y1154" s="32"/>
      <c r="Z1154" s="32"/>
      <c r="AA1154" s="32"/>
      <c r="AB1154" s="32"/>
      <c r="AC1154" s="32"/>
      <c r="AD1154" s="221"/>
    </row>
    <row r="1155" spans="18:30" x14ac:dyDescent="0.25">
      <c r="R1155" s="32"/>
      <c r="S1155" s="32"/>
      <c r="T1155" s="32"/>
      <c r="U1155" s="32"/>
      <c r="V1155" s="32"/>
      <c r="W1155" s="32"/>
      <c r="X1155" s="32"/>
      <c r="Y1155" s="32"/>
      <c r="Z1155" s="32"/>
      <c r="AA1155" s="32"/>
      <c r="AB1155" s="32"/>
      <c r="AC1155" s="32"/>
      <c r="AD1155" s="221"/>
    </row>
    <row r="1156" spans="18:30" x14ac:dyDescent="0.25">
      <c r="R1156" s="32"/>
      <c r="S1156" s="32"/>
      <c r="T1156" s="32"/>
      <c r="U1156" s="32"/>
      <c r="V1156" s="32"/>
      <c r="W1156" s="32"/>
      <c r="X1156" s="32"/>
      <c r="Y1156" s="32"/>
      <c r="Z1156" s="32"/>
      <c r="AA1156" s="32"/>
      <c r="AB1156" s="32"/>
      <c r="AC1156" s="32"/>
      <c r="AD1156" s="221"/>
    </row>
    <row r="1157" spans="18:30" x14ac:dyDescent="0.25">
      <c r="R1157" s="32"/>
      <c r="S1157" s="32"/>
      <c r="T1157" s="32"/>
      <c r="U1157" s="32"/>
      <c r="V1157" s="32"/>
      <c r="W1157" s="32"/>
      <c r="X1157" s="32"/>
      <c r="Y1157" s="32"/>
      <c r="Z1157" s="32"/>
      <c r="AA1157" s="32"/>
      <c r="AB1157" s="32"/>
      <c r="AC1157" s="32"/>
      <c r="AD1157" s="221"/>
    </row>
    <row r="1158" spans="18:30" x14ac:dyDescent="0.25">
      <c r="R1158" s="32"/>
      <c r="S1158" s="32"/>
      <c r="T1158" s="32"/>
      <c r="U1158" s="32"/>
      <c r="V1158" s="32"/>
      <c r="W1158" s="32"/>
      <c r="X1158" s="32"/>
      <c r="Y1158" s="32"/>
      <c r="Z1158" s="32"/>
      <c r="AA1158" s="32"/>
      <c r="AB1158" s="32"/>
      <c r="AC1158" s="32"/>
      <c r="AD1158" s="221"/>
    </row>
    <row r="1159" spans="18:30" x14ac:dyDescent="0.25">
      <c r="R1159" s="32"/>
      <c r="S1159" s="32"/>
      <c r="T1159" s="32"/>
      <c r="U1159" s="32"/>
      <c r="V1159" s="32"/>
      <c r="W1159" s="32"/>
      <c r="X1159" s="32"/>
      <c r="Y1159" s="32"/>
      <c r="Z1159" s="32"/>
      <c r="AA1159" s="32"/>
      <c r="AB1159" s="32"/>
      <c r="AC1159" s="32"/>
      <c r="AD1159" s="221"/>
    </row>
    <row r="1160" spans="18:30" x14ac:dyDescent="0.25">
      <c r="R1160" s="32"/>
      <c r="S1160" s="32"/>
      <c r="T1160" s="32"/>
      <c r="U1160" s="32"/>
      <c r="V1160" s="32"/>
      <c r="W1160" s="32"/>
      <c r="X1160" s="32"/>
      <c r="Y1160" s="32"/>
      <c r="Z1160" s="32"/>
      <c r="AA1160" s="32"/>
      <c r="AB1160" s="32"/>
      <c r="AC1160" s="32"/>
      <c r="AD1160" s="221"/>
    </row>
    <row r="1161" spans="18:30" x14ac:dyDescent="0.25">
      <c r="R1161" s="32"/>
      <c r="S1161" s="32"/>
      <c r="T1161" s="32"/>
      <c r="U1161" s="32"/>
      <c r="V1161" s="32"/>
      <c r="W1161" s="32"/>
      <c r="X1161" s="32"/>
      <c r="Y1161" s="32"/>
      <c r="Z1161" s="32"/>
      <c r="AA1161" s="32"/>
      <c r="AB1161" s="32"/>
      <c r="AC1161" s="32"/>
      <c r="AD1161" s="221"/>
    </row>
    <row r="1162" spans="18:30" x14ac:dyDescent="0.25">
      <c r="R1162" s="32"/>
      <c r="S1162" s="32"/>
      <c r="T1162" s="32"/>
      <c r="U1162" s="32"/>
      <c r="V1162" s="32"/>
      <c r="W1162" s="32"/>
      <c r="X1162" s="32"/>
      <c r="Y1162" s="32"/>
      <c r="Z1162" s="32"/>
      <c r="AA1162" s="32"/>
      <c r="AB1162" s="32"/>
      <c r="AC1162" s="32"/>
      <c r="AD1162" s="221"/>
    </row>
    <row r="1163" spans="18:30" x14ac:dyDescent="0.25">
      <c r="R1163" s="32"/>
      <c r="S1163" s="32"/>
      <c r="T1163" s="32"/>
      <c r="U1163" s="32"/>
      <c r="V1163" s="32"/>
      <c r="W1163" s="32"/>
      <c r="X1163" s="32"/>
      <c r="Y1163" s="32"/>
      <c r="Z1163" s="32"/>
      <c r="AA1163" s="32"/>
      <c r="AB1163" s="32"/>
      <c r="AC1163" s="32"/>
      <c r="AD1163" s="221"/>
    </row>
    <row r="1164" spans="18:30" x14ac:dyDescent="0.25">
      <c r="R1164" s="32"/>
      <c r="S1164" s="32"/>
      <c r="T1164" s="32"/>
      <c r="U1164" s="32"/>
      <c r="V1164" s="32"/>
      <c r="W1164" s="32"/>
      <c r="X1164" s="32"/>
      <c r="Y1164" s="32"/>
      <c r="Z1164" s="32"/>
      <c r="AA1164" s="32"/>
      <c r="AB1164" s="32"/>
      <c r="AC1164" s="32"/>
      <c r="AD1164" s="221"/>
    </row>
    <row r="1165" spans="18:30" x14ac:dyDescent="0.25">
      <c r="R1165" s="32"/>
      <c r="S1165" s="32"/>
      <c r="T1165" s="32"/>
      <c r="U1165" s="32"/>
      <c r="V1165" s="32"/>
      <c r="W1165" s="32"/>
      <c r="X1165" s="32"/>
      <c r="Y1165" s="32"/>
      <c r="Z1165" s="32"/>
      <c r="AA1165" s="32"/>
      <c r="AB1165" s="32"/>
      <c r="AC1165" s="32"/>
      <c r="AD1165" s="221"/>
    </row>
    <row r="1166" spans="18:30" x14ac:dyDescent="0.25">
      <c r="R1166" s="32"/>
      <c r="S1166" s="32"/>
      <c r="T1166" s="32"/>
      <c r="U1166" s="32"/>
      <c r="V1166" s="32"/>
      <c r="W1166" s="32"/>
      <c r="X1166" s="32"/>
      <c r="Y1166" s="32"/>
      <c r="Z1166" s="32"/>
      <c r="AA1166" s="32"/>
      <c r="AB1166" s="32"/>
      <c r="AC1166" s="32"/>
      <c r="AD1166" s="221"/>
    </row>
    <row r="1167" spans="18:30" x14ac:dyDescent="0.25">
      <c r="R1167" s="32"/>
      <c r="S1167" s="32"/>
      <c r="T1167" s="32"/>
      <c r="U1167" s="32"/>
      <c r="V1167" s="32"/>
      <c r="W1167" s="32"/>
      <c r="X1167" s="32"/>
      <c r="Y1167" s="32"/>
      <c r="Z1167" s="32"/>
      <c r="AA1167" s="32"/>
      <c r="AB1167" s="32"/>
      <c r="AC1167" s="32"/>
      <c r="AD1167" s="221"/>
    </row>
    <row r="1168" spans="18:30" x14ac:dyDescent="0.25">
      <c r="R1168" s="32"/>
      <c r="S1168" s="32"/>
      <c r="T1168" s="32"/>
      <c r="U1168" s="32"/>
      <c r="V1168" s="32"/>
      <c r="W1168" s="32"/>
      <c r="X1168" s="32"/>
      <c r="Y1168" s="32"/>
      <c r="Z1168" s="32"/>
      <c r="AA1168" s="32"/>
      <c r="AB1168" s="32"/>
      <c r="AC1168" s="32"/>
      <c r="AD1168" s="221"/>
    </row>
    <row r="1169" spans="18:30" x14ac:dyDescent="0.25">
      <c r="R1169" s="32"/>
      <c r="S1169" s="32"/>
      <c r="T1169" s="32"/>
      <c r="U1169" s="32"/>
      <c r="V1169" s="32"/>
      <c r="W1169" s="32"/>
      <c r="X1169" s="32"/>
      <c r="Y1169" s="32"/>
      <c r="Z1169" s="32"/>
      <c r="AA1169" s="32"/>
      <c r="AB1169" s="32"/>
      <c r="AC1169" s="32"/>
      <c r="AD1169" s="221"/>
    </row>
    <row r="1170" spans="18:30" x14ac:dyDescent="0.25">
      <c r="R1170" s="32"/>
      <c r="S1170" s="32"/>
      <c r="T1170" s="32"/>
      <c r="U1170" s="32"/>
      <c r="V1170" s="32"/>
      <c r="W1170" s="32"/>
      <c r="X1170" s="32"/>
      <c r="Y1170" s="32"/>
      <c r="Z1170" s="32"/>
      <c r="AA1170" s="32"/>
      <c r="AB1170" s="32"/>
      <c r="AC1170" s="32"/>
      <c r="AD1170" s="221"/>
    </row>
    <row r="1171" spans="18:30" x14ac:dyDescent="0.25">
      <c r="R1171" s="32"/>
      <c r="S1171" s="32"/>
      <c r="T1171" s="32"/>
      <c r="U1171" s="32"/>
      <c r="V1171" s="32"/>
      <c r="W1171" s="32"/>
      <c r="X1171" s="32"/>
      <c r="Y1171" s="32"/>
      <c r="Z1171" s="32"/>
      <c r="AA1171" s="32"/>
      <c r="AB1171" s="32"/>
      <c r="AC1171" s="32"/>
      <c r="AD1171" s="221"/>
    </row>
    <row r="1172" spans="18:30" x14ac:dyDescent="0.25">
      <c r="R1172" s="32"/>
      <c r="S1172" s="32"/>
      <c r="T1172" s="32"/>
      <c r="U1172" s="32"/>
      <c r="V1172" s="32"/>
      <c r="W1172" s="32"/>
      <c r="X1172" s="32"/>
      <c r="Y1172" s="32"/>
      <c r="Z1172" s="32"/>
      <c r="AA1172" s="32"/>
      <c r="AB1172" s="32"/>
      <c r="AC1172" s="32"/>
      <c r="AD1172" s="221"/>
    </row>
    <row r="1173" spans="18:30" x14ac:dyDescent="0.25">
      <c r="R1173" s="32"/>
      <c r="S1173" s="32"/>
      <c r="T1173" s="32"/>
      <c r="U1173" s="32"/>
      <c r="V1173" s="32"/>
      <c r="W1173" s="32"/>
      <c r="X1173" s="32"/>
      <c r="Y1173" s="32"/>
      <c r="Z1173" s="32"/>
      <c r="AA1173" s="32"/>
      <c r="AB1173" s="32"/>
      <c r="AC1173" s="32"/>
      <c r="AD1173" s="221"/>
    </row>
    <row r="1174" spans="18:30" x14ac:dyDescent="0.25">
      <c r="R1174" s="32"/>
      <c r="S1174" s="32"/>
      <c r="T1174" s="32"/>
      <c r="U1174" s="32"/>
      <c r="V1174" s="32"/>
      <c r="W1174" s="32"/>
      <c r="X1174" s="32"/>
      <c r="Y1174" s="32"/>
      <c r="Z1174" s="32"/>
      <c r="AA1174" s="32"/>
      <c r="AB1174" s="32"/>
      <c r="AC1174" s="32"/>
      <c r="AD1174" s="221"/>
    </row>
    <row r="1175" spans="18:30" x14ac:dyDescent="0.25">
      <c r="R1175" s="32"/>
      <c r="S1175" s="32"/>
      <c r="T1175" s="32"/>
      <c r="U1175" s="32"/>
      <c r="V1175" s="32"/>
      <c r="W1175" s="32"/>
      <c r="X1175" s="32"/>
      <c r="Y1175" s="32"/>
      <c r="Z1175" s="32"/>
      <c r="AA1175" s="32"/>
      <c r="AB1175" s="32"/>
      <c r="AC1175" s="32"/>
      <c r="AD1175" s="221"/>
    </row>
    <row r="1176" spans="18:30" x14ac:dyDescent="0.25">
      <c r="R1176" s="32"/>
      <c r="S1176" s="32"/>
      <c r="T1176" s="32"/>
      <c r="U1176" s="32"/>
      <c r="V1176" s="32"/>
      <c r="W1176" s="32"/>
      <c r="X1176" s="32"/>
      <c r="Y1176" s="32"/>
      <c r="Z1176" s="32"/>
      <c r="AA1176" s="32"/>
      <c r="AB1176" s="32"/>
      <c r="AC1176" s="32"/>
      <c r="AD1176" s="221"/>
    </row>
    <row r="1177" spans="18:30" x14ac:dyDescent="0.25">
      <c r="R1177" s="32"/>
      <c r="S1177" s="32"/>
      <c r="T1177" s="32"/>
      <c r="U1177" s="32"/>
      <c r="V1177" s="32"/>
      <c r="W1177" s="32"/>
      <c r="X1177" s="32"/>
      <c r="Y1177" s="32"/>
      <c r="Z1177" s="32"/>
      <c r="AA1177" s="32"/>
      <c r="AB1177" s="32"/>
      <c r="AC1177" s="32"/>
      <c r="AD1177" s="221"/>
    </row>
    <row r="1178" spans="18:30" x14ac:dyDescent="0.25">
      <c r="R1178" s="32"/>
      <c r="S1178" s="32"/>
      <c r="T1178" s="32"/>
      <c r="U1178" s="32"/>
      <c r="V1178" s="32"/>
      <c r="W1178" s="32"/>
      <c r="X1178" s="32"/>
      <c r="Y1178" s="32"/>
      <c r="Z1178" s="32"/>
      <c r="AA1178" s="32"/>
      <c r="AB1178" s="32"/>
      <c r="AC1178" s="32"/>
      <c r="AD1178" s="221"/>
    </row>
    <row r="1179" spans="18:30" x14ac:dyDescent="0.25">
      <c r="R1179" s="32"/>
      <c r="S1179" s="32"/>
      <c r="T1179" s="32"/>
      <c r="U1179" s="32"/>
      <c r="V1179" s="32"/>
      <c r="W1179" s="32"/>
      <c r="X1179" s="32"/>
      <c r="Y1179" s="32"/>
      <c r="Z1179" s="32"/>
      <c r="AA1179" s="32"/>
      <c r="AB1179" s="32"/>
      <c r="AC1179" s="32"/>
      <c r="AD1179" s="221"/>
    </row>
    <row r="1180" spans="18:30" x14ac:dyDescent="0.25">
      <c r="R1180" s="32"/>
      <c r="S1180" s="32"/>
      <c r="T1180" s="32"/>
      <c r="U1180" s="32"/>
      <c r="V1180" s="32"/>
      <c r="W1180" s="32"/>
      <c r="X1180" s="32"/>
      <c r="Y1180" s="32"/>
      <c r="Z1180" s="32"/>
      <c r="AA1180" s="32"/>
      <c r="AB1180" s="32"/>
      <c r="AC1180" s="32"/>
      <c r="AD1180" s="221"/>
    </row>
    <row r="1181" spans="18:30" x14ac:dyDescent="0.25">
      <c r="R1181" s="32"/>
      <c r="S1181" s="32"/>
      <c r="T1181" s="32"/>
      <c r="U1181" s="32"/>
      <c r="V1181" s="32"/>
      <c r="W1181" s="32"/>
      <c r="X1181" s="32"/>
      <c r="Y1181" s="32"/>
      <c r="Z1181" s="32"/>
      <c r="AA1181" s="32"/>
      <c r="AB1181" s="32"/>
      <c r="AC1181" s="32"/>
      <c r="AD1181" s="221"/>
    </row>
    <row r="1182" spans="18:30" x14ac:dyDescent="0.25">
      <c r="R1182" s="32"/>
      <c r="S1182" s="32"/>
      <c r="T1182" s="32"/>
      <c r="U1182" s="32"/>
      <c r="V1182" s="32"/>
      <c r="W1182" s="32"/>
      <c r="X1182" s="32"/>
      <c r="Y1182" s="32"/>
      <c r="Z1182" s="32"/>
      <c r="AA1182" s="32"/>
      <c r="AB1182" s="32"/>
      <c r="AC1182" s="32"/>
      <c r="AD1182" s="221"/>
    </row>
    <row r="1183" spans="18:30" x14ac:dyDescent="0.25">
      <c r="R1183" s="32"/>
      <c r="S1183" s="32"/>
      <c r="T1183" s="32"/>
      <c r="U1183" s="32"/>
      <c r="V1183" s="32"/>
      <c r="W1183" s="32"/>
      <c r="X1183" s="32"/>
      <c r="Y1183" s="32"/>
      <c r="Z1183" s="32"/>
      <c r="AA1183" s="32"/>
      <c r="AB1183" s="32"/>
      <c r="AC1183" s="32"/>
      <c r="AD1183" s="221"/>
    </row>
    <row r="1184" spans="18:30" x14ac:dyDescent="0.25">
      <c r="R1184" s="32"/>
      <c r="S1184" s="32"/>
      <c r="T1184" s="32"/>
      <c r="U1184" s="32"/>
      <c r="V1184" s="32"/>
      <c r="W1184" s="32"/>
      <c r="X1184" s="32"/>
      <c r="Y1184" s="32"/>
      <c r="Z1184" s="32"/>
      <c r="AA1184" s="32"/>
      <c r="AB1184" s="32"/>
      <c r="AC1184" s="32"/>
      <c r="AD1184" s="221"/>
    </row>
    <row r="1185" spans="18:30" x14ac:dyDescent="0.25">
      <c r="R1185" s="32"/>
      <c r="S1185" s="32"/>
      <c r="T1185" s="32"/>
      <c r="U1185" s="32"/>
      <c r="V1185" s="32"/>
      <c r="W1185" s="32"/>
      <c r="X1185" s="32"/>
      <c r="Y1185" s="32"/>
      <c r="Z1185" s="32"/>
      <c r="AA1185" s="32"/>
      <c r="AB1185" s="32"/>
      <c r="AC1185" s="32"/>
      <c r="AD1185" s="221"/>
    </row>
    <row r="1186" spans="18:30" x14ac:dyDescent="0.25">
      <c r="R1186" s="32"/>
      <c r="S1186" s="32"/>
      <c r="T1186" s="32"/>
      <c r="U1186" s="32"/>
      <c r="V1186" s="32"/>
      <c r="W1186" s="32"/>
      <c r="X1186" s="32"/>
      <c r="Y1186" s="32"/>
      <c r="Z1186" s="32"/>
      <c r="AA1186" s="32"/>
      <c r="AB1186" s="32"/>
      <c r="AC1186" s="32"/>
      <c r="AD1186" s="221"/>
    </row>
    <row r="1187" spans="18:30" x14ac:dyDescent="0.25">
      <c r="R1187" s="32"/>
      <c r="S1187" s="32"/>
      <c r="T1187" s="32"/>
      <c r="U1187" s="32"/>
      <c r="V1187" s="32"/>
      <c r="W1187" s="32"/>
      <c r="X1187" s="32"/>
      <c r="Y1187" s="32"/>
      <c r="Z1187" s="32"/>
      <c r="AA1187" s="32"/>
      <c r="AB1187" s="32"/>
      <c r="AC1187" s="32"/>
      <c r="AD1187" s="221"/>
    </row>
    <row r="1188" spans="18:30" x14ac:dyDescent="0.25">
      <c r="R1188" s="32"/>
      <c r="S1188" s="32"/>
      <c r="T1188" s="32"/>
      <c r="U1188" s="32"/>
      <c r="V1188" s="32"/>
      <c r="W1188" s="32"/>
      <c r="X1188" s="32"/>
      <c r="Y1188" s="32"/>
      <c r="Z1188" s="32"/>
      <c r="AA1188" s="32"/>
      <c r="AB1188" s="32"/>
      <c r="AC1188" s="32"/>
      <c r="AD1188" s="221"/>
    </row>
    <row r="1189" spans="18:30" x14ac:dyDescent="0.25">
      <c r="R1189" s="32"/>
      <c r="S1189" s="32"/>
      <c r="T1189" s="32"/>
      <c r="U1189" s="32"/>
      <c r="V1189" s="32"/>
      <c r="W1189" s="32"/>
      <c r="X1189" s="32"/>
      <c r="Y1189" s="32"/>
      <c r="Z1189" s="32"/>
      <c r="AA1189" s="32"/>
      <c r="AB1189" s="32"/>
      <c r="AC1189" s="32"/>
      <c r="AD1189" s="221"/>
    </row>
    <row r="1190" spans="18:30" x14ac:dyDescent="0.25">
      <c r="R1190" s="32"/>
      <c r="S1190" s="32"/>
      <c r="T1190" s="32"/>
      <c r="U1190" s="32"/>
      <c r="V1190" s="32"/>
      <c r="W1190" s="32"/>
      <c r="X1190" s="32"/>
      <c r="Y1190" s="32"/>
      <c r="Z1190" s="32"/>
      <c r="AA1190" s="32"/>
      <c r="AB1190" s="32"/>
      <c r="AC1190" s="32"/>
      <c r="AD1190" s="221"/>
    </row>
    <row r="1191" spans="18:30" x14ac:dyDescent="0.25">
      <c r="R1191" s="32"/>
      <c r="S1191" s="32"/>
      <c r="T1191" s="32"/>
      <c r="U1191" s="32"/>
      <c r="V1191" s="32"/>
      <c r="W1191" s="32"/>
      <c r="X1191" s="32"/>
      <c r="Y1191" s="32"/>
      <c r="Z1191" s="32"/>
      <c r="AA1191" s="32"/>
      <c r="AB1191" s="32"/>
      <c r="AC1191" s="32"/>
      <c r="AD1191" s="221"/>
    </row>
    <row r="1192" spans="18:30" x14ac:dyDescent="0.25">
      <c r="R1192" s="32"/>
      <c r="S1192" s="32"/>
      <c r="T1192" s="32"/>
      <c r="U1192" s="32"/>
      <c r="V1192" s="32"/>
      <c r="W1192" s="32"/>
      <c r="X1192" s="32"/>
      <c r="Y1192" s="32"/>
      <c r="Z1192" s="32"/>
      <c r="AA1192" s="32"/>
      <c r="AB1192" s="32"/>
      <c r="AC1192" s="32"/>
      <c r="AD1192" s="221"/>
    </row>
    <row r="1193" spans="18:30" x14ac:dyDescent="0.25">
      <c r="R1193" s="32"/>
      <c r="S1193" s="32"/>
      <c r="T1193" s="32"/>
      <c r="U1193" s="32"/>
      <c r="V1193" s="32"/>
      <c r="W1193" s="32"/>
      <c r="X1193" s="32"/>
      <c r="Y1193" s="32"/>
      <c r="Z1193" s="32"/>
      <c r="AA1193" s="32"/>
      <c r="AB1193" s="32"/>
      <c r="AC1193" s="32"/>
      <c r="AD1193" s="221"/>
    </row>
    <row r="1194" spans="18:30" x14ac:dyDescent="0.25">
      <c r="R1194" s="32"/>
      <c r="S1194" s="32"/>
      <c r="T1194" s="32"/>
      <c r="U1194" s="32"/>
      <c r="V1194" s="32"/>
      <c r="W1194" s="32"/>
      <c r="X1194" s="32"/>
      <c r="Y1194" s="32"/>
      <c r="Z1194" s="32"/>
      <c r="AA1194" s="32"/>
      <c r="AB1194" s="32"/>
      <c r="AC1194" s="32"/>
      <c r="AD1194" s="221"/>
    </row>
    <row r="1195" spans="18:30" x14ac:dyDescent="0.25">
      <c r="R1195" s="32"/>
      <c r="S1195" s="32"/>
      <c r="T1195" s="32"/>
      <c r="U1195" s="32"/>
      <c r="V1195" s="32"/>
      <c r="W1195" s="32"/>
      <c r="X1195" s="32"/>
      <c r="Y1195" s="32"/>
      <c r="Z1195" s="32"/>
      <c r="AA1195" s="32"/>
      <c r="AB1195" s="32"/>
      <c r="AC1195" s="32"/>
      <c r="AD1195" s="221"/>
    </row>
    <row r="1196" spans="18:30" x14ac:dyDescent="0.25">
      <c r="R1196" s="32"/>
      <c r="S1196" s="32"/>
      <c r="T1196" s="32"/>
      <c r="U1196" s="32"/>
      <c r="V1196" s="32"/>
      <c r="W1196" s="32"/>
      <c r="X1196" s="32"/>
      <c r="Y1196" s="32"/>
      <c r="Z1196" s="32"/>
      <c r="AA1196" s="32"/>
      <c r="AB1196" s="32"/>
      <c r="AC1196" s="32"/>
      <c r="AD1196" s="221"/>
    </row>
    <row r="1197" spans="18:30" x14ac:dyDescent="0.25">
      <c r="R1197" s="32"/>
      <c r="S1197" s="32"/>
      <c r="T1197" s="32"/>
      <c r="U1197" s="32"/>
      <c r="V1197" s="32"/>
      <c r="W1197" s="32"/>
      <c r="X1197" s="32"/>
      <c r="Y1197" s="32"/>
      <c r="Z1197" s="32"/>
      <c r="AA1197" s="32"/>
      <c r="AB1197" s="32"/>
      <c r="AC1197" s="32"/>
      <c r="AD1197" s="221"/>
    </row>
    <row r="1198" spans="18:30" x14ac:dyDescent="0.25">
      <c r="R1198" s="32"/>
      <c r="S1198" s="32"/>
      <c r="T1198" s="32"/>
      <c r="U1198" s="32"/>
      <c r="V1198" s="32"/>
      <c r="W1198" s="32"/>
      <c r="X1198" s="32"/>
      <c r="Y1198" s="32"/>
      <c r="Z1198" s="32"/>
      <c r="AA1198" s="32"/>
      <c r="AB1198" s="32"/>
      <c r="AC1198" s="32"/>
      <c r="AD1198" s="221"/>
    </row>
    <row r="1199" spans="18:30" x14ac:dyDescent="0.25">
      <c r="R1199" s="32"/>
      <c r="S1199" s="32"/>
      <c r="T1199" s="32"/>
      <c r="U1199" s="32"/>
      <c r="V1199" s="32"/>
      <c r="W1199" s="32"/>
      <c r="X1199" s="32"/>
      <c r="Y1199" s="32"/>
      <c r="Z1199" s="32"/>
      <c r="AA1199" s="32"/>
      <c r="AB1199" s="32"/>
      <c r="AC1199" s="32"/>
      <c r="AD1199" s="221"/>
    </row>
    <row r="1200" spans="18:30" x14ac:dyDescent="0.25">
      <c r="R1200" s="32"/>
      <c r="S1200" s="32"/>
      <c r="T1200" s="32"/>
      <c r="U1200" s="32"/>
      <c r="V1200" s="32"/>
      <c r="W1200" s="32"/>
      <c r="X1200" s="32"/>
      <c r="Y1200" s="32"/>
      <c r="Z1200" s="32"/>
      <c r="AA1200" s="32"/>
      <c r="AB1200" s="32"/>
      <c r="AC1200" s="32"/>
      <c r="AD1200" s="221"/>
    </row>
    <row r="1201" spans="18:30" x14ac:dyDescent="0.25">
      <c r="R1201" s="32"/>
      <c r="S1201" s="32"/>
      <c r="T1201" s="32"/>
      <c r="U1201" s="32"/>
      <c r="V1201" s="32"/>
      <c r="W1201" s="32"/>
      <c r="X1201" s="32"/>
      <c r="Y1201" s="32"/>
      <c r="Z1201" s="32"/>
      <c r="AA1201" s="32"/>
      <c r="AB1201" s="32"/>
      <c r="AC1201" s="32"/>
      <c r="AD1201" s="221"/>
    </row>
    <row r="1202" spans="18:30" x14ac:dyDescent="0.25">
      <c r="R1202" s="32"/>
      <c r="S1202" s="32"/>
      <c r="T1202" s="32"/>
      <c r="U1202" s="32"/>
      <c r="V1202" s="32"/>
      <c r="W1202" s="32"/>
      <c r="X1202" s="32"/>
      <c r="Y1202" s="32"/>
      <c r="Z1202" s="32"/>
      <c r="AA1202" s="32"/>
      <c r="AB1202" s="32"/>
      <c r="AC1202" s="32"/>
      <c r="AD1202" s="221"/>
    </row>
    <row r="1203" spans="18:30" x14ac:dyDescent="0.25">
      <c r="R1203" s="32"/>
      <c r="S1203" s="32"/>
      <c r="T1203" s="32"/>
      <c r="U1203" s="32"/>
      <c r="V1203" s="32"/>
      <c r="W1203" s="32"/>
      <c r="X1203" s="32"/>
      <c r="Y1203" s="32"/>
      <c r="Z1203" s="32"/>
      <c r="AA1203" s="32"/>
      <c r="AB1203" s="32"/>
      <c r="AC1203" s="32"/>
      <c r="AD1203" s="221"/>
    </row>
    <row r="1204" spans="18:30" x14ac:dyDescent="0.25">
      <c r="R1204" s="32"/>
      <c r="S1204" s="32"/>
      <c r="T1204" s="32"/>
      <c r="U1204" s="32"/>
      <c r="V1204" s="32"/>
      <c r="W1204" s="32"/>
      <c r="X1204" s="32"/>
      <c r="Y1204" s="32"/>
      <c r="Z1204" s="32"/>
      <c r="AA1204" s="32"/>
      <c r="AB1204" s="32"/>
      <c r="AC1204" s="32"/>
      <c r="AD1204" s="221"/>
    </row>
    <row r="1205" spans="18:30" x14ac:dyDescent="0.25">
      <c r="R1205" s="32"/>
      <c r="S1205" s="32"/>
      <c r="T1205" s="32"/>
      <c r="U1205" s="32"/>
      <c r="V1205" s="32"/>
      <c r="W1205" s="32"/>
      <c r="X1205" s="32"/>
      <c r="Y1205" s="32"/>
      <c r="Z1205" s="32"/>
      <c r="AA1205" s="32"/>
      <c r="AB1205" s="32"/>
      <c r="AC1205" s="32"/>
      <c r="AD1205" s="221"/>
    </row>
    <row r="1206" spans="18:30" x14ac:dyDescent="0.25">
      <c r="R1206" s="32"/>
      <c r="S1206" s="32"/>
      <c r="T1206" s="32"/>
      <c r="U1206" s="32"/>
      <c r="V1206" s="32"/>
      <c r="W1206" s="32"/>
      <c r="X1206" s="32"/>
      <c r="Y1206" s="32"/>
      <c r="Z1206" s="32"/>
      <c r="AA1206" s="32"/>
      <c r="AB1206" s="32"/>
      <c r="AC1206" s="32"/>
      <c r="AD1206" s="221"/>
    </row>
    <row r="1207" spans="18:30" x14ac:dyDescent="0.25">
      <c r="R1207" s="32"/>
      <c r="S1207" s="32"/>
      <c r="T1207" s="32"/>
      <c r="U1207" s="32"/>
      <c r="V1207" s="32"/>
      <c r="W1207" s="32"/>
      <c r="X1207" s="32"/>
      <c r="Y1207" s="32"/>
      <c r="Z1207" s="32"/>
      <c r="AA1207" s="32"/>
      <c r="AB1207" s="32"/>
      <c r="AC1207" s="32"/>
      <c r="AD1207" s="221"/>
    </row>
    <row r="1208" spans="18:30" x14ac:dyDescent="0.25">
      <c r="R1208" s="32"/>
      <c r="S1208" s="32"/>
      <c r="T1208" s="32"/>
      <c r="U1208" s="32"/>
      <c r="V1208" s="32"/>
      <c r="W1208" s="32"/>
      <c r="X1208" s="32"/>
      <c r="Y1208" s="32"/>
      <c r="Z1208" s="32"/>
      <c r="AA1208" s="32"/>
      <c r="AB1208" s="32"/>
      <c r="AC1208" s="32"/>
      <c r="AD1208" s="221"/>
    </row>
    <row r="1209" spans="18:30" x14ac:dyDescent="0.25">
      <c r="R1209" s="32"/>
      <c r="S1209" s="32"/>
      <c r="T1209" s="32"/>
      <c r="U1209" s="32"/>
      <c r="V1209" s="32"/>
      <c r="W1209" s="32"/>
      <c r="X1209" s="32"/>
      <c r="Y1209" s="32"/>
      <c r="Z1209" s="32"/>
      <c r="AA1209" s="32"/>
      <c r="AB1209" s="32"/>
      <c r="AC1209" s="32"/>
      <c r="AD1209" s="221"/>
    </row>
    <row r="1210" spans="18:30" x14ac:dyDescent="0.25">
      <c r="R1210" s="32"/>
      <c r="S1210" s="32"/>
      <c r="T1210" s="32"/>
      <c r="U1210" s="32"/>
      <c r="V1210" s="32"/>
      <c r="W1210" s="32"/>
      <c r="X1210" s="32"/>
      <c r="Y1210" s="32"/>
      <c r="Z1210" s="32"/>
      <c r="AA1210" s="32"/>
      <c r="AB1210" s="32"/>
      <c r="AC1210" s="32"/>
      <c r="AD1210" s="221"/>
    </row>
    <row r="1211" spans="18:30" x14ac:dyDescent="0.25">
      <c r="R1211" s="32"/>
      <c r="S1211" s="32"/>
      <c r="T1211" s="32"/>
      <c r="U1211" s="32"/>
      <c r="V1211" s="32"/>
      <c r="W1211" s="32"/>
      <c r="X1211" s="32"/>
      <c r="Y1211" s="32"/>
      <c r="Z1211" s="32"/>
      <c r="AA1211" s="32"/>
      <c r="AB1211" s="32"/>
      <c r="AC1211" s="32"/>
      <c r="AD1211" s="221"/>
    </row>
    <row r="1212" spans="18:30" x14ac:dyDescent="0.25">
      <c r="R1212" s="32"/>
      <c r="S1212" s="32"/>
      <c r="T1212" s="32"/>
      <c r="U1212" s="32"/>
      <c r="V1212" s="32"/>
      <c r="W1212" s="32"/>
      <c r="X1212" s="32"/>
      <c r="Y1212" s="32"/>
      <c r="Z1212" s="32"/>
      <c r="AA1212" s="32"/>
      <c r="AB1212" s="32"/>
      <c r="AC1212" s="32"/>
      <c r="AD1212" s="221"/>
    </row>
    <row r="1213" spans="18:30" x14ac:dyDescent="0.25">
      <c r="R1213" s="32"/>
      <c r="S1213" s="32"/>
      <c r="T1213" s="32"/>
      <c r="U1213" s="32"/>
      <c r="V1213" s="32"/>
      <c r="W1213" s="32"/>
      <c r="X1213" s="32"/>
      <c r="Y1213" s="32"/>
      <c r="Z1213" s="32"/>
      <c r="AA1213" s="32"/>
      <c r="AB1213" s="32"/>
      <c r="AC1213" s="32"/>
      <c r="AD1213" s="221"/>
    </row>
    <row r="1214" spans="18:30" x14ac:dyDescent="0.25">
      <c r="R1214" s="32"/>
      <c r="S1214" s="32"/>
      <c r="T1214" s="32"/>
      <c r="U1214" s="32"/>
      <c r="V1214" s="32"/>
      <c r="W1214" s="32"/>
      <c r="X1214" s="32"/>
      <c r="Y1214" s="32"/>
      <c r="Z1214" s="32"/>
      <c r="AA1214" s="32"/>
      <c r="AB1214" s="32"/>
      <c r="AC1214" s="32"/>
      <c r="AD1214" s="221"/>
    </row>
    <row r="1215" spans="18:30" x14ac:dyDescent="0.25">
      <c r="R1215" s="32"/>
      <c r="S1215" s="32"/>
      <c r="T1215" s="32"/>
      <c r="U1215" s="32"/>
      <c r="V1215" s="32"/>
      <c r="W1215" s="32"/>
      <c r="X1215" s="32"/>
      <c r="Y1215" s="32"/>
      <c r="Z1215" s="32"/>
      <c r="AA1215" s="32"/>
      <c r="AB1215" s="32"/>
      <c r="AC1215" s="32"/>
      <c r="AD1215" s="221"/>
    </row>
    <row r="1216" spans="18:30" x14ac:dyDescent="0.25">
      <c r="R1216" s="32"/>
      <c r="S1216" s="32"/>
      <c r="T1216" s="32"/>
      <c r="U1216" s="32"/>
      <c r="V1216" s="32"/>
      <c r="W1216" s="32"/>
      <c r="X1216" s="32"/>
      <c r="Y1216" s="32"/>
      <c r="Z1216" s="32"/>
      <c r="AA1216" s="32"/>
      <c r="AB1216" s="32"/>
      <c r="AC1216" s="32"/>
      <c r="AD1216" s="221"/>
    </row>
    <row r="1217" spans="18:30" x14ac:dyDescent="0.25">
      <c r="R1217" s="32"/>
      <c r="S1217" s="32"/>
      <c r="T1217" s="32"/>
      <c r="U1217" s="32"/>
      <c r="V1217" s="32"/>
      <c r="W1217" s="32"/>
      <c r="X1217" s="32"/>
      <c r="Y1217" s="32"/>
      <c r="Z1217" s="32"/>
      <c r="AA1217" s="32"/>
      <c r="AB1217" s="32"/>
      <c r="AC1217" s="32"/>
      <c r="AD1217" s="221"/>
    </row>
    <row r="1218" spans="18:30" x14ac:dyDescent="0.25">
      <c r="R1218" s="32"/>
      <c r="S1218" s="32"/>
      <c r="T1218" s="32"/>
      <c r="U1218" s="32"/>
      <c r="V1218" s="32"/>
      <c r="W1218" s="32"/>
      <c r="X1218" s="32"/>
      <c r="Y1218" s="32"/>
      <c r="Z1218" s="32"/>
      <c r="AA1218" s="32"/>
      <c r="AB1218" s="32"/>
      <c r="AC1218" s="32"/>
      <c r="AD1218" s="221"/>
    </row>
    <row r="1219" spans="18:30" x14ac:dyDescent="0.25">
      <c r="R1219" s="32"/>
      <c r="S1219" s="32"/>
      <c r="T1219" s="32"/>
      <c r="U1219" s="32"/>
      <c r="V1219" s="32"/>
      <c r="W1219" s="32"/>
      <c r="X1219" s="32"/>
      <c r="Y1219" s="32"/>
      <c r="Z1219" s="32"/>
      <c r="AA1219" s="32"/>
      <c r="AB1219" s="32"/>
      <c r="AC1219" s="32"/>
      <c r="AD1219" s="221"/>
    </row>
    <row r="1220" spans="18:30" x14ac:dyDescent="0.25">
      <c r="R1220" s="32"/>
      <c r="S1220" s="32"/>
      <c r="T1220" s="32"/>
      <c r="U1220" s="32"/>
      <c r="V1220" s="32"/>
      <c r="W1220" s="32"/>
      <c r="X1220" s="32"/>
      <c r="Y1220" s="32"/>
      <c r="Z1220" s="32"/>
      <c r="AA1220" s="32"/>
      <c r="AB1220" s="32"/>
      <c r="AC1220" s="32"/>
      <c r="AD1220" s="221"/>
    </row>
    <row r="1221" spans="18:30" x14ac:dyDescent="0.25">
      <c r="R1221" s="32"/>
      <c r="S1221" s="32"/>
      <c r="T1221" s="32"/>
      <c r="U1221" s="32"/>
      <c r="V1221" s="32"/>
      <c r="W1221" s="32"/>
      <c r="X1221" s="32"/>
      <c r="Y1221" s="32"/>
      <c r="Z1221" s="32"/>
      <c r="AA1221" s="32"/>
      <c r="AB1221" s="32"/>
      <c r="AC1221" s="32"/>
      <c r="AD1221" s="221"/>
    </row>
    <row r="1222" spans="18:30" x14ac:dyDescent="0.25">
      <c r="R1222" s="32"/>
      <c r="S1222" s="32"/>
      <c r="T1222" s="32"/>
      <c r="U1222" s="32"/>
      <c r="V1222" s="32"/>
      <c r="W1222" s="32"/>
      <c r="X1222" s="32"/>
      <c r="Y1222" s="32"/>
      <c r="Z1222" s="32"/>
      <c r="AA1222" s="32"/>
      <c r="AB1222" s="32"/>
      <c r="AC1222" s="32"/>
      <c r="AD1222" s="221"/>
    </row>
    <row r="1223" spans="18:30" x14ac:dyDescent="0.25">
      <c r="R1223" s="32"/>
      <c r="S1223" s="32"/>
      <c r="T1223" s="32"/>
      <c r="U1223" s="32"/>
      <c r="V1223" s="32"/>
      <c r="W1223" s="32"/>
      <c r="X1223" s="32"/>
      <c r="Y1223" s="32"/>
      <c r="Z1223" s="32"/>
      <c r="AA1223" s="32"/>
      <c r="AB1223" s="32"/>
      <c r="AC1223" s="32"/>
      <c r="AD1223" s="221"/>
    </row>
    <row r="1224" spans="18:30" x14ac:dyDescent="0.25">
      <c r="R1224" s="32"/>
      <c r="S1224" s="32"/>
      <c r="T1224" s="32"/>
      <c r="U1224" s="32"/>
      <c r="V1224" s="32"/>
      <c r="W1224" s="32"/>
      <c r="X1224" s="32"/>
      <c r="Y1224" s="32"/>
      <c r="Z1224" s="32"/>
      <c r="AA1224" s="32"/>
      <c r="AB1224" s="32"/>
      <c r="AC1224" s="32"/>
      <c r="AD1224" s="221"/>
    </row>
    <row r="1225" spans="18:30" x14ac:dyDescent="0.25">
      <c r="R1225" s="32"/>
      <c r="S1225" s="32"/>
      <c r="T1225" s="32"/>
      <c r="U1225" s="32"/>
      <c r="V1225" s="32"/>
      <c r="W1225" s="32"/>
      <c r="X1225" s="32"/>
      <c r="Y1225" s="32"/>
      <c r="Z1225" s="32"/>
      <c r="AA1225" s="32"/>
      <c r="AB1225" s="32"/>
      <c r="AC1225" s="32"/>
      <c r="AD1225" s="221"/>
    </row>
    <row r="1226" spans="18:30" x14ac:dyDescent="0.25">
      <c r="R1226" s="32"/>
      <c r="S1226" s="32"/>
      <c r="T1226" s="32"/>
      <c r="U1226" s="32"/>
      <c r="V1226" s="32"/>
      <c r="W1226" s="32"/>
      <c r="X1226" s="32"/>
      <c r="Y1226" s="32"/>
      <c r="Z1226" s="32"/>
      <c r="AA1226" s="32"/>
      <c r="AB1226" s="32"/>
      <c r="AC1226" s="32"/>
      <c r="AD1226" s="221"/>
    </row>
    <row r="1227" spans="18:30" x14ac:dyDescent="0.25">
      <c r="R1227" s="32"/>
      <c r="S1227" s="32"/>
      <c r="T1227" s="32"/>
      <c r="U1227" s="32"/>
      <c r="V1227" s="32"/>
      <c r="W1227" s="32"/>
      <c r="X1227" s="32"/>
      <c r="Y1227" s="32"/>
      <c r="Z1227" s="32"/>
      <c r="AA1227" s="32"/>
      <c r="AB1227" s="32"/>
      <c r="AC1227" s="32"/>
      <c r="AD1227" s="221"/>
    </row>
    <row r="1228" spans="18:30" x14ac:dyDescent="0.25">
      <c r="R1228" s="32"/>
      <c r="S1228" s="32"/>
      <c r="T1228" s="32"/>
      <c r="U1228" s="32"/>
      <c r="V1228" s="32"/>
      <c r="W1228" s="32"/>
      <c r="X1228" s="32"/>
      <c r="Y1228" s="32"/>
      <c r="Z1228" s="32"/>
      <c r="AA1228" s="32"/>
      <c r="AB1228" s="32"/>
      <c r="AC1228" s="32"/>
      <c r="AD1228" s="221"/>
    </row>
    <row r="1229" spans="18:30" x14ac:dyDescent="0.25">
      <c r="R1229" s="32"/>
      <c r="S1229" s="32"/>
      <c r="T1229" s="32"/>
      <c r="U1229" s="32"/>
      <c r="V1229" s="32"/>
      <c r="W1229" s="32"/>
      <c r="X1229" s="32"/>
      <c r="Y1229" s="32"/>
      <c r="Z1229" s="32"/>
      <c r="AA1229" s="32"/>
      <c r="AB1229" s="32"/>
      <c r="AC1229" s="32"/>
      <c r="AD1229" s="221"/>
    </row>
    <row r="1230" spans="18:30" x14ac:dyDescent="0.25">
      <c r="R1230" s="32"/>
      <c r="S1230" s="32"/>
      <c r="T1230" s="32"/>
      <c r="U1230" s="32"/>
      <c r="V1230" s="32"/>
      <c r="W1230" s="32"/>
      <c r="X1230" s="32"/>
      <c r="Y1230" s="32"/>
      <c r="Z1230" s="32"/>
      <c r="AA1230" s="32"/>
      <c r="AB1230" s="32"/>
      <c r="AC1230" s="32"/>
      <c r="AD1230" s="221"/>
    </row>
    <row r="1231" spans="18:30" x14ac:dyDescent="0.25">
      <c r="R1231" s="32"/>
      <c r="S1231" s="32"/>
      <c r="T1231" s="32"/>
      <c r="U1231" s="32"/>
      <c r="V1231" s="32"/>
      <c r="W1231" s="32"/>
      <c r="X1231" s="32"/>
      <c r="Y1231" s="32"/>
      <c r="Z1231" s="32"/>
      <c r="AA1231" s="32"/>
      <c r="AB1231" s="32"/>
      <c r="AC1231" s="32"/>
      <c r="AD1231" s="221"/>
    </row>
    <row r="1232" spans="18:30" x14ac:dyDescent="0.25">
      <c r="R1232" s="32"/>
      <c r="S1232" s="32"/>
      <c r="T1232" s="32"/>
      <c r="U1232" s="32"/>
      <c r="V1232" s="32"/>
      <c r="W1232" s="32"/>
      <c r="X1232" s="32"/>
      <c r="Y1232" s="32"/>
      <c r="Z1232" s="32"/>
      <c r="AA1232" s="32"/>
      <c r="AB1232" s="32"/>
      <c r="AC1232" s="32"/>
      <c r="AD1232" s="221"/>
    </row>
    <row r="1233" spans="18:30" x14ac:dyDescent="0.25">
      <c r="R1233" s="32"/>
      <c r="S1233" s="32"/>
      <c r="T1233" s="32"/>
      <c r="U1233" s="32"/>
      <c r="V1233" s="32"/>
      <c r="W1233" s="32"/>
      <c r="X1233" s="32"/>
      <c r="Y1233" s="32"/>
      <c r="Z1233" s="32"/>
      <c r="AA1233" s="32"/>
      <c r="AB1233" s="32"/>
      <c r="AC1233" s="32"/>
      <c r="AD1233" s="221"/>
    </row>
    <row r="1234" spans="18:30" x14ac:dyDescent="0.25">
      <c r="R1234" s="32"/>
      <c r="S1234" s="32"/>
      <c r="T1234" s="32"/>
      <c r="U1234" s="32"/>
      <c r="V1234" s="32"/>
      <c r="W1234" s="32"/>
      <c r="X1234" s="32"/>
      <c r="Y1234" s="32"/>
      <c r="Z1234" s="32"/>
      <c r="AA1234" s="32"/>
      <c r="AB1234" s="32"/>
      <c r="AC1234" s="32"/>
      <c r="AD1234" s="221"/>
    </row>
    <row r="1235" spans="18:30" x14ac:dyDescent="0.25">
      <c r="R1235" s="32"/>
      <c r="S1235" s="32"/>
      <c r="T1235" s="32"/>
      <c r="U1235" s="32"/>
      <c r="V1235" s="32"/>
      <c r="W1235" s="32"/>
      <c r="X1235" s="32"/>
      <c r="Y1235" s="32"/>
      <c r="Z1235" s="32"/>
      <c r="AA1235" s="32"/>
      <c r="AB1235" s="32"/>
      <c r="AC1235" s="32"/>
      <c r="AD1235" s="221"/>
    </row>
    <row r="1236" spans="18:30" x14ac:dyDescent="0.25">
      <c r="R1236" s="32"/>
      <c r="S1236" s="32"/>
      <c r="T1236" s="32"/>
      <c r="U1236" s="32"/>
      <c r="V1236" s="32"/>
      <c r="W1236" s="32"/>
      <c r="X1236" s="32"/>
      <c r="Y1236" s="32"/>
      <c r="Z1236" s="32"/>
      <c r="AA1236" s="32"/>
      <c r="AB1236" s="32"/>
      <c r="AC1236" s="32"/>
      <c r="AD1236" s="221"/>
    </row>
    <row r="1237" spans="18:30" x14ac:dyDescent="0.25">
      <c r="R1237" s="32"/>
      <c r="S1237" s="32"/>
      <c r="T1237" s="32"/>
      <c r="U1237" s="32"/>
      <c r="V1237" s="32"/>
      <c r="W1237" s="32"/>
      <c r="X1237" s="32"/>
      <c r="Y1237" s="32"/>
      <c r="Z1237" s="32"/>
      <c r="AA1237" s="32"/>
      <c r="AB1237" s="32"/>
      <c r="AC1237" s="32"/>
      <c r="AD1237" s="221"/>
    </row>
    <row r="1238" spans="18:30" x14ac:dyDescent="0.25">
      <c r="R1238" s="32"/>
      <c r="S1238" s="32"/>
      <c r="T1238" s="32"/>
      <c r="U1238" s="32"/>
      <c r="V1238" s="32"/>
      <c r="W1238" s="32"/>
      <c r="X1238" s="32"/>
      <c r="Y1238" s="32"/>
      <c r="Z1238" s="32"/>
      <c r="AA1238" s="32"/>
      <c r="AB1238" s="32"/>
      <c r="AC1238" s="32"/>
      <c r="AD1238" s="221"/>
    </row>
    <row r="1239" spans="18:30" x14ac:dyDescent="0.25">
      <c r="R1239" s="32"/>
      <c r="S1239" s="32"/>
      <c r="T1239" s="32"/>
      <c r="U1239" s="32"/>
      <c r="V1239" s="32"/>
      <c r="W1239" s="32"/>
      <c r="X1239" s="32"/>
      <c r="Y1239" s="32"/>
      <c r="Z1239" s="32"/>
      <c r="AA1239" s="32"/>
      <c r="AB1239" s="32"/>
      <c r="AC1239" s="32"/>
      <c r="AD1239" s="221"/>
    </row>
    <row r="1240" spans="18:30" x14ac:dyDescent="0.25">
      <c r="R1240" s="32"/>
      <c r="S1240" s="32"/>
      <c r="T1240" s="32"/>
      <c r="U1240" s="32"/>
      <c r="V1240" s="32"/>
      <c r="W1240" s="32"/>
      <c r="X1240" s="32"/>
      <c r="Y1240" s="32"/>
      <c r="Z1240" s="32"/>
      <c r="AA1240" s="32"/>
      <c r="AB1240" s="32"/>
      <c r="AC1240" s="32"/>
      <c r="AD1240" s="221"/>
    </row>
    <row r="1241" spans="18:30" x14ac:dyDescent="0.25">
      <c r="R1241" s="32"/>
      <c r="S1241" s="32"/>
      <c r="T1241" s="32"/>
      <c r="U1241" s="32"/>
      <c r="V1241" s="32"/>
      <c r="W1241" s="32"/>
      <c r="X1241" s="32"/>
      <c r="Y1241" s="32"/>
      <c r="Z1241" s="32"/>
      <c r="AA1241" s="32"/>
      <c r="AB1241" s="32"/>
      <c r="AC1241" s="32"/>
      <c r="AD1241" s="221"/>
    </row>
    <row r="1242" spans="18:30" x14ac:dyDescent="0.25">
      <c r="R1242" s="32"/>
      <c r="S1242" s="32"/>
      <c r="T1242" s="32"/>
      <c r="U1242" s="32"/>
      <c r="V1242" s="32"/>
      <c r="W1242" s="32"/>
      <c r="X1242" s="32"/>
      <c r="Y1242" s="32"/>
      <c r="Z1242" s="32"/>
      <c r="AA1242" s="32"/>
      <c r="AB1242" s="32"/>
      <c r="AC1242" s="32"/>
      <c r="AD1242" s="221"/>
    </row>
    <row r="1243" spans="18:30" x14ac:dyDescent="0.25">
      <c r="R1243" s="32"/>
      <c r="S1243" s="32"/>
      <c r="T1243" s="32"/>
      <c r="U1243" s="32"/>
      <c r="V1243" s="32"/>
      <c r="W1243" s="32"/>
      <c r="X1243" s="32"/>
      <c r="Y1243" s="32"/>
      <c r="Z1243" s="32"/>
      <c r="AA1243" s="32"/>
      <c r="AB1243" s="32"/>
      <c r="AC1243" s="32"/>
      <c r="AD1243" s="221"/>
    </row>
    <row r="1244" spans="18:30" x14ac:dyDescent="0.25">
      <c r="R1244" s="32"/>
      <c r="S1244" s="32"/>
      <c r="T1244" s="32"/>
      <c r="U1244" s="32"/>
      <c r="V1244" s="32"/>
      <c r="W1244" s="32"/>
      <c r="X1244" s="32"/>
      <c r="Y1244" s="32"/>
      <c r="Z1244" s="32"/>
      <c r="AA1244" s="32"/>
      <c r="AB1244" s="32"/>
      <c r="AC1244" s="32"/>
      <c r="AD1244" s="221"/>
    </row>
    <row r="1245" spans="18:30" x14ac:dyDescent="0.25">
      <c r="R1245" s="32"/>
      <c r="S1245" s="32"/>
      <c r="T1245" s="32"/>
      <c r="U1245" s="32"/>
      <c r="V1245" s="32"/>
      <c r="W1245" s="32"/>
      <c r="X1245" s="32"/>
      <c r="Y1245" s="32"/>
      <c r="Z1245" s="32"/>
      <c r="AA1245" s="32"/>
      <c r="AB1245" s="32"/>
      <c r="AC1245" s="32"/>
      <c r="AD1245" s="221"/>
    </row>
    <row r="1246" spans="18:30" x14ac:dyDescent="0.25">
      <c r="R1246" s="32"/>
      <c r="S1246" s="32"/>
      <c r="T1246" s="32"/>
      <c r="U1246" s="32"/>
      <c r="V1246" s="32"/>
      <c r="W1246" s="32"/>
      <c r="X1246" s="32"/>
      <c r="Y1246" s="32"/>
      <c r="Z1246" s="32"/>
      <c r="AA1246" s="32"/>
      <c r="AB1246" s="32"/>
      <c r="AC1246" s="32"/>
      <c r="AD1246" s="221"/>
    </row>
    <row r="1247" spans="18:30" x14ac:dyDescent="0.25">
      <c r="R1247" s="32"/>
      <c r="S1247" s="32"/>
      <c r="T1247" s="32"/>
      <c r="U1247" s="32"/>
      <c r="V1247" s="32"/>
      <c r="W1247" s="32"/>
      <c r="X1247" s="32"/>
      <c r="Y1247" s="32"/>
      <c r="Z1247" s="32"/>
      <c r="AA1247" s="32"/>
      <c r="AB1247" s="32"/>
      <c r="AC1247" s="32"/>
      <c r="AD1247" s="221"/>
    </row>
    <row r="1248" spans="18:30" x14ac:dyDescent="0.25">
      <c r="R1248" s="32"/>
      <c r="S1248" s="32"/>
      <c r="T1248" s="32"/>
      <c r="U1248" s="32"/>
      <c r="V1248" s="32"/>
      <c r="W1248" s="32"/>
      <c r="X1248" s="32"/>
      <c r="Y1248" s="32"/>
      <c r="Z1248" s="32"/>
      <c r="AA1248" s="32"/>
      <c r="AB1248" s="32"/>
      <c r="AC1248" s="32"/>
      <c r="AD1248" s="221"/>
    </row>
    <row r="1249" spans="18:30" x14ac:dyDescent="0.25">
      <c r="R1249" s="32"/>
      <c r="S1249" s="32"/>
      <c r="T1249" s="32"/>
      <c r="U1249" s="32"/>
      <c r="V1249" s="32"/>
      <c r="W1249" s="32"/>
      <c r="X1249" s="32"/>
      <c r="Y1249" s="32"/>
      <c r="Z1249" s="32"/>
      <c r="AA1249" s="32"/>
      <c r="AB1249" s="32"/>
      <c r="AC1249" s="32"/>
      <c r="AD1249" s="221"/>
    </row>
    <row r="1250" spans="18:30" x14ac:dyDescent="0.25">
      <c r="R1250" s="32"/>
      <c r="S1250" s="32"/>
      <c r="T1250" s="32"/>
      <c r="U1250" s="32"/>
      <c r="V1250" s="32"/>
      <c r="W1250" s="32"/>
      <c r="X1250" s="32"/>
      <c r="Y1250" s="32"/>
      <c r="Z1250" s="32"/>
      <c r="AA1250" s="32"/>
      <c r="AB1250" s="32"/>
      <c r="AC1250" s="32"/>
      <c r="AD1250" s="221"/>
    </row>
    <row r="1251" spans="18:30" x14ac:dyDescent="0.25">
      <c r="R1251" s="32"/>
      <c r="S1251" s="32"/>
      <c r="T1251" s="32"/>
      <c r="U1251" s="32"/>
      <c r="V1251" s="32"/>
      <c r="W1251" s="32"/>
      <c r="X1251" s="32"/>
      <c r="Y1251" s="32"/>
      <c r="Z1251" s="32"/>
      <c r="AA1251" s="32"/>
      <c r="AB1251" s="32"/>
      <c r="AC1251" s="32"/>
      <c r="AD1251" s="221"/>
    </row>
    <row r="1252" spans="18:30" x14ac:dyDescent="0.25">
      <c r="R1252" s="32"/>
      <c r="S1252" s="32"/>
      <c r="T1252" s="32"/>
      <c r="U1252" s="32"/>
      <c r="V1252" s="32"/>
      <c r="W1252" s="32"/>
      <c r="X1252" s="32"/>
      <c r="Y1252" s="32"/>
      <c r="Z1252" s="32"/>
      <c r="AA1252" s="32"/>
      <c r="AB1252" s="32"/>
      <c r="AC1252" s="32"/>
      <c r="AD1252" s="221"/>
    </row>
    <row r="1253" spans="18:30" x14ac:dyDescent="0.25">
      <c r="R1253" s="32"/>
      <c r="S1253" s="32"/>
      <c r="T1253" s="32"/>
      <c r="U1253" s="32"/>
      <c r="V1253" s="32"/>
      <c r="W1253" s="32"/>
      <c r="X1253" s="32"/>
      <c r="Y1253" s="32"/>
      <c r="Z1253" s="32"/>
      <c r="AA1253" s="32"/>
      <c r="AB1253" s="32"/>
      <c r="AC1253" s="32"/>
      <c r="AD1253" s="221"/>
    </row>
    <row r="1254" spans="18:30" x14ac:dyDescent="0.25">
      <c r="R1254" s="32"/>
      <c r="S1254" s="32"/>
      <c r="T1254" s="32"/>
      <c r="U1254" s="32"/>
      <c r="V1254" s="32"/>
      <c r="W1254" s="32"/>
      <c r="X1254" s="32"/>
      <c r="Y1254" s="32"/>
      <c r="Z1254" s="32"/>
      <c r="AA1254" s="32"/>
      <c r="AB1254" s="32"/>
      <c r="AC1254" s="32"/>
      <c r="AD1254" s="221"/>
    </row>
    <row r="1255" spans="18:30" x14ac:dyDescent="0.25">
      <c r="R1255" s="32"/>
      <c r="S1255" s="32"/>
      <c r="T1255" s="32"/>
      <c r="U1255" s="32"/>
      <c r="V1255" s="32"/>
      <c r="W1255" s="32"/>
      <c r="X1255" s="32"/>
      <c r="Y1255" s="32"/>
      <c r="Z1255" s="32"/>
      <c r="AA1255" s="32"/>
      <c r="AB1255" s="32"/>
      <c r="AC1255" s="32"/>
      <c r="AD1255" s="221"/>
    </row>
    <row r="1256" spans="18:30" x14ac:dyDescent="0.25">
      <c r="R1256" s="32"/>
      <c r="S1256" s="32"/>
      <c r="T1256" s="32"/>
      <c r="U1256" s="32"/>
      <c r="V1256" s="32"/>
      <c r="W1256" s="32"/>
      <c r="X1256" s="32"/>
      <c r="Y1256" s="32"/>
      <c r="Z1256" s="32"/>
      <c r="AA1256" s="32"/>
      <c r="AB1256" s="32"/>
      <c r="AC1256" s="32"/>
      <c r="AD1256" s="221"/>
    </row>
    <row r="1257" spans="18:30" x14ac:dyDescent="0.25">
      <c r="R1257" s="32"/>
      <c r="S1257" s="32"/>
      <c r="T1257" s="32"/>
      <c r="U1257" s="32"/>
      <c r="V1257" s="32"/>
      <c r="W1257" s="32"/>
      <c r="X1257" s="32"/>
      <c r="Y1257" s="32"/>
      <c r="Z1257" s="32"/>
      <c r="AA1257" s="32"/>
      <c r="AB1257" s="32"/>
      <c r="AC1257" s="32"/>
      <c r="AD1257" s="221"/>
    </row>
    <row r="1258" spans="18:30" x14ac:dyDescent="0.25">
      <c r="R1258" s="32"/>
      <c r="S1258" s="32"/>
      <c r="T1258" s="32"/>
      <c r="U1258" s="32"/>
      <c r="V1258" s="32"/>
      <c r="W1258" s="32"/>
      <c r="X1258" s="32"/>
      <c r="Y1258" s="32"/>
      <c r="Z1258" s="32"/>
      <c r="AA1258" s="32"/>
      <c r="AB1258" s="32"/>
      <c r="AC1258" s="32"/>
      <c r="AD1258" s="221"/>
    </row>
    <row r="1259" spans="18:30" x14ac:dyDescent="0.25">
      <c r="R1259" s="32"/>
      <c r="S1259" s="32"/>
      <c r="T1259" s="32"/>
      <c r="U1259" s="32"/>
      <c r="V1259" s="32"/>
      <c r="W1259" s="32"/>
      <c r="X1259" s="32"/>
      <c r="Y1259" s="32"/>
      <c r="Z1259" s="32"/>
      <c r="AA1259" s="32"/>
      <c r="AB1259" s="32"/>
      <c r="AC1259" s="32"/>
      <c r="AD1259" s="221"/>
    </row>
    <row r="1260" spans="18:30" x14ac:dyDescent="0.25">
      <c r="R1260" s="32"/>
      <c r="S1260" s="32"/>
      <c r="T1260" s="32"/>
      <c r="U1260" s="32"/>
      <c r="V1260" s="32"/>
      <c r="W1260" s="32"/>
      <c r="X1260" s="32"/>
      <c r="Y1260" s="32"/>
      <c r="Z1260" s="32"/>
      <c r="AA1260" s="32"/>
      <c r="AB1260" s="32"/>
      <c r="AC1260" s="32"/>
      <c r="AD1260" s="221"/>
    </row>
    <row r="1261" spans="18:30" x14ac:dyDescent="0.25">
      <c r="R1261" s="32"/>
      <c r="S1261" s="32"/>
      <c r="T1261" s="32"/>
      <c r="U1261" s="32"/>
      <c r="V1261" s="32"/>
      <c r="W1261" s="32"/>
      <c r="X1261" s="32"/>
      <c r="Y1261" s="32"/>
      <c r="Z1261" s="32"/>
      <c r="AA1261" s="32"/>
      <c r="AB1261" s="32"/>
      <c r="AC1261" s="32"/>
      <c r="AD1261" s="221"/>
    </row>
    <row r="1262" spans="18:30" x14ac:dyDescent="0.25">
      <c r="R1262" s="32"/>
      <c r="S1262" s="32"/>
      <c r="T1262" s="32"/>
      <c r="U1262" s="32"/>
      <c r="V1262" s="32"/>
      <c r="W1262" s="32"/>
      <c r="X1262" s="32"/>
      <c r="Y1262" s="32"/>
      <c r="Z1262" s="32"/>
      <c r="AA1262" s="32"/>
      <c r="AB1262" s="32"/>
      <c r="AC1262" s="32"/>
      <c r="AD1262" s="221"/>
    </row>
    <row r="1263" spans="18:30" x14ac:dyDescent="0.25">
      <c r="R1263" s="32"/>
      <c r="S1263" s="32"/>
      <c r="T1263" s="32"/>
      <c r="U1263" s="32"/>
      <c r="V1263" s="32"/>
      <c r="W1263" s="32"/>
      <c r="X1263" s="32"/>
      <c r="Y1263" s="32"/>
      <c r="Z1263" s="32"/>
      <c r="AA1263" s="32"/>
      <c r="AB1263" s="32"/>
      <c r="AC1263" s="32"/>
      <c r="AD1263" s="221"/>
    </row>
    <row r="1264" spans="18:30" x14ac:dyDescent="0.25">
      <c r="R1264" s="32"/>
      <c r="S1264" s="32"/>
      <c r="T1264" s="32"/>
      <c r="U1264" s="32"/>
      <c r="V1264" s="32"/>
      <c r="W1264" s="32"/>
      <c r="X1264" s="32"/>
      <c r="Y1264" s="32"/>
      <c r="Z1264" s="32"/>
      <c r="AA1264" s="32"/>
      <c r="AB1264" s="32"/>
      <c r="AC1264" s="32"/>
      <c r="AD1264" s="221"/>
    </row>
    <row r="1265" spans="18:30" x14ac:dyDescent="0.25">
      <c r="R1265" s="32"/>
      <c r="S1265" s="32"/>
      <c r="T1265" s="32"/>
      <c r="U1265" s="32"/>
      <c r="V1265" s="32"/>
      <c r="W1265" s="32"/>
      <c r="X1265" s="32"/>
      <c r="Y1265" s="32"/>
      <c r="Z1265" s="32"/>
      <c r="AA1265" s="32"/>
      <c r="AB1265" s="32"/>
      <c r="AC1265" s="32"/>
      <c r="AD1265" s="221"/>
    </row>
    <row r="1266" spans="18:30" x14ac:dyDescent="0.25">
      <c r="R1266" s="32"/>
      <c r="S1266" s="32"/>
      <c r="T1266" s="32"/>
      <c r="U1266" s="32"/>
      <c r="V1266" s="32"/>
      <c r="W1266" s="32"/>
      <c r="X1266" s="32"/>
      <c r="Y1266" s="32"/>
      <c r="Z1266" s="32"/>
      <c r="AA1266" s="32"/>
      <c r="AB1266" s="32"/>
      <c r="AC1266" s="32"/>
      <c r="AD1266" s="221"/>
    </row>
    <row r="1267" spans="18:30" x14ac:dyDescent="0.25">
      <c r="R1267" s="32"/>
      <c r="S1267" s="32"/>
      <c r="T1267" s="32"/>
      <c r="U1267" s="32"/>
      <c r="V1267" s="32"/>
      <c r="W1267" s="32"/>
      <c r="X1267" s="32"/>
      <c r="Y1267" s="32"/>
      <c r="Z1267" s="32"/>
      <c r="AA1267" s="32"/>
      <c r="AB1267" s="32"/>
      <c r="AC1267" s="32"/>
      <c r="AD1267" s="221"/>
    </row>
    <row r="1268" spans="18:30" x14ac:dyDescent="0.25">
      <c r="R1268" s="32"/>
      <c r="S1268" s="32"/>
      <c r="T1268" s="32"/>
      <c r="U1268" s="32"/>
      <c r="V1268" s="32"/>
      <c r="W1268" s="32"/>
      <c r="X1268" s="32"/>
      <c r="Y1268" s="32"/>
      <c r="Z1268" s="32"/>
      <c r="AA1268" s="32"/>
      <c r="AB1268" s="32"/>
      <c r="AC1268" s="32"/>
      <c r="AD1268" s="221"/>
    </row>
    <row r="1269" spans="18:30" x14ac:dyDescent="0.25">
      <c r="R1269" s="32"/>
      <c r="S1269" s="32"/>
      <c r="T1269" s="32"/>
      <c r="U1269" s="32"/>
      <c r="V1269" s="32"/>
      <c r="W1269" s="32"/>
      <c r="X1269" s="32"/>
      <c r="Y1269" s="32"/>
      <c r="Z1269" s="32"/>
      <c r="AA1269" s="32"/>
      <c r="AB1269" s="32"/>
      <c r="AC1269" s="32"/>
      <c r="AD1269" s="221"/>
    </row>
    <row r="1270" spans="18:30" x14ac:dyDescent="0.25">
      <c r="R1270" s="32"/>
      <c r="S1270" s="32"/>
      <c r="T1270" s="32"/>
      <c r="U1270" s="32"/>
      <c r="V1270" s="32"/>
      <c r="W1270" s="32"/>
      <c r="X1270" s="32"/>
      <c r="Y1270" s="32"/>
      <c r="Z1270" s="32"/>
      <c r="AA1270" s="32"/>
      <c r="AB1270" s="32"/>
      <c r="AC1270" s="32"/>
      <c r="AD1270" s="221"/>
    </row>
    <row r="1271" spans="18:30" x14ac:dyDescent="0.25">
      <c r="R1271" s="32"/>
      <c r="S1271" s="32"/>
      <c r="T1271" s="32"/>
      <c r="U1271" s="32"/>
      <c r="V1271" s="32"/>
      <c r="W1271" s="32"/>
      <c r="X1271" s="32"/>
      <c r="Y1271" s="32"/>
      <c r="Z1271" s="32"/>
      <c r="AA1271" s="32"/>
      <c r="AB1271" s="32"/>
      <c r="AC1271" s="32"/>
      <c r="AD1271" s="221"/>
    </row>
    <row r="1272" spans="18:30" x14ac:dyDescent="0.25">
      <c r="R1272" s="32"/>
      <c r="S1272" s="32"/>
      <c r="T1272" s="32"/>
      <c r="U1272" s="32"/>
      <c r="V1272" s="32"/>
      <c r="W1272" s="32"/>
      <c r="X1272" s="32"/>
      <c r="Y1272" s="32"/>
      <c r="Z1272" s="32"/>
      <c r="AA1272" s="32"/>
      <c r="AB1272" s="32"/>
      <c r="AC1272" s="32"/>
      <c r="AD1272" s="221"/>
    </row>
    <row r="1273" spans="18:30" x14ac:dyDescent="0.25">
      <c r="R1273" s="32"/>
      <c r="S1273" s="32"/>
      <c r="T1273" s="32"/>
      <c r="U1273" s="32"/>
      <c r="V1273" s="32"/>
      <c r="W1273" s="32"/>
      <c r="X1273" s="32"/>
      <c r="Y1273" s="32"/>
      <c r="Z1273" s="32"/>
      <c r="AA1273" s="32"/>
      <c r="AB1273" s="32"/>
      <c r="AC1273" s="32"/>
      <c r="AD1273" s="221"/>
    </row>
    <row r="1274" spans="18:30" x14ac:dyDescent="0.25">
      <c r="R1274" s="32"/>
      <c r="S1274" s="32"/>
      <c r="T1274" s="32"/>
      <c r="U1274" s="32"/>
      <c r="V1274" s="32"/>
      <c r="W1274" s="32"/>
      <c r="X1274" s="32"/>
      <c r="Y1274" s="32"/>
      <c r="Z1274" s="32"/>
      <c r="AA1274" s="32"/>
      <c r="AB1274" s="32"/>
      <c r="AC1274" s="32"/>
      <c r="AD1274" s="221"/>
    </row>
    <row r="1275" spans="18:30" x14ac:dyDescent="0.25">
      <c r="R1275" s="32"/>
      <c r="S1275" s="32"/>
      <c r="T1275" s="32"/>
      <c r="U1275" s="32"/>
      <c r="V1275" s="32"/>
      <c r="W1275" s="32"/>
      <c r="X1275" s="32"/>
      <c r="Y1275" s="32"/>
      <c r="Z1275" s="32"/>
      <c r="AA1275" s="32"/>
      <c r="AB1275" s="32"/>
      <c r="AC1275" s="32"/>
      <c r="AD1275" s="221"/>
    </row>
    <row r="1276" spans="18:30" x14ac:dyDescent="0.25">
      <c r="R1276" s="32"/>
      <c r="S1276" s="32"/>
      <c r="T1276" s="32"/>
      <c r="U1276" s="32"/>
      <c r="V1276" s="32"/>
      <c r="W1276" s="32"/>
      <c r="X1276" s="32"/>
      <c r="Y1276" s="32"/>
      <c r="Z1276" s="32"/>
      <c r="AA1276" s="32"/>
      <c r="AB1276" s="32"/>
      <c r="AC1276" s="32"/>
      <c r="AD1276" s="221"/>
    </row>
    <row r="1277" spans="18:30" x14ac:dyDescent="0.25">
      <c r="R1277" s="32"/>
      <c r="S1277" s="32"/>
      <c r="T1277" s="32"/>
      <c r="U1277" s="32"/>
      <c r="V1277" s="32"/>
      <c r="W1277" s="32"/>
      <c r="X1277" s="32"/>
      <c r="Y1277" s="32"/>
      <c r="Z1277" s="32"/>
      <c r="AA1277" s="32"/>
      <c r="AB1277" s="32"/>
      <c r="AC1277" s="32"/>
      <c r="AD1277" s="221"/>
    </row>
    <row r="1278" spans="18:30" x14ac:dyDescent="0.25">
      <c r="R1278" s="32"/>
      <c r="S1278" s="32"/>
      <c r="T1278" s="32"/>
      <c r="U1278" s="32"/>
      <c r="V1278" s="32"/>
      <c r="W1278" s="32"/>
      <c r="X1278" s="32"/>
      <c r="Y1278" s="32"/>
      <c r="Z1278" s="32"/>
      <c r="AA1278" s="32"/>
      <c r="AB1278" s="32"/>
      <c r="AC1278" s="32"/>
      <c r="AD1278" s="221"/>
    </row>
    <row r="1279" spans="18:30" x14ac:dyDescent="0.25">
      <c r="R1279" s="32"/>
      <c r="S1279" s="32"/>
      <c r="T1279" s="32"/>
      <c r="U1279" s="32"/>
      <c r="V1279" s="32"/>
      <c r="W1279" s="32"/>
      <c r="X1279" s="32"/>
      <c r="Y1279" s="32"/>
      <c r="Z1279" s="32"/>
      <c r="AA1279" s="32"/>
      <c r="AB1279" s="32"/>
      <c r="AC1279" s="32"/>
      <c r="AD1279" s="221"/>
    </row>
    <row r="1280" spans="18:30" x14ac:dyDescent="0.25">
      <c r="R1280" s="32"/>
      <c r="S1280" s="32"/>
      <c r="T1280" s="32"/>
      <c r="U1280" s="32"/>
      <c r="V1280" s="32"/>
      <c r="W1280" s="32"/>
      <c r="X1280" s="32"/>
      <c r="Y1280" s="32"/>
      <c r="Z1280" s="32"/>
      <c r="AA1280" s="32"/>
      <c r="AB1280" s="32"/>
      <c r="AC1280" s="32"/>
      <c r="AD1280" s="221"/>
    </row>
    <row r="1281" spans="18:30" x14ac:dyDescent="0.25">
      <c r="R1281" s="32"/>
      <c r="S1281" s="32"/>
      <c r="T1281" s="32"/>
      <c r="U1281" s="32"/>
      <c r="V1281" s="32"/>
      <c r="W1281" s="32"/>
      <c r="X1281" s="32"/>
      <c r="Y1281" s="32"/>
      <c r="Z1281" s="32"/>
      <c r="AA1281" s="32"/>
      <c r="AB1281" s="32"/>
      <c r="AC1281" s="32"/>
      <c r="AD1281" s="221"/>
    </row>
    <row r="1282" spans="18:30" x14ac:dyDescent="0.25">
      <c r="R1282" s="32"/>
      <c r="S1282" s="32"/>
      <c r="T1282" s="32"/>
      <c r="U1282" s="32"/>
      <c r="V1282" s="32"/>
      <c r="W1282" s="32"/>
      <c r="X1282" s="32"/>
      <c r="Y1282" s="32"/>
      <c r="Z1282" s="32"/>
      <c r="AA1282" s="32"/>
      <c r="AB1282" s="32"/>
      <c r="AC1282" s="32"/>
      <c r="AD1282" s="221"/>
    </row>
    <row r="1283" spans="18:30" x14ac:dyDescent="0.25">
      <c r="R1283" s="32"/>
      <c r="S1283" s="32"/>
      <c r="T1283" s="32"/>
      <c r="U1283" s="32"/>
      <c r="V1283" s="32"/>
      <c r="W1283" s="32"/>
      <c r="X1283" s="32"/>
      <c r="Y1283" s="32"/>
      <c r="Z1283" s="32"/>
      <c r="AA1283" s="32"/>
      <c r="AB1283" s="32"/>
      <c r="AC1283" s="32"/>
      <c r="AD1283" s="221"/>
    </row>
    <row r="1284" spans="18:30" x14ac:dyDescent="0.25">
      <c r="R1284" s="32"/>
      <c r="S1284" s="32"/>
      <c r="T1284" s="32"/>
      <c r="U1284" s="32"/>
      <c r="V1284" s="32"/>
      <c r="W1284" s="32"/>
      <c r="X1284" s="32"/>
      <c r="Y1284" s="32"/>
      <c r="Z1284" s="32"/>
      <c r="AA1284" s="32"/>
      <c r="AB1284" s="32"/>
      <c r="AC1284" s="32"/>
      <c r="AD1284" s="221"/>
    </row>
    <row r="1285" spans="18:30" x14ac:dyDescent="0.25">
      <c r="R1285" s="32"/>
      <c r="S1285" s="32"/>
      <c r="T1285" s="32"/>
      <c r="U1285" s="32"/>
      <c r="V1285" s="32"/>
      <c r="W1285" s="32"/>
      <c r="X1285" s="32"/>
      <c r="Y1285" s="32"/>
      <c r="Z1285" s="32"/>
      <c r="AA1285" s="32"/>
      <c r="AB1285" s="32"/>
      <c r="AC1285" s="32"/>
      <c r="AD1285" s="221"/>
    </row>
    <row r="1286" spans="18:30" x14ac:dyDescent="0.25">
      <c r="R1286" s="32"/>
      <c r="S1286" s="32"/>
      <c r="T1286" s="32"/>
      <c r="U1286" s="32"/>
      <c r="V1286" s="32"/>
      <c r="W1286" s="32"/>
      <c r="X1286" s="32"/>
      <c r="Y1286" s="32"/>
      <c r="Z1286" s="32"/>
      <c r="AA1286" s="32"/>
      <c r="AB1286" s="32"/>
      <c r="AC1286" s="32"/>
      <c r="AD1286" s="221"/>
    </row>
    <row r="1287" spans="18:30" x14ac:dyDescent="0.25">
      <c r="R1287" s="32"/>
      <c r="S1287" s="32"/>
      <c r="T1287" s="32"/>
      <c r="U1287" s="32"/>
      <c r="V1287" s="32"/>
      <c r="W1287" s="32"/>
      <c r="X1287" s="32"/>
      <c r="Y1287" s="32"/>
      <c r="Z1287" s="32"/>
      <c r="AA1287" s="32"/>
      <c r="AB1287" s="32"/>
      <c r="AC1287" s="32"/>
      <c r="AD1287" s="221"/>
    </row>
    <row r="1288" spans="18:30" x14ac:dyDescent="0.25">
      <c r="R1288" s="32"/>
      <c r="S1288" s="32"/>
      <c r="T1288" s="32"/>
      <c r="U1288" s="32"/>
      <c r="V1288" s="32"/>
      <c r="W1288" s="32"/>
      <c r="X1288" s="32"/>
      <c r="Y1288" s="32"/>
      <c r="Z1288" s="32"/>
      <c r="AA1288" s="32"/>
      <c r="AB1288" s="32"/>
      <c r="AC1288" s="32"/>
      <c r="AD1288" s="221"/>
    </row>
    <row r="1289" spans="18:30" x14ac:dyDescent="0.25">
      <c r="R1289" s="32"/>
      <c r="S1289" s="32"/>
      <c r="T1289" s="32"/>
      <c r="U1289" s="32"/>
      <c r="V1289" s="32"/>
      <c r="W1289" s="32"/>
      <c r="X1289" s="32"/>
      <c r="Y1289" s="32"/>
      <c r="Z1289" s="32"/>
      <c r="AA1289" s="32"/>
      <c r="AB1289" s="32"/>
      <c r="AC1289" s="32"/>
      <c r="AD1289" s="221"/>
    </row>
    <row r="1290" spans="18:30" x14ac:dyDescent="0.25">
      <c r="R1290" s="32"/>
      <c r="S1290" s="32"/>
      <c r="T1290" s="32"/>
      <c r="U1290" s="32"/>
      <c r="V1290" s="32"/>
      <c r="W1290" s="32"/>
      <c r="X1290" s="32"/>
      <c r="Y1290" s="32"/>
      <c r="Z1290" s="32"/>
      <c r="AA1290" s="32"/>
      <c r="AB1290" s="32"/>
      <c r="AC1290" s="32"/>
      <c r="AD1290" s="221"/>
    </row>
    <row r="1291" spans="18:30" x14ac:dyDescent="0.25">
      <c r="R1291" s="32"/>
      <c r="S1291" s="32"/>
      <c r="T1291" s="32"/>
      <c r="U1291" s="32"/>
      <c r="V1291" s="32"/>
      <c r="W1291" s="32"/>
      <c r="X1291" s="32"/>
      <c r="Y1291" s="32"/>
      <c r="Z1291" s="32"/>
      <c r="AA1291" s="32"/>
      <c r="AB1291" s="32"/>
      <c r="AC1291" s="32"/>
      <c r="AD1291" s="221"/>
    </row>
    <row r="1292" spans="18:30" x14ac:dyDescent="0.25">
      <c r="R1292" s="32"/>
      <c r="S1292" s="32"/>
      <c r="T1292" s="32"/>
      <c r="U1292" s="32"/>
      <c r="V1292" s="32"/>
      <c r="W1292" s="32"/>
      <c r="X1292" s="32"/>
      <c r="Y1292" s="32"/>
      <c r="Z1292" s="32"/>
      <c r="AA1292" s="32"/>
      <c r="AB1292" s="32"/>
      <c r="AC1292" s="32"/>
      <c r="AD1292" s="221"/>
    </row>
    <row r="1293" spans="18:30" x14ac:dyDescent="0.25">
      <c r="R1293" s="32"/>
      <c r="S1293" s="32"/>
      <c r="T1293" s="32"/>
      <c r="U1293" s="32"/>
      <c r="V1293" s="32"/>
      <c r="W1293" s="32"/>
      <c r="X1293" s="32"/>
      <c r="Y1293" s="32"/>
      <c r="Z1293" s="32"/>
      <c r="AA1293" s="32"/>
      <c r="AB1293" s="32"/>
      <c r="AC1293" s="32"/>
      <c r="AD1293" s="221"/>
    </row>
    <row r="1294" spans="18:30" x14ac:dyDescent="0.25">
      <c r="R1294" s="32"/>
      <c r="S1294" s="32"/>
      <c r="T1294" s="32"/>
      <c r="U1294" s="32"/>
      <c r="V1294" s="32"/>
      <c r="W1294" s="32"/>
      <c r="X1294" s="32"/>
      <c r="Y1294" s="32"/>
      <c r="Z1294" s="32"/>
      <c r="AA1294" s="32"/>
      <c r="AB1294" s="32"/>
      <c r="AC1294" s="32"/>
      <c r="AD1294" s="221"/>
    </row>
    <row r="1295" spans="18:30" x14ac:dyDescent="0.25">
      <c r="R1295" s="32"/>
      <c r="S1295" s="32"/>
      <c r="T1295" s="32"/>
      <c r="U1295" s="32"/>
      <c r="V1295" s="32"/>
      <c r="W1295" s="32"/>
      <c r="X1295" s="32"/>
      <c r="Y1295" s="32"/>
      <c r="Z1295" s="32"/>
      <c r="AA1295" s="32"/>
      <c r="AB1295" s="32"/>
      <c r="AC1295" s="32"/>
      <c r="AD1295" s="221"/>
    </row>
    <row r="1296" spans="18:30" x14ac:dyDescent="0.25">
      <c r="R1296" s="32"/>
      <c r="S1296" s="32"/>
      <c r="T1296" s="32"/>
      <c r="U1296" s="32"/>
      <c r="V1296" s="32"/>
      <c r="W1296" s="32"/>
      <c r="X1296" s="32"/>
      <c r="Y1296" s="32"/>
      <c r="Z1296" s="32"/>
      <c r="AA1296" s="32"/>
      <c r="AB1296" s="32"/>
      <c r="AC1296" s="32"/>
      <c r="AD1296" s="221"/>
    </row>
    <row r="1297" spans="18:30" x14ac:dyDescent="0.25">
      <c r="R1297" s="32"/>
      <c r="S1297" s="32"/>
      <c r="T1297" s="32"/>
      <c r="U1297" s="32"/>
      <c r="V1297" s="32"/>
      <c r="W1297" s="32"/>
      <c r="X1297" s="32"/>
      <c r="Y1297" s="32"/>
      <c r="Z1297" s="32"/>
      <c r="AA1297" s="32"/>
      <c r="AB1297" s="32"/>
      <c r="AC1297" s="32"/>
      <c r="AD1297" s="221"/>
    </row>
    <row r="1298" spans="18:30" x14ac:dyDescent="0.25">
      <c r="R1298" s="32"/>
      <c r="S1298" s="32"/>
      <c r="T1298" s="32"/>
      <c r="U1298" s="32"/>
      <c r="V1298" s="32"/>
      <c r="W1298" s="32"/>
      <c r="X1298" s="32"/>
      <c r="Y1298" s="32"/>
      <c r="Z1298" s="32"/>
      <c r="AA1298" s="32"/>
      <c r="AB1298" s="32"/>
      <c r="AC1298" s="32"/>
      <c r="AD1298" s="221"/>
    </row>
    <row r="1299" spans="18:30" x14ac:dyDescent="0.25">
      <c r="R1299" s="32"/>
      <c r="S1299" s="32"/>
      <c r="T1299" s="32"/>
      <c r="U1299" s="32"/>
      <c r="V1299" s="32"/>
      <c r="W1299" s="32"/>
      <c r="X1299" s="32"/>
      <c r="Y1299" s="32"/>
      <c r="Z1299" s="32"/>
      <c r="AA1299" s="32"/>
      <c r="AB1299" s="32"/>
      <c r="AC1299" s="32"/>
      <c r="AD1299" s="221"/>
    </row>
    <row r="1300" spans="18:30" x14ac:dyDescent="0.25">
      <c r="R1300" s="32"/>
      <c r="S1300" s="32"/>
      <c r="T1300" s="32"/>
      <c r="U1300" s="32"/>
      <c r="V1300" s="32"/>
      <c r="W1300" s="32"/>
      <c r="X1300" s="32"/>
      <c r="Y1300" s="32"/>
      <c r="Z1300" s="32"/>
      <c r="AA1300" s="32"/>
      <c r="AB1300" s="32"/>
      <c r="AC1300" s="32"/>
      <c r="AD1300" s="221"/>
    </row>
    <row r="1301" spans="18:30" x14ac:dyDescent="0.25">
      <c r="R1301" s="32"/>
      <c r="S1301" s="32"/>
      <c r="T1301" s="32"/>
      <c r="U1301" s="32"/>
      <c r="V1301" s="32"/>
      <c r="W1301" s="32"/>
      <c r="X1301" s="32"/>
      <c r="Y1301" s="32"/>
      <c r="Z1301" s="32"/>
      <c r="AA1301" s="32"/>
      <c r="AB1301" s="32"/>
      <c r="AC1301" s="32"/>
      <c r="AD1301" s="221"/>
    </row>
    <row r="1302" spans="18:30" x14ac:dyDescent="0.25">
      <c r="R1302" s="32"/>
      <c r="S1302" s="32"/>
      <c r="T1302" s="32"/>
      <c r="U1302" s="32"/>
      <c r="V1302" s="32"/>
      <c r="W1302" s="32"/>
      <c r="X1302" s="32"/>
      <c r="Y1302" s="32"/>
      <c r="Z1302" s="32"/>
      <c r="AA1302" s="32"/>
      <c r="AB1302" s="32"/>
      <c r="AC1302" s="32"/>
      <c r="AD1302" s="221"/>
    </row>
    <row r="1303" spans="18:30" x14ac:dyDescent="0.25">
      <c r="R1303" s="32"/>
      <c r="S1303" s="32"/>
      <c r="T1303" s="32"/>
      <c r="U1303" s="32"/>
      <c r="V1303" s="32"/>
      <c r="W1303" s="32"/>
      <c r="X1303" s="32"/>
      <c r="Y1303" s="32"/>
      <c r="Z1303" s="32"/>
      <c r="AA1303" s="32"/>
      <c r="AB1303" s="32"/>
      <c r="AC1303" s="32"/>
      <c r="AD1303" s="221"/>
    </row>
    <row r="1304" spans="18:30" x14ac:dyDescent="0.25">
      <c r="R1304" s="32"/>
      <c r="S1304" s="32"/>
      <c r="T1304" s="32"/>
      <c r="U1304" s="32"/>
      <c r="V1304" s="32"/>
      <c r="W1304" s="32"/>
      <c r="X1304" s="32"/>
      <c r="Y1304" s="32"/>
      <c r="Z1304" s="32"/>
      <c r="AA1304" s="32"/>
      <c r="AB1304" s="32"/>
      <c r="AC1304" s="32"/>
      <c r="AD1304" s="221"/>
    </row>
    <row r="1305" spans="18:30" x14ac:dyDescent="0.25">
      <c r="R1305" s="32"/>
      <c r="S1305" s="32"/>
      <c r="T1305" s="32"/>
      <c r="U1305" s="32"/>
      <c r="V1305" s="32"/>
      <c r="W1305" s="32"/>
      <c r="X1305" s="32"/>
      <c r="Y1305" s="32"/>
      <c r="Z1305" s="32"/>
      <c r="AA1305" s="32"/>
      <c r="AB1305" s="32"/>
      <c r="AC1305" s="32"/>
      <c r="AD1305" s="221"/>
    </row>
    <row r="1306" spans="18:30" x14ac:dyDescent="0.25">
      <c r="R1306" s="32"/>
      <c r="S1306" s="32"/>
      <c r="T1306" s="32"/>
      <c r="U1306" s="32"/>
      <c r="V1306" s="32"/>
      <c r="W1306" s="32"/>
      <c r="X1306" s="32"/>
      <c r="Y1306" s="32"/>
      <c r="Z1306" s="32"/>
      <c r="AA1306" s="32"/>
      <c r="AB1306" s="32"/>
      <c r="AC1306" s="32"/>
      <c r="AD1306" s="221"/>
    </row>
    <row r="1307" spans="18:30" x14ac:dyDescent="0.25">
      <c r="R1307" s="32"/>
      <c r="S1307" s="32"/>
      <c r="T1307" s="32"/>
      <c r="U1307" s="32"/>
      <c r="V1307" s="32"/>
      <c r="W1307" s="32"/>
      <c r="X1307" s="32"/>
      <c r="Y1307" s="32"/>
      <c r="Z1307" s="32"/>
      <c r="AA1307" s="32"/>
      <c r="AB1307" s="32"/>
      <c r="AC1307" s="32"/>
      <c r="AD1307" s="221"/>
    </row>
    <row r="1308" spans="18:30" x14ac:dyDescent="0.25">
      <c r="R1308" s="32"/>
      <c r="S1308" s="32"/>
      <c r="T1308" s="32"/>
      <c r="U1308" s="32"/>
      <c r="V1308" s="32"/>
      <c r="W1308" s="32"/>
      <c r="X1308" s="32"/>
      <c r="Y1308" s="32"/>
      <c r="Z1308" s="32"/>
      <c r="AA1308" s="32"/>
      <c r="AB1308" s="32"/>
      <c r="AC1308" s="32"/>
      <c r="AD1308" s="221"/>
    </row>
    <row r="1309" spans="18:30" x14ac:dyDescent="0.25">
      <c r="R1309" s="32"/>
      <c r="S1309" s="32"/>
      <c r="T1309" s="32"/>
      <c r="U1309" s="32"/>
      <c r="V1309" s="32"/>
      <c r="W1309" s="32"/>
      <c r="X1309" s="32"/>
      <c r="Y1309" s="32"/>
      <c r="Z1309" s="32"/>
      <c r="AA1309" s="32"/>
      <c r="AB1309" s="32"/>
      <c r="AC1309" s="32"/>
      <c r="AD1309" s="221"/>
    </row>
    <row r="1310" spans="18:30" x14ac:dyDescent="0.25">
      <c r="R1310" s="32"/>
      <c r="S1310" s="32"/>
      <c r="T1310" s="32"/>
      <c r="U1310" s="32"/>
      <c r="V1310" s="32"/>
      <c r="W1310" s="32"/>
      <c r="X1310" s="32"/>
      <c r="Y1310" s="32"/>
      <c r="Z1310" s="32"/>
      <c r="AA1310" s="32"/>
      <c r="AB1310" s="32"/>
      <c r="AC1310" s="32"/>
      <c r="AD1310" s="221"/>
    </row>
    <row r="1311" spans="18:30" x14ac:dyDescent="0.25">
      <c r="R1311" s="32"/>
      <c r="S1311" s="32"/>
      <c r="T1311" s="32"/>
      <c r="U1311" s="32"/>
      <c r="V1311" s="32"/>
      <c r="W1311" s="32"/>
      <c r="X1311" s="32"/>
      <c r="Y1311" s="32"/>
      <c r="Z1311" s="32"/>
      <c r="AA1311" s="32"/>
      <c r="AB1311" s="32"/>
      <c r="AC1311" s="32"/>
      <c r="AD1311" s="221"/>
    </row>
    <row r="1312" spans="18:30" x14ac:dyDescent="0.25">
      <c r="R1312" s="32"/>
      <c r="S1312" s="32"/>
      <c r="T1312" s="32"/>
      <c r="U1312" s="32"/>
      <c r="V1312" s="32"/>
      <c r="W1312" s="32"/>
      <c r="X1312" s="32"/>
      <c r="Y1312" s="32"/>
      <c r="Z1312" s="32"/>
      <c r="AA1312" s="32"/>
      <c r="AB1312" s="32"/>
      <c r="AC1312" s="32"/>
      <c r="AD1312" s="221"/>
    </row>
    <row r="1313" spans="18:30" x14ac:dyDescent="0.25">
      <c r="R1313" s="32"/>
      <c r="S1313" s="32"/>
      <c r="T1313" s="32"/>
      <c r="U1313" s="32"/>
      <c r="V1313" s="32"/>
      <c r="W1313" s="32"/>
      <c r="X1313" s="32"/>
      <c r="Y1313" s="32"/>
      <c r="Z1313" s="32"/>
      <c r="AA1313" s="32"/>
      <c r="AB1313" s="32"/>
      <c r="AC1313" s="32"/>
      <c r="AD1313" s="221"/>
    </row>
    <row r="1314" spans="18:30" x14ac:dyDescent="0.25">
      <c r="R1314" s="32"/>
      <c r="S1314" s="32"/>
      <c r="T1314" s="32"/>
      <c r="U1314" s="32"/>
      <c r="V1314" s="32"/>
      <c r="W1314" s="32"/>
      <c r="X1314" s="32"/>
      <c r="Y1314" s="32"/>
      <c r="Z1314" s="32"/>
      <c r="AA1314" s="32"/>
      <c r="AB1314" s="32"/>
      <c r="AC1314" s="32"/>
      <c r="AD1314" s="221"/>
    </row>
    <row r="1315" spans="18:30" x14ac:dyDescent="0.25">
      <c r="R1315" s="32"/>
      <c r="S1315" s="32"/>
      <c r="T1315" s="32"/>
      <c r="U1315" s="32"/>
      <c r="V1315" s="32"/>
      <c r="W1315" s="32"/>
      <c r="X1315" s="32"/>
      <c r="Y1315" s="32"/>
      <c r="Z1315" s="32"/>
      <c r="AA1315" s="32"/>
      <c r="AB1315" s="32"/>
      <c r="AC1315" s="32"/>
      <c r="AD1315" s="221"/>
    </row>
    <row r="1316" spans="18:30" x14ac:dyDescent="0.25">
      <c r="R1316" s="32"/>
      <c r="S1316" s="32"/>
      <c r="T1316" s="32"/>
      <c r="U1316" s="32"/>
      <c r="V1316" s="32"/>
      <c r="W1316" s="32"/>
      <c r="X1316" s="32"/>
      <c r="Y1316" s="32"/>
      <c r="Z1316" s="32"/>
      <c r="AA1316" s="32"/>
      <c r="AB1316" s="32"/>
      <c r="AC1316" s="32"/>
      <c r="AD1316" s="221"/>
    </row>
    <row r="1317" spans="18:30" x14ac:dyDescent="0.25">
      <c r="R1317" s="32"/>
      <c r="S1317" s="32"/>
      <c r="T1317" s="32"/>
      <c r="U1317" s="32"/>
      <c r="V1317" s="32"/>
      <c r="W1317" s="32"/>
      <c r="X1317" s="32"/>
      <c r="Y1317" s="32"/>
      <c r="Z1317" s="32"/>
      <c r="AA1317" s="32"/>
      <c r="AB1317" s="32"/>
      <c r="AC1317" s="32"/>
      <c r="AD1317" s="221"/>
    </row>
    <row r="1318" spans="18:30" x14ac:dyDescent="0.25">
      <c r="R1318" s="32"/>
      <c r="S1318" s="32"/>
      <c r="T1318" s="32"/>
      <c r="U1318" s="32"/>
      <c r="V1318" s="32"/>
      <c r="W1318" s="32"/>
      <c r="X1318" s="32"/>
      <c r="Y1318" s="32"/>
      <c r="Z1318" s="32"/>
      <c r="AA1318" s="32"/>
      <c r="AB1318" s="32"/>
      <c r="AC1318" s="32"/>
      <c r="AD1318" s="221"/>
    </row>
    <row r="1319" spans="18:30" x14ac:dyDescent="0.25">
      <c r="R1319" s="32"/>
      <c r="S1319" s="32"/>
      <c r="T1319" s="32"/>
      <c r="U1319" s="32"/>
      <c r="V1319" s="32"/>
      <c r="W1319" s="32"/>
      <c r="X1319" s="32"/>
      <c r="Y1319" s="32"/>
      <c r="Z1319" s="32"/>
      <c r="AA1319" s="32"/>
      <c r="AB1319" s="32"/>
      <c r="AC1319" s="32"/>
      <c r="AD1319" s="221"/>
    </row>
    <row r="1320" spans="18:30" x14ac:dyDescent="0.25">
      <c r="R1320" s="32"/>
      <c r="S1320" s="32"/>
      <c r="T1320" s="32"/>
      <c r="U1320" s="32"/>
      <c r="V1320" s="32"/>
      <c r="W1320" s="32"/>
      <c r="X1320" s="32"/>
      <c r="Y1320" s="32"/>
      <c r="Z1320" s="32"/>
      <c r="AA1320" s="32"/>
      <c r="AB1320" s="32"/>
      <c r="AC1320" s="32"/>
      <c r="AD1320" s="221"/>
    </row>
    <row r="1321" spans="18:30" x14ac:dyDescent="0.25">
      <c r="R1321" s="32"/>
      <c r="S1321" s="32"/>
      <c r="T1321" s="32"/>
      <c r="U1321" s="32"/>
      <c r="V1321" s="32"/>
      <c r="W1321" s="32"/>
      <c r="X1321" s="32"/>
      <c r="Y1321" s="32"/>
      <c r="Z1321" s="32"/>
      <c r="AA1321" s="32"/>
      <c r="AB1321" s="32"/>
      <c r="AC1321" s="32"/>
      <c r="AD1321" s="221"/>
    </row>
    <row r="1322" spans="18:30" x14ac:dyDescent="0.25">
      <c r="R1322" s="32"/>
      <c r="S1322" s="32"/>
      <c r="T1322" s="32"/>
      <c r="U1322" s="32"/>
      <c r="V1322" s="32"/>
      <c r="W1322" s="32"/>
      <c r="X1322" s="32"/>
      <c r="Y1322" s="32"/>
      <c r="Z1322" s="32"/>
      <c r="AA1322" s="32"/>
      <c r="AB1322" s="32"/>
      <c r="AC1322" s="32"/>
      <c r="AD1322" s="221"/>
    </row>
    <row r="1323" spans="18:30" x14ac:dyDescent="0.25">
      <c r="R1323" s="32"/>
      <c r="S1323" s="32"/>
      <c r="T1323" s="32"/>
      <c r="U1323" s="32"/>
      <c r="V1323" s="32"/>
      <c r="W1323" s="32"/>
      <c r="X1323" s="32"/>
      <c r="Y1323" s="32"/>
      <c r="Z1323" s="32"/>
      <c r="AA1323" s="32"/>
      <c r="AB1323" s="32"/>
      <c r="AC1323" s="32"/>
      <c r="AD1323" s="221"/>
    </row>
    <row r="1324" spans="18:30" x14ac:dyDescent="0.25">
      <c r="R1324" s="32"/>
      <c r="S1324" s="32"/>
      <c r="T1324" s="32"/>
      <c r="U1324" s="32"/>
      <c r="V1324" s="32"/>
      <c r="W1324" s="32"/>
      <c r="X1324" s="32"/>
      <c r="Y1324" s="32"/>
      <c r="Z1324" s="32"/>
      <c r="AA1324" s="32"/>
      <c r="AB1324" s="32"/>
      <c r="AC1324" s="32"/>
      <c r="AD1324" s="221"/>
    </row>
    <row r="1325" spans="18:30" x14ac:dyDescent="0.25">
      <c r="R1325" s="32"/>
      <c r="S1325" s="32"/>
      <c r="T1325" s="32"/>
      <c r="U1325" s="32"/>
      <c r="V1325" s="32"/>
      <c r="W1325" s="32"/>
      <c r="X1325" s="32"/>
      <c r="Y1325" s="32"/>
      <c r="Z1325" s="32"/>
      <c r="AA1325" s="32"/>
      <c r="AB1325" s="32"/>
      <c r="AC1325" s="32"/>
      <c r="AD1325" s="221"/>
    </row>
    <row r="1326" spans="18:30" x14ac:dyDescent="0.25">
      <c r="R1326" s="32"/>
      <c r="S1326" s="32"/>
      <c r="T1326" s="32"/>
      <c r="U1326" s="32"/>
      <c r="V1326" s="32"/>
      <c r="W1326" s="32"/>
      <c r="X1326" s="32"/>
      <c r="Y1326" s="32"/>
      <c r="Z1326" s="32"/>
      <c r="AA1326" s="32"/>
      <c r="AB1326" s="32"/>
      <c r="AC1326" s="32"/>
      <c r="AD1326" s="221"/>
    </row>
    <row r="1327" spans="18:30" x14ac:dyDescent="0.25">
      <c r="R1327" s="32"/>
      <c r="S1327" s="32"/>
      <c r="T1327" s="32"/>
      <c r="U1327" s="32"/>
      <c r="V1327" s="32"/>
      <c r="W1327" s="32"/>
      <c r="X1327" s="32"/>
      <c r="Y1327" s="32"/>
      <c r="Z1327" s="32"/>
      <c r="AA1327" s="32"/>
      <c r="AB1327" s="32"/>
      <c r="AC1327" s="32"/>
      <c r="AD1327" s="221"/>
    </row>
    <row r="1328" spans="18:30" x14ac:dyDescent="0.25">
      <c r="R1328" s="32"/>
      <c r="S1328" s="32"/>
      <c r="T1328" s="32"/>
      <c r="U1328" s="32"/>
      <c r="V1328" s="32"/>
      <c r="W1328" s="32"/>
      <c r="X1328" s="32"/>
      <c r="Y1328" s="32"/>
      <c r="Z1328" s="32"/>
      <c r="AA1328" s="32"/>
      <c r="AB1328" s="32"/>
      <c r="AC1328" s="32"/>
      <c r="AD1328" s="221"/>
    </row>
    <row r="1329" spans="18:30" x14ac:dyDescent="0.25">
      <c r="R1329" s="32"/>
      <c r="S1329" s="32"/>
      <c r="T1329" s="32"/>
      <c r="U1329" s="32"/>
      <c r="V1329" s="32"/>
      <c r="W1329" s="32"/>
      <c r="X1329" s="32"/>
      <c r="Y1329" s="32"/>
      <c r="Z1329" s="32"/>
      <c r="AA1329" s="32"/>
      <c r="AB1329" s="32"/>
      <c r="AC1329" s="32"/>
      <c r="AD1329" s="221"/>
    </row>
    <row r="1330" spans="18:30" x14ac:dyDescent="0.25">
      <c r="R1330" s="32"/>
      <c r="S1330" s="32"/>
      <c r="T1330" s="32"/>
      <c r="U1330" s="32"/>
      <c r="V1330" s="32"/>
      <c r="W1330" s="32"/>
      <c r="X1330" s="32"/>
      <c r="Y1330" s="32"/>
      <c r="Z1330" s="32"/>
      <c r="AA1330" s="32"/>
      <c r="AB1330" s="32"/>
      <c r="AC1330" s="32"/>
      <c r="AD1330" s="221"/>
    </row>
    <row r="1331" spans="18:30" x14ac:dyDescent="0.25">
      <c r="R1331" s="32"/>
      <c r="S1331" s="32"/>
      <c r="T1331" s="32"/>
      <c r="U1331" s="32"/>
      <c r="V1331" s="32"/>
      <c r="W1331" s="32"/>
      <c r="X1331" s="32"/>
      <c r="Y1331" s="32"/>
      <c r="Z1331" s="32"/>
      <c r="AA1331" s="32"/>
      <c r="AB1331" s="32"/>
      <c r="AC1331" s="32"/>
      <c r="AD1331" s="221"/>
    </row>
    <row r="1332" spans="18:30" x14ac:dyDescent="0.25">
      <c r="R1332" s="32"/>
      <c r="S1332" s="32"/>
      <c r="T1332" s="32"/>
      <c r="U1332" s="32"/>
      <c r="V1332" s="32"/>
      <c r="W1332" s="32"/>
      <c r="X1332" s="32"/>
      <c r="Y1332" s="32"/>
      <c r="Z1332" s="32"/>
      <c r="AA1332" s="32"/>
      <c r="AB1332" s="32"/>
      <c r="AC1332" s="32"/>
      <c r="AD1332" s="221"/>
    </row>
    <row r="1333" spans="18:30" x14ac:dyDescent="0.25">
      <c r="R1333" s="32"/>
      <c r="S1333" s="32"/>
      <c r="T1333" s="32"/>
      <c r="U1333" s="32"/>
      <c r="V1333" s="32"/>
      <c r="W1333" s="32"/>
      <c r="X1333" s="32"/>
      <c r="Y1333" s="32"/>
      <c r="Z1333" s="32"/>
      <c r="AA1333" s="32"/>
      <c r="AB1333" s="32"/>
      <c r="AC1333" s="32"/>
      <c r="AD1333" s="221"/>
    </row>
    <row r="1334" spans="18:30" x14ac:dyDescent="0.25">
      <c r="R1334" s="32"/>
      <c r="S1334" s="32"/>
      <c r="T1334" s="32"/>
      <c r="U1334" s="32"/>
      <c r="V1334" s="32"/>
      <c r="W1334" s="32"/>
      <c r="X1334" s="32"/>
      <c r="Y1334" s="32"/>
      <c r="Z1334" s="32"/>
      <c r="AA1334" s="32"/>
      <c r="AB1334" s="32"/>
      <c r="AC1334" s="32"/>
      <c r="AD1334" s="221"/>
    </row>
    <row r="1335" spans="18:30" x14ac:dyDescent="0.25">
      <c r="R1335" s="32"/>
      <c r="S1335" s="32"/>
      <c r="T1335" s="32"/>
      <c r="U1335" s="32"/>
      <c r="V1335" s="32"/>
      <c r="W1335" s="32"/>
      <c r="X1335" s="32"/>
      <c r="Y1335" s="32"/>
      <c r="Z1335" s="32"/>
      <c r="AA1335" s="32"/>
      <c r="AB1335" s="32"/>
      <c r="AC1335" s="32"/>
      <c r="AD1335" s="221"/>
    </row>
    <row r="1336" spans="18:30" x14ac:dyDescent="0.25">
      <c r="R1336" s="32"/>
      <c r="S1336" s="32"/>
      <c r="T1336" s="32"/>
      <c r="U1336" s="32"/>
      <c r="V1336" s="32"/>
      <c r="W1336" s="32"/>
      <c r="X1336" s="32"/>
      <c r="Y1336" s="32"/>
      <c r="Z1336" s="32"/>
      <c r="AA1336" s="32"/>
      <c r="AB1336" s="32"/>
      <c r="AC1336" s="32"/>
      <c r="AD1336" s="221"/>
    </row>
    <row r="1337" spans="18:30" x14ac:dyDescent="0.25">
      <c r="R1337" s="32"/>
      <c r="S1337" s="32"/>
      <c r="T1337" s="32"/>
      <c r="U1337" s="32"/>
      <c r="V1337" s="32"/>
      <c r="W1337" s="32"/>
      <c r="X1337" s="32"/>
      <c r="Y1337" s="32"/>
      <c r="Z1337" s="32"/>
      <c r="AA1337" s="32"/>
      <c r="AB1337" s="32"/>
      <c r="AC1337" s="32"/>
      <c r="AD1337" s="221"/>
    </row>
    <row r="1338" spans="18:30" x14ac:dyDescent="0.25">
      <c r="R1338" s="32"/>
      <c r="S1338" s="32"/>
      <c r="T1338" s="32"/>
      <c r="U1338" s="32"/>
      <c r="V1338" s="32"/>
      <c r="W1338" s="32"/>
      <c r="X1338" s="32"/>
      <c r="Y1338" s="32"/>
      <c r="Z1338" s="32"/>
      <c r="AA1338" s="32"/>
      <c r="AB1338" s="32"/>
      <c r="AC1338" s="32"/>
      <c r="AD1338" s="221"/>
    </row>
    <row r="1339" spans="18:30" x14ac:dyDescent="0.25">
      <c r="R1339" s="32"/>
      <c r="S1339" s="32"/>
      <c r="T1339" s="32"/>
      <c r="U1339" s="32"/>
      <c r="V1339" s="32"/>
      <c r="W1339" s="32"/>
      <c r="X1339" s="32"/>
      <c r="Y1339" s="32"/>
      <c r="Z1339" s="32"/>
      <c r="AA1339" s="32"/>
      <c r="AB1339" s="32"/>
      <c r="AC1339" s="32"/>
      <c r="AD1339" s="221"/>
    </row>
    <row r="1340" spans="18:30" x14ac:dyDescent="0.25">
      <c r="R1340" s="32"/>
      <c r="S1340" s="32"/>
      <c r="T1340" s="32"/>
      <c r="U1340" s="32"/>
      <c r="V1340" s="32"/>
      <c r="W1340" s="32"/>
      <c r="X1340" s="32"/>
      <c r="Y1340" s="32"/>
      <c r="Z1340" s="32"/>
      <c r="AA1340" s="32"/>
      <c r="AB1340" s="32"/>
      <c r="AC1340" s="32"/>
      <c r="AD1340" s="221"/>
    </row>
    <row r="1341" spans="18:30" x14ac:dyDescent="0.25">
      <c r="R1341" s="32"/>
      <c r="S1341" s="32"/>
      <c r="T1341" s="32"/>
      <c r="U1341" s="32"/>
      <c r="V1341" s="32"/>
      <c r="W1341" s="32"/>
      <c r="X1341" s="32"/>
      <c r="Y1341" s="32"/>
      <c r="Z1341" s="32"/>
      <c r="AA1341" s="32"/>
      <c r="AB1341" s="32"/>
      <c r="AC1341" s="32"/>
      <c r="AD1341" s="221"/>
    </row>
    <row r="1342" spans="18:30" x14ac:dyDescent="0.25">
      <c r="R1342" s="32"/>
      <c r="S1342" s="32"/>
      <c r="T1342" s="32"/>
      <c r="U1342" s="32"/>
      <c r="V1342" s="32"/>
      <c r="W1342" s="32"/>
      <c r="X1342" s="32"/>
      <c r="Y1342" s="32"/>
      <c r="Z1342" s="32"/>
      <c r="AA1342" s="32"/>
      <c r="AB1342" s="32"/>
      <c r="AC1342" s="32"/>
      <c r="AD1342" s="221"/>
    </row>
    <row r="1343" spans="18:30" x14ac:dyDescent="0.25">
      <c r="R1343" s="32"/>
      <c r="S1343" s="32"/>
      <c r="T1343" s="32"/>
      <c r="U1343" s="32"/>
      <c r="V1343" s="32"/>
      <c r="W1343" s="32"/>
      <c r="X1343" s="32"/>
      <c r="Y1343" s="32"/>
      <c r="Z1343" s="32"/>
      <c r="AA1343" s="32"/>
      <c r="AB1343" s="32"/>
      <c r="AC1343" s="32"/>
      <c r="AD1343" s="221"/>
    </row>
    <row r="1344" spans="18:30" x14ac:dyDescent="0.25">
      <c r="R1344" s="32"/>
      <c r="S1344" s="32"/>
      <c r="T1344" s="32"/>
      <c r="U1344" s="32"/>
      <c r="V1344" s="32"/>
      <c r="W1344" s="32"/>
      <c r="X1344" s="32"/>
      <c r="Y1344" s="32"/>
      <c r="Z1344" s="32"/>
      <c r="AA1344" s="32"/>
      <c r="AB1344" s="32"/>
      <c r="AC1344" s="32"/>
      <c r="AD1344" s="221"/>
    </row>
    <row r="1345" spans="18:30" x14ac:dyDescent="0.25">
      <c r="R1345" s="32"/>
      <c r="S1345" s="32"/>
      <c r="T1345" s="32"/>
      <c r="U1345" s="32"/>
      <c r="V1345" s="32"/>
      <c r="W1345" s="32"/>
      <c r="X1345" s="32"/>
      <c r="Y1345" s="32"/>
      <c r="Z1345" s="32"/>
      <c r="AA1345" s="32"/>
      <c r="AB1345" s="32"/>
      <c r="AC1345" s="32"/>
      <c r="AD1345" s="221"/>
    </row>
    <row r="1346" spans="18:30" x14ac:dyDescent="0.25">
      <c r="R1346" s="32"/>
      <c r="S1346" s="32"/>
      <c r="T1346" s="32"/>
      <c r="U1346" s="32"/>
      <c r="V1346" s="32"/>
      <c r="W1346" s="32"/>
      <c r="X1346" s="32"/>
      <c r="Y1346" s="32"/>
      <c r="Z1346" s="32"/>
      <c r="AA1346" s="32"/>
      <c r="AB1346" s="32"/>
      <c r="AC1346" s="32"/>
      <c r="AD1346" s="221"/>
    </row>
    <row r="1347" spans="18:30" x14ac:dyDescent="0.25">
      <c r="R1347" s="32"/>
      <c r="S1347" s="32"/>
      <c r="T1347" s="32"/>
      <c r="U1347" s="32"/>
      <c r="V1347" s="32"/>
      <c r="W1347" s="32"/>
      <c r="X1347" s="32"/>
      <c r="Y1347" s="32"/>
      <c r="Z1347" s="32"/>
      <c r="AA1347" s="32"/>
      <c r="AB1347" s="32"/>
      <c r="AC1347" s="32"/>
      <c r="AD1347" s="221"/>
    </row>
    <row r="1348" spans="18:30" x14ac:dyDescent="0.25">
      <c r="R1348" s="32"/>
      <c r="S1348" s="32"/>
      <c r="T1348" s="32"/>
      <c r="U1348" s="32"/>
      <c r="V1348" s="32"/>
      <c r="W1348" s="32"/>
      <c r="X1348" s="32"/>
      <c r="Y1348" s="32"/>
      <c r="Z1348" s="32"/>
      <c r="AA1348" s="32"/>
      <c r="AB1348" s="32"/>
      <c r="AC1348" s="32"/>
      <c r="AD1348" s="221"/>
    </row>
    <row r="1349" spans="18:30" x14ac:dyDescent="0.25">
      <c r="R1349" s="32"/>
      <c r="S1349" s="32"/>
      <c r="T1349" s="32"/>
      <c r="U1349" s="32"/>
      <c r="V1349" s="32"/>
      <c r="W1349" s="32"/>
      <c r="X1349" s="32"/>
      <c r="Y1349" s="32"/>
      <c r="Z1349" s="32"/>
      <c r="AA1349" s="32"/>
      <c r="AB1349" s="32"/>
      <c r="AC1349" s="32"/>
      <c r="AD1349" s="221"/>
    </row>
    <row r="1350" spans="18:30" x14ac:dyDescent="0.25">
      <c r="R1350" s="32"/>
      <c r="S1350" s="32"/>
      <c r="T1350" s="32"/>
      <c r="U1350" s="32"/>
      <c r="V1350" s="32"/>
      <c r="W1350" s="32"/>
      <c r="X1350" s="32"/>
      <c r="Y1350" s="32"/>
      <c r="Z1350" s="32"/>
      <c r="AA1350" s="32"/>
      <c r="AB1350" s="32"/>
      <c r="AC1350" s="32"/>
      <c r="AD1350" s="221"/>
    </row>
    <row r="1351" spans="18:30" x14ac:dyDescent="0.25">
      <c r="R1351" s="32"/>
      <c r="S1351" s="32"/>
      <c r="T1351" s="32"/>
      <c r="U1351" s="32"/>
      <c r="V1351" s="32"/>
      <c r="W1351" s="32"/>
      <c r="X1351" s="32"/>
      <c r="Y1351" s="32"/>
      <c r="Z1351" s="32"/>
      <c r="AA1351" s="32"/>
      <c r="AB1351" s="32"/>
      <c r="AC1351" s="32"/>
      <c r="AD1351" s="221"/>
    </row>
    <row r="1352" spans="18:30" x14ac:dyDescent="0.25">
      <c r="R1352" s="32"/>
      <c r="S1352" s="32"/>
      <c r="T1352" s="32"/>
      <c r="U1352" s="32"/>
      <c r="V1352" s="32"/>
      <c r="W1352" s="32"/>
      <c r="X1352" s="32"/>
      <c r="Y1352" s="32"/>
      <c r="Z1352" s="32"/>
      <c r="AA1352" s="32"/>
      <c r="AB1352" s="32"/>
      <c r="AC1352" s="32"/>
      <c r="AD1352" s="221"/>
    </row>
    <row r="1353" spans="18:30" x14ac:dyDescent="0.25">
      <c r="R1353" s="32"/>
      <c r="S1353" s="32"/>
      <c r="T1353" s="32"/>
      <c r="U1353" s="32"/>
      <c r="V1353" s="32"/>
      <c r="W1353" s="32"/>
      <c r="X1353" s="32"/>
      <c r="Y1353" s="32"/>
      <c r="Z1353" s="32"/>
      <c r="AA1353" s="32"/>
      <c r="AB1353" s="32"/>
      <c r="AC1353" s="32"/>
      <c r="AD1353" s="221"/>
    </row>
    <row r="1354" spans="18:30" x14ac:dyDescent="0.25">
      <c r="R1354" s="32"/>
      <c r="S1354" s="32"/>
      <c r="T1354" s="32"/>
      <c r="U1354" s="32"/>
      <c r="V1354" s="32"/>
      <c r="W1354" s="32"/>
      <c r="X1354" s="32"/>
      <c r="Y1354" s="32"/>
      <c r="Z1354" s="32"/>
      <c r="AA1354" s="32"/>
      <c r="AB1354" s="32"/>
      <c r="AC1354" s="32"/>
      <c r="AD1354" s="221"/>
    </row>
    <row r="1355" spans="18:30" x14ac:dyDescent="0.25">
      <c r="R1355" s="32"/>
      <c r="S1355" s="32"/>
      <c r="T1355" s="32"/>
      <c r="U1355" s="32"/>
      <c r="V1355" s="32"/>
      <c r="W1355" s="32"/>
      <c r="X1355" s="32"/>
      <c r="Y1355" s="32"/>
      <c r="Z1355" s="32"/>
      <c r="AA1355" s="32"/>
      <c r="AB1355" s="32"/>
      <c r="AC1355" s="32"/>
      <c r="AD1355" s="221"/>
    </row>
    <row r="1356" spans="18:30" x14ac:dyDescent="0.25">
      <c r="R1356" s="32"/>
      <c r="S1356" s="32"/>
      <c r="T1356" s="32"/>
      <c r="U1356" s="32"/>
      <c r="V1356" s="32"/>
      <c r="W1356" s="32"/>
      <c r="X1356" s="32"/>
      <c r="Y1356" s="32"/>
      <c r="Z1356" s="32"/>
      <c r="AA1356" s="32"/>
      <c r="AB1356" s="32"/>
      <c r="AC1356" s="32"/>
      <c r="AD1356" s="221"/>
    </row>
    <row r="1357" spans="18:30" x14ac:dyDescent="0.25">
      <c r="R1357" s="32"/>
      <c r="S1357" s="32"/>
      <c r="T1357" s="32"/>
      <c r="U1357" s="32"/>
      <c r="V1357" s="32"/>
      <c r="W1357" s="32"/>
      <c r="X1357" s="32"/>
      <c r="Y1357" s="32"/>
      <c r="Z1357" s="32"/>
      <c r="AA1357" s="32"/>
      <c r="AB1357" s="32"/>
      <c r="AC1357" s="32"/>
      <c r="AD1357" s="221"/>
    </row>
    <row r="1358" spans="18:30" x14ac:dyDescent="0.25">
      <c r="R1358" s="32"/>
      <c r="S1358" s="32"/>
      <c r="T1358" s="32"/>
      <c r="U1358" s="32"/>
      <c r="V1358" s="32"/>
      <c r="W1358" s="32"/>
      <c r="X1358" s="32"/>
      <c r="Y1358" s="32"/>
      <c r="Z1358" s="32"/>
      <c r="AA1358" s="32"/>
      <c r="AB1358" s="32"/>
      <c r="AC1358" s="32"/>
      <c r="AD1358" s="221"/>
    </row>
    <row r="1359" spans="18:30" x14ac:dyDescent="0.25">
      <c r="R1359" s="32"/>
      <c r="S1359" s="32"/>
      <c r="T1359" s="32"/>
      <c r="U1359" s="32"/>
      <c r="V1359" s="32"/>
      <c r="W1359" s="32"/>
      <c r="X1359" s="32"/>
      <c r="Y1359" s="32"/>
      <c r="Z1359" s="32"/>
      <c r="AA1359" s="32"/>
      <c r="AB1359" s="32"/>
      <c r="AC1359" s="32"/>
      <c r="AD1359" s="221"/>
    </row>
    <row r="1360" spans="18:30" x14ac:dyDescent="0.25">
      <c r="R1360" s="32"/>
      <c r="S1360" s="32"/>
      <c r="T1360" s="32"/>
      <c r="U1360" s="32"/>
      <c r="V1360" s="32"/>
      <c r="W1360" s="32"/>
      <c r="X1360" s="32"/>
      <c r="Y1360" s="32"/>
      <c r="Z1360" s="32"/>
      <c r="AA1360" s="32"/>
      <c r="AB1360" s="32"/>
      <c r="AC1360" s="32"/>
      <c r="AD1360" s="221"/>
    </row>
    <row r="1361" spans="18:30" x14ac:dyDescent="0.25">
      <c r="R1361" s="32"/>
      <c r="S1361" s="32"/>
      <c r="T1361" s="32"/>
      <c r="U1361" s="32"/>
      <c r="V1361" s="32"/>
      <c r="W1361" s="32"/>
      <c r="X1361" s="32"/>
      <c r="Y1361" s="32"/>
      <c r="Z1361" s="32"/>
      <c r="AA1361" s="32"/>
      <c r="AB1361" s="32"/>
      <c r="AC1361" s="32"/>
      <c r="AD1361" s="221"/>
    </row>
    <row r="1362" spans="18:30" x14ac:dyDescent="0.25">
      <c r="R1362" s="32"/>
      <c r="S1362" s="32"/>
      <c r="T1362" s="32"/>
      <c r="U1362" s="32"/>
      <c r="V1362" s="32"/>
      <c r="W1362" s="32"/>
      <c r="X1362" s="32"/>
      <c r="Y1362" s="32"/>
      <c r="Z1362" s="32"/>
      <c r="AA1362" s="32"/>
      <c r="AB1362" s="32"/>
      <c r="AC1362" s="32"/>
      <c r="AD1362" s="221"/>
    </row>
    <row r="1363" spans="18:30" x14ac:dyDescent="0.25">
      <c r="R1363" s="32"/>
      <c r="S1363" s="32"/>
      <c r="T1363" s="32"/>
      <c r="U1363" s="32"/>
      <c r="V1363" s="32"/>
      <c r="W1363" s="32"/>
      <c r="X1363" s="32"/>
      <c r="Y1363" s="32"/>
      <c r="Z1363" s="32"/>
      <c r="AA1363" s="32"/>
      <c r="AB1363" s="32"/>
      <c r="AC1363" s="32"/>
      <c r="AD1363" s="221"/>
    </row>
    <row r="1364" spans="18:30" x14ac:dyDescent="0.25">
      <c r="R1364" s="32"/>
      <c r="S1364" s="32"/>
      <c r="T1364" s="32"/>
      <c r="U1364" s="32"/>
      <c r="V1364" s="32"/>
      <c r="W1364" s="32"/>
      <c r="X1364" s="32"/>
      <c r="Y1364" s="32"/>
      <c r="Z1364" s="32"/>
      <c r="AA1364" s="32"/>
      <c r="AB1364" s="32"/>
      <c r="AC1364" s="32"/>
      <c r="AD1364" s="221"/>
    </row>
    <row r="1365" spans="18:30" x14ac:dyDescent="0.25">
      <c r="R1365" s="32"/>
      <c r="S1365" s="32"/>
      <c r="T1365" s="32"/>
      <c r="U1365" s="32"/>
      <c r="V1365" s="32"/>
      <c r="W1365" s="32"/>
      <c r="X1365" s="32"/>
      <c r="Y1365" s="32"/>
      <c r="Z1365" s="32"/>
      <c r="AA1365" s="32"/>
      <c r="AB1365" s="32"/>
      <c r="AC1365" s="32"/>
      <c r="AD1365" s="221"/>
    </row>
    <row r="1366" spans="18:30" x14ac:dyDescent="0.25">
      <c r="R1366" s="32"/>
      <c r="S1366" s="32"/>
      <c r="T1366" s="32"/>
      <c r="U1366" s="32"/>
      <c r="V1366" s="32"/>
      <c r="W1366" s="32"/>
      <c r="X1366" s="32"/>
      <c r="Y1366" s="32"/>
      <c r="Z1366" s="32"/>
      <c r="AA1366" s="32"/>
      <c r="AB1366" s="32"/>
      <c r="AC1366" s="32"/>
      <c r="AD1366" s="221"/>
    </row>
    <row r="1367" spans="18:30" x14ac:dyDescent="0.25">
      <c r="R1367" s="32"/>
      <c r="S1367" s="32"/>
      <c r="T1367" s="32"/>
      <c r="U1367" s="32"/>
      <c r="V1367" s="32"/>
      <c r="W1367" s="32"/>
      <c r="X1367" s="32"/>
      <c r="Y1367" s="32"/>
      <c r="Z1367" s="32"/>
      <c r="AA1367" s="32"/>
      <c r="AB1367" s="32"/>
      <c r="AC1367" s="32"/>
      <c r="AD1367" s="221"/>
    </row>
    <row r="1368" spans="18:30" x14ac:dyDescent="0.25">
      <c r="R1368" s="32"/>
      <c r="S1368" s="32"/>
      <c r="T1368" s="32"/>
      <c r="U1368" s="32"/>
      <c r="V1368" s="32"/>
      <c r="W1368" s="32"/>
      <c r="X1368" s="32"/>
      <c r="Y1368" s="32"/>
      <c r="Z1368" s="32"/>
      <c r="AA1368" s="32"/>
      <c r="AB1368" s="32"/>
      <c r="AC1368" s="32"/>
      <c r="AD1368" s="221"/>
    </row>
    <row r="1369" spans="18:30" x14ac:dyDescent="0.25">
      <c r="R1369" s="32"/>
      <c r="S1369" s="32"/>
      <c r="T1369" s="32"/>
      <c r="U1369" s="32"/>
      <c r="V1369" s="32"/>
      <c r="W1369" s="32"/>
      <c r="X1369" s="32"/>
      <c r="Y1369" s="32"/>
      <c r="Z1369" s="32"/>
      <c r="AA1369" s="32"/>
      <c r="AB1369" s="32"/>
      <c r="AC1369" s="32"/>
      <c r="AD1369" s="221"/>
    </row>
    <row r="1370" spans="18:30" x14ac:dyDescent="0.25">
      <c r="R1370" s="32"/>
      <c r="S1370" s="32"/>
      <c r="T1370" s="32"/>
      <c r="U1370" s="32"/>
      <c r="V1370" s="32"/>
      <c r="W1370" s="32"/>
      <c r="X1370" s="32"/>
      <c r="Y1370" s="32"/>
      <c r="Z1370" s="32"/>
      <c r="AA1370" s="32"/>
      <c r="AB1370" s="32"/>
      <c r="AC1370" s="32"/>
      <c r="AD1370" s="221"/>
    </row>
    <row r="1371" spans="18:30" x14ac:dyDescent="0.25">
      <c r="R1371" s="32"/>
      <c r="S1371" s="32"/>
      <c r="T1371" s="32"/>
      <c r="U1371" s="32"/>
      <c r="V1371" s="32"/>
      <c r="W1371" s="32"/>
      <c r="X1371" s="32"/>
      <c r="Y1371" s="32"/>
      <c r="Z1371" s="32"/>
      <c r="AA1371" s="32"/>
      <c r="AB1371" s="32"/>
      <c r="AC1371" s="32"/>
      <c r="AD1371" s="221"/>
    </row>
    <row r="1372" spans="18:30" x14ac:dyDescent="0.25">
      <c r="R1372" s="32"/>
      <c r="S1372" s="32"/>
      <c r="T1372" s="32"/>
      <c r="U1372" s="32"/>
      <c r="V1372" s="32"/>
      <c r="W1372" s="32"/>
      <c r="X1372" s="32"/>
      <c r="Y1372" s="32"/>
      <c r="Z1372" s="32"/>
      <c r="AA1372" s="32"/>
      <c r="AB1372" s="32"/>
      <c r="AC1372" s="32"/>
      <c r="AD1372" s="221"/>
    </row>
    <row r="1373" spans="18:30" x14ac:dyDescent="0.25">
      <c r="R1373" s="32"/>
      <c r="S1373" s="32"/>
      <c r="T1373" s="32"/>
      <c r="U1373" s="32"/>
      <c r="V1373" s="32"/>
      <c r="W1373" s="32"/>
      <c r="X1373" s="32"/>
      <c r="Y1373" s="32"/>
      <c r="Z1373" s="32"/>
      <c r="AA1373" s="32"/>
      <c r="AB1373" s="32"/>
      <c r="AC1373" s="32"/>
      <c r="AD1373" s="221"/>
    </row>
    <row r="1374" spans="18:30" x14ac:dyDescent="0.25">
      <c r="R1374" s="32"/>
      <c r="S1374" s="32"/>
      <c r="T1374" s="32"/>
      <c r="U1374" s="32"/>
      <c r="V1374" s="32"/>
      <c r="W1374" s="32"/>
      <c r="X1374" s="32"/>
      <c r="Y1374" s="32"/>
      <c r="Z1374" s="32"/>
      <c r="AA1374" s="32"/>
      <c r="AB1374" s="32"/>
      <c r="AC1374" s="32"/>
      <c r="AD1374" s="221"/>
    </row>
    <row r="1375" spans="18:30" x14ac:dyDescent="0.25">
      <c r="R1375" s="32"/>
      <c r="S1375" s="32"/>
      <c r="T1375" s="32"/>
      <c r="U1375" s="32"/>
      <c r="V1375" s="32"/>
      <c r="W1375" s="32"/>
      <c r="X1375" s="32"/>
      <c r="Y1375" s="32"/>
      <c r="Z1375" s="32"/>
      <c r="AA1375" s="32"/>
      <c r="AB1375" s="32"/>
      <c r="AC1375" s="32"/>
      <c r="AD1375" s="221"/>
    </row>
    <row r="1376" spans="18:30" x14ac:dyDescent="0.25">
      <c r="R1376" s="32"/>
      <c r="S1376" s="32"/>
      <c r="T1376" s="32"/>
      <c r="U1376" s="32"/>
      <c r="V1376" s="32"/>
      <c r="W1376" s="32"/>
      <c r="X1376" s="32"/>
      <c r="Y1376" s="32"/>
      <c r="Z1376" s="32"/>
      <c r="AA1376" s="32"/>
      <c r="AB1376" s="32"/>
      <c r="AC1376" s="32"/>
      <c r="AD1376" s="221"/>
    </row>
    <row r="1377" spans="18:30" x14ac:dyDescent="0.25">
      <c r="R1377" s="32"/>
      <c r="S1377" s="32"/>
      <c r="T1377" s="32"/>
      <c r="U1377" s="32"/>
      <c r="V1377" s="32"/>
      <c r="W1377" s="32"/>
      <c r="X1377" s="32"/>
      <c r="Y1377" s="32"/>
      <c r="Z1377" s="32"/>
      <c r="AA1377" s="32"/>
      <c r="AB1377" s="32"/>
      <c r="AC1377" s="32"/>
      <c r="AD1377" s="221"/>
    </row>
    <row r="1378" spans="18:30" x14ac:dyDescent="0.25">
      <c r="R1378" s="32"/>
      <c r="S1378" s="32"/>
      <c r="T1378" s="32"/>
      <c r="U1378" s="32"/>
      <c r="V1378" s="32"/>
      <c r="W1378" s="32"/>
      <c r="X1378" s="32"/>
      <c r="Y1378" s="32"/>
      <c r="Z1378" s="32"/>
      <c r="AA1378" s="32"/>
      <c r="AB1378" s="32"/>
      <c r="AC1378" s="32"/>
      <c r="AD1378" s="221"/>
    </row>
    <row r="1379" spans="18:30" x14ac:dyDescent="0.25">
      <c r="R1379" s="32"/>
      <c r="S1379" s="32"/>
      <c r="T1379" s="32"/>
      <c r="U1379" s="32"/>
      <c r="V1379" s="32"/>
      <c r="W1379" s="32"/>
      <c r="X1379" s="32"/>
      <c r="Y1379" s="32"/>
      <c r="Z1379" s="32"/>
      <c r="AA1379" s="32"/>
      <c r="AB1379" s="32"/>
      <c r="AC1379" s="32"/>
      <c r="AD1379" s="221"/>
    </row>
    <row r="1380" spans="18:30" x14ac:dyDescent="0.25">
      <c r="R1380" s="32"/>
      <c r="S1380" s="32"/>
      <c r="T1380" s="32"/>
      <c r="U1380" s="32"/>
      <c r="V1380" s="32"/>
      <c r="W1380" s="32"/>
      <c r="X1380" s="32"/>
      <c r="Y1380" s="32"/>
      <c r="Z1380" s="32"/>
      <c r="AA1380" s="32"/>
      <c r="AB1380" s="32"/>
      <c r="AC1380" s="32"/>
      <c r="AD1380" s="221"/>
    </row>
    <row r="1381" spans="18:30" x14ac:dyDescent="0.25">
      <c r="R1381" s="32"/>
      <c r="S1381" s="32"/>
      <c r="T1381" s="32"/>
      <c r="U1381" s="32"/>
      <c r="V1381" s="32"/>
      <c r="W1381" s="32"/>
      <c r="X1381" s="32"/>
      <c r="Y1381" s="32"/>
      <c r="Z1381" s="32"/>
      <c r="AA1381" s="32"/>
      <c r="AB1381" s="32"/>
      <c r="AC1381" s="32"/>
      <c r="AD1381" s="221"/>
    </row>
    <row r="1382" spans="18:30" x14ac:dyDescent="0.25">
      <c r="R1382" s="32"/>
      <c r="S1382" s="32"/>
      <c r="T1382" s="32"/>
      <c r="U1382" s="32"/>
      <c r="V1382" s="32"/>
      <c r="W1382" s="32"/>
      <c r="X1382" s="32"/>
      <c r="Y1382" s="32"/>
      <c r="Z1382" s="32"/>
      <c r="AA1382" s="32"/>
      <c r="AB1382" s="32"/>
      <c r="AC1382" s="32"/>
      <c r="AD1382" s="221"/>
    </row>
    <row r="1383" spans="18:30" x14ac:dyDescent="0.25">
      <c r="R1383" s="32"/>
      <c r="S1383" s="32"/>
      <c r="T1383" s="32"/>
      <c r="U1383" s="32"/>
      <c r="V1383" s="32"/>
      <c r="W1383" s="32"/>
      <c r="X1383" s="32"/>
      <c r="Y1383" s="32"/>
      <c r="Z1383" s="32"/>
      <c r="AA1383" s="32"/>
      <c r="AB1383" s="32"/>
      <c r="AC1383" s="32"/>
      <c r="AD1383" s="221"/>
    </row>
    <row r="1384" spans="18:30" x14ac:dyDescent="0.25">
      <c r="R1384" s="32"/>
      <c r="S1384" s="32"/>
      <c r="T1384" s="32"/>
      <c r="U1384" s="32"/>
      <c r="V1384" s="32"/>
      <c r="W1384" s="32"/>
      <c r="X1384" s="32"/>
      <c r="Y1384" s="32"/>
      <c r="Z1384" s="32"/>
      <c r="AA1384" s="32"/>
      <c r="AB1384" s="32"/>
      <c r="AC1384" s="32"/>
      <c r="AD1384" s="221"/>
    </row>
    <row r="1385" spans="18:30" x14ac:dyDescent="0.25">
      <c r="R1385" s="32"/>
      <c r="S1385" s="32"/>
      <c r="T1385" s="32"/>
      <c r="U1385" s="32"/>
      <c r="V1385" s="32"/>
      <c r="W1385" s="32"/>
      <c r="X1385" s="32"/>
      <c r="Y1385" s="32"/>
      <c r="Z1385" s="32"/>
      <c r="AA1385" s="32"/>
      <c r="AB1385" s="32"/>
      <c r="AC1385" s="32"/>
      <c r="AD1385" s="221"/>
    </row>
    <row r="1386" spans="18:30" x14ac:dyDescent="0.25">
      <c r="R1386" s="32"/>
      <c r="S1386" s="32"/>
      <c r="T1386" s="32"/>
      <c r="U1386" s="32"/>
      <c r="V1386" s="32"/>
      <c r="W1386" s="32"/>
      <c r="X1386" s="32"/>
      <c r="Y1386" s="32"/>
      <c r="Z1386" s="32"/>
      <c r="AA1386" s="32"/>
      <c r="AB1386" s="32"/>
      <c r="AC1386" s="32"/>
      <c r="AD1386" s="221"/>
    </row>
    <row r="1387" spans="18:30" x14ac:dyDescent="0.25">
      <c r="R1387" s="32"/>
      <c r="S1387" s="32"/>
      <c r="T1387" s="32"/>
      <c r="U1387" s="32"/>
      <c r="V1387" s="32"/>
      <c r="W1387" s="32"/>
      <c r="X1387" s="32"/>
      <c r="Y1387" s="32"/>
      <c r="Z1387" s="32"/>
      <c r="AA1387" s="32"/>
      <c r="AB1387" s="32"/>
      <c r="AC1387" s="32"/>
      <c r="AD1387" s="221"/>
    </row>
    <row r="1388" spans="18:30" x14ac:dyDescent="0.25">
      <c r="R1388" s="32"/>
      <c r="S1388" s="32"/>
      <c r="T1388" s="32"/>
      <c r="U1388" s="32"/>
      <c r="V1388" s="32"/>
      <c r="W1388" s="32"/>
      <c r="X1388" s="32"/>
      <c r="Y1388" s="32"/>
      <c r="Z1388" s="32"/>
      <c r="AA1388" s="32"/>
      <c r="AB1388" s="32"/>
      <c r="AC1388" s="32"/>
      <c r="AD1388" s="221"/>
    </row>
    <row r="1389" spans="18:30" x14ac:dyDescent="0.25">
      <c r="R1389" s="32"/>
      <c r="S1389" s="32"/>
      <c r="T1389" s="32"/>
      <c r="U1389" s="32"/>
      <c r="V1389" s="32"/>
      <c r="W1389" s="32"/>
      <c r="X1389" s="32"/>
      <c r="Y1389" s="32"/>
      <c r="Z1389" s="32"/>
      <c r="AA1389" s="32"/>
      <c r="AB1389" s="32"/>
      <c r="AC1389" s="32"/>
      <c r="AD1389" s="221"/>
    </row>
    <row r="1390" spans="18:30" x14ac:dyDescent="0.25">
      <c r="R1390" s="32"/>
      <c r="S1390" s="32"/>
      <c r="T1390" s="32"/>
      <c r="U1390" s="32"/>
      <c r="V1390" s="32"/>
      <c r="W1390" s="32"/>
      <c r="X1390" s="32"/>
      <c r="Y1390" s="32"/>
      <c r="Z1390" s="32"/>
      <c r="AA1390" s="32"/>
      <c r="AB1390" s="32"/>
      <c r="AC1390" s="32"/>
      <c r="AD1390" s="221"/>
    </row>
    <row r="1391" spans="18:30" x14ac:dyDescent="0.25">
      <c r="R1391" s="32"/>
      <c r="S1391" s="32"/>
      <c r="T1391" s="32"/>
      <c r="U1391" s="32"/>
      <c r="V1391" s="32"/>
      <c r="W1391" s="32"/>
      <c r="X1391" s="32"/>
      <c r="Y1391" s="32"/>
      <c r="Z1391" s="32"/>
      <c r="AA1391" s="32"/>
      <c r="AB1391" s="32"/>
      <c r="AC1391" s="32"/>
      <c r="AD1391" s="221"/>
    </row>
    <row r="1392" spans="18:30" x14ac:dyDescent="0.25">
      <c r="R1392" s="32"/>
      <c r="S1392" s="32"/>
      <c r="T1392" s="32"/>
      <c r="U1392" s="32"/>
      <c r="V1392" s="32"/>
      <c r="W1392" s="32"/>
      <c r="X1392" s="32"/>
      <c r="Y1392" s="32"/>
      <c r="Z1392" s="32"/>
      <c r="AA1392" s="32"/>
      <c r="AB1392" s="32"/>
      <c r="AC1392" s="32"/>
      <c r="AD1392" s="221"/>
    </row>
    <row r="1393" spans="18:30" x14ac:dyDescent="0.25">
      <c r="R1393" s="32"/>
      <c r="S1393" s="32"/>
      <c r="T1393" s="32"/>
      <c r="U1393" s="32"/>
      <c r="V1393" s="32"/>
      <c r="W1393" s="32"/>
      <c r="X1393" s="32"/>
      <c r="Y1393" s="32"/>
      <c r="Z1393" s="32"/>
      <c r="AA1393" s="32"/>
      <c r="AB1393" s="32"/>
      <c r="AC1393" s="32"/>
      <c r="AD1393" s="221"/>
    </row>
    <row r="1394" spans="18:30" x14ac:dyDescent="0.25">
      <c r="R1394" s="32"/>
      <c r="S1394" s="32"/>
      <c r="T1394" s="32"/>
      <c r="U1394" s="32"/>
      <c r="V1394" s="32"/>
      <c r="W1394" s="32"/>
      <c r="X1394" s="32"/>
      <c r="Y1394" s="32"/>
      <c r="Z1394" s="32"/>
      <c r="AA1394" s="32"/>
      <c r="AB1394" s="32"/>
      <c r="AC1394" s="32"/>
      <c r="AD1394" s="221"/>
    </row>
    <row r="1395" spans="18:30" x14ac:dyDescent="0.25">
      <c r="R1395" s="32"/>
      <c r="S1395" s="32"/>
      <c r="T1395" s="32"/>
      <c r="U1395" s="32"/>
      <c r="V1395" s="32"/>
      <c r="W1395" s="32"/>
      <c r="X1395" s="32"/>
      <c r="Y1395" s="32"/>
      <c r="Z1395" s="32"/>
      <c r="AA1395" s="32"/>
      <c r="AB1395" s="32"/>
      <c r="AC1395" s="32"/>
      <c r="AD1395" s="221"/>
    </row>
    <row r="1396" spans="18:30" x14ac:dyDescent="0.25">
      <c r="R1396" s="32"/>
      <c r="S1396" s="32"/>
      <c r="T1396" s="32"/>
      <c r="U1396" s="32"/>
      <c r="V1396" s="32"/>
      <c r="W1396" s="32"/>
      <c r="X1396" s="32"/>
      <c r="Y1396" s="32"/>
      <c r="Z1396" s="32"/>
      <c r="AA1396" s="32"/>
      <c r="AB1396" s="32"/>
      <c r="AC1396" s="32"/>
      <c r="AD1396" s="221"/>
    </row>
    <row r="1397" spans="18:30" x14ac:dyDescent="0.25">
      <c r="R1397" s="32"/>
      <c r="S1397" s="32"/>
      <c r="T1397" s="32"/>
      <c r="U1397" s="32"/>
      <c r="V1397" s="32"/>
      <c r="W1397" s="32"/>
      <c r="X1397" s="32"/>
      <c r="Y1397" s="32"/>
      <c r="Z1397" s="32"/>
      <c r="AA1397" s="32"/>
      <c r="AB1397" s="32"/>
      <c r="AC1397" s="32"/>
      <c r="AD1397" s="221"/>
    </row>
    <row r="1398" spans="18:30" x14ac:dyDescent="0.25">
      <c r="R1398" s="32"/>
      <c r="S1398" s="32"/>
      <c r="T1398" s="32"/>
      <c r="U1398" s="32"/>
      <c r="V1398" s="32"/>
      <c r="W1398" s="32"/>
      <c r="X1398" s="32"/>
      <c r="Y1398" s="32"/>
      <c r="Z1398" s="32"/>
      <c r="AA1398" s="32"/>
      <c r="AB1398" s="32"/>
      <c r="AC1398" s="32"/>
      <c r="AD1398" s="221"/>
    </row>
    <row r="1399" spans="18:30" x14ac:dyDescent="0.25">
      <c r="R1399" s="32"/>
      <c r="S1399" s="32"/>
      <c r="T1399" s="32"/>
      <c r="U1399" s="32"/>
      <c r="V1399" s="32"/>
      <c r="W1399" s="32"/>
      <c r="X1399" s="32"/>
      <c r="Y1399" s="32"/>
      <c r="Z1399" s="32"/>
      <c r="AA1399" s="32"/>
      <c r="AB1399" s="32"/>
      <c r="AC1399" s="32"/>
      <c r="AD1399" s="221"/>
    </row>
    <row r="1400" spans="18:30" x14ac:dyDescent="0.25">
      <c r="R1400" s="32"/>
      <c r="S1400" s="32"/>
      <c r="T1400" s="32"/>
      <c r="U1400" s="32"/>
      <c r="V1400" s="32"/>
      <c r="W1400" s="32"/>
      <c r="X1400" s="32"/>
      <c r="Y1400" s="32"/>
      <c r="Z1400" s="32"/>
      <c r="AA1400" s="32"/>
      <c r="AB1400" s="32"/>
      <c r="AC1400" s="32"/>
      <c r="AD1400" s="221"/>
    </row>
    <row r="1401" spans="18:30" x14ac:dyDescent="0.25">
      <c r="R1401" s="32"/>
      <c r="S1401" s="32"/>
      <c r="T1401" s="32"/>
      <c r="U1401" s="32"/>
      <c r="V1401" s="32"/>
      <c r="W1401" s="32"/>
      <c r="X1401" s="32"/>
      <c r="Y1401" s="32"/>
      <c r="Z1401" s="32"/>
      <c r="AA1401" s="32"/>
      <c r="AB1401" s="32"/>
      <c r="AC1401" s="32"/>
      <c r="AD1401" s="221"/>
    </row>
    <row r="1402" spans="18:30" x14ac:dyDescent="0.25">
      <c r="R1402" s="32"/>
      <c r="S1402" s="32"/>
      <c r="T1402" s="32"/>
      <c r="U1402" s="32"/>
      <c r="V1402" s="32"/>
      <c r="W1402" s="32"/>
      <c r="X1402" s="32"/>
      <c r="Y1402" s="32"/>
      <c r="Z1402" s="32"/>
      <c r="AA1402" s="32"/>
      <c r="AB1402" s="32"/>
      <c r="AC1402" s="32"/>
      <c r="AD1402" s="221"/>
    </row>
    <row r="1403" spans="18:30" x14ac:dyDescent="0.25">
      <c r="R1403" s="32"/>
      <c r="S1403" s="32"/>
      <c r="T1403" s="32"/>
      <c r="U1403" s="32"/>
      <c r="V1403" s="32"/>
      <c r="W1403" s="32"/>
      <c r="X1403" s="32"/>
      <c r="Y1403" s="32"/>
      <c r="Z1403" s="32"/>
      <c r="AA1403" s="32"/>
      <c r="AB1403" s="32"/>
      <c r="AC1403" s="32"/>
      <c r="AD1403" s="221"/>
    </row>
    <row r="1404" spans="18:30" x14ac:dyDescent="0.25">
      <c r="R1404" s="32"/>
      <c r="S1404" s="32"/>
      <c r="T1404" s="32"/>
      <c r="U1404" s="32"/>
      <c r="V1404" s="32"/>
      <c r="W1404" s="32"/>
      <c r="X1404" s="32"/>
      <c r="Y1404" s="32"/>
      <c r="Z1404" s="32"/>
      <c r="AA1404" s="32"/>
      <c r="AB1404" s="32"/>
      <c r="AC1404" s="32"/>
      <c r="AD1404" s="221"/>
    </row>
    <row r="1405" spans="18:30" x14ac:dyDescent="0.25">
      <c r="R1405" s="32"/>
      <c r="S1405" s="32"/>
      <c r="T1405" s="32"/>
      <c r="U1405" s="32"/>
      <c r="V1405" s="32"/>
      <c r="W1405" s="32"/>
      <c r="X1405" s="32"/>
      <c r="Y1405" s="32"/>
      <c r="Z1405" s="32"/>
      <c r="AA1405" s="32"/>
      <c r="AB1405" s="32"/>
      <c r="AC1405" s="32"/>
      <c r="AD1405" s="221"/>
    </row>
    <row r="1406" spans="18:30" x14ac:dyDescent="0.25">
      <c r="R1406" s="32"/>
      <c r="S1406" s="32"/>
      <c r="T1406" s="32"/>
      <c r="U1406" s="32"/>
      <c r="V1406" s="32"/>
      <c r="W1406" s="32"/>
      <c r="X1406" s="32"/>
      <c r="Y1406" s="32"/>
      <c r="Z1406" s="32"/>
      <c r="AA1406" s="32"/>
      <c r="AB1406" s="32"/>
      <c r="AC1406" s="32"/>
      <c r="AD1406" s="221"/>
    </row>
    <row r="1407" spans="18:30" x14ac:dyDescent="0.25">
      <c r="R1407" s="32"/>
      <c r="S1407" s="32"/>
      <c r="T1407" s="32"/>
      <c r="U1407" s="32"/>
      <c r="V1407" s="32"/>
      <c r="W1407" s="32"/>
      <c r="X1407" s="32"/>
      <c r="Y1407" s="32"/>
      <c r="Z1407" s="32"/>
      <c r="AA1407" s="32"/>
      <c r="AB1407" s="32"/>
      <c r="AC1407" s="32"/>
      <c r="AD1407" s="221"/>
    </row>
    <row r="1408" spans="18:30" x14ac:dyDescent="0.25">
      <c r="R1408" s="32"/>
      <c r="S1408" s="32"/>
      <c r="T1408" s="32"/>
      <c r="U1408" s="32"/>
      <c r="V1408" s="32"/>
      <c r="W1408" s="32"/>
      <c r="X1408" s="32"/>
      <c r="Y1408" s="32"/>
      <c r="Z1408" s="32"/>
      <c r="AA1408" s="32"/>
      <c r="AB1408" s="32"/>
      <c r="AC1408" s="32"/>
      <c r="AD1408" s="221"/>
    </row>
    <row r="1409" spans="18:30" x14ac:dyDescent="0.25">
      <c r="R1409" s="32"/>
      <c r="S1409" s="32"/>
      <c r="T1409" s="32"/>
      <c r="U1409" s="32"/>
      <c r="V1409" s="32"/>
      <c r="W1409" s="32"/>
      <c r="X1409" s="32"/>
      <c r="Y1409" s="32"/>
      <c r="Z1409" s="32"/>
      <c r="AA1409" s="32"/>
      <c r="AB1409" s="32"/>
      <c r="AC1409" s="32"/>
      <c r="AD1409" s="221"/>
    </row>
    <row r="1410" spans="18:30" x14ac:dyDescent="0.25">
      <c r="R1410" s="32"/>
      <c r="S1410" s="32"/>
      <c r="T1410" s="32"/>
      <c r="U1410" s="32"/>
      <c r="V1410" s="32"/>
      <c r="W1410" s="32"/>
      <c r="X1410" s="32"/>
      <c r="Y1410" s="32"/>
      <c r="Z1410" s="32"/>
      <c r="AA1410" s="32"/>
      <c r="AB1410" s="32"/>
      <c r="AC1410" s="32"/>
      <c r="AD1410" s="221"/>
    </row>
    <row r="1411" spans="18:30" x14ac:dyDescent="0.25">
      <c r="R1411" s="32"/>
      <c r="S1411" s="32"/>
      <c r="T1411" s="32"/>
      <c r="U1411" s="32"/>
      <c r="V1411" s="32"/>
      <c r="W1411" s="32"/>
      <c r="X1411" s="32"/>
      <c r="Y1411" s="32"/>
      <c r="Z1411" s="32"/>
      <c r="AA1411" s="32"/>
      <c r="AB1411" s="32"/>
      <c r="AC1411" s="32"/>
      <c r="AD1411" s="221"/>
    </row>
    <row r="1412" spans="18:30" x14ac:dyDescent="0.25">
      <c r="R1412" s="32"/>
      <c r="S1412" s="32"/>
      <c r="T1412" s="32"/>
      <c r="U1412" s="32"/>
      <c r="V1412" s="32"/>
      <c r="W1412" s="32"/>
      <c r="X1412" s="32"/>
      <c r="Y1412" s="32"/>
      <c r="Z1412" s="32"/>
      <c r="AA1412" s="32"/>
      <c r="AB1412" s="32"/>
      <c r="AC1412" s="32"/>
      <c r="AD1412" s="221"/>
    </row>
    <row r="1413" spans="18:30" x14ac:dyDescent="0.25">
      <c r="R1413" s="32"/>
      <c r="S1413" s="32"/>
      <c r="T1413" s="32"/>
      <c r="U1413" s="32"/>
      <c r="V1413" s="32"/>
      <c r="W1413" s="32"/>
      <c r="X1413" s="32"/>
      <c r="Y1413" s="32"/>
      <c r="Z1413" s="32"/>
      <c r="AA1413" s="32"/>
      <c r="AB1413" s="32"/>
      <c r="AC1413" s="32"/>
      <c r="AD1413" s="221"/>
    </row>
    <row r="1414" spans="18:30" x14ac:dyDescent="0.25">
      <c r="R1414" s="32"/>
      <c r="S1414" s="32"/>
      <c r="T1414" s="32"/>
      <c r="U1414" s="32"/>
      <c r="V1414" s="32"/>
      <c r="W1414" s="32"/>
      <c r="X1414" s="32"/>
      <c r="Y1414" s="32"/>
      <c r="Z1414" s="32"/>
      <c r="AA1414" s="32"/>
      <c r="AB1414" s="32"/>
      <c r="AC1414" s="32"/>
      <c r="AD1414" s="221"/>
    </row>
    <row r="1415" spans="18:30" x14ac:dyDescent="0.25">
      <c r="R1415" s="32"/>
      <c r="S1415" s="32"/>
      <c r="T1415" s="32"/>
      <c r="U1415" s="32"/>
      <c r="V1415" s="32"/>
      <c r="W1415" s="32"/>
      <c r="X1415" s="32"/>
      <c r="Y1415" s="32"/>
      <c r="Z1415" s="32"/>
      <c r="AA1415" s="32"/>
      <c r="AB1415" s="32"/>
      <c r="AC1415" s="32"/>
      <c r="AD1415" s="221"/>
    </row>
    <row r="1416" spans="18:30" x14ac:dyDescent="0.25">
      <c r="R1416" s="32"/>
      <c r="S1416" s="32"/>
      <c r="T1416" s="32"/>
      <c r="U1416" s="32"/>
      <c r="V1416" s="32"/>
      <c r="W1416" s="32"/>
      <c r="X1416" s="32"/>
      <c r="Y1416" s="32"/>
      <c r="Z1416" s="32"/>
      <c r="AA1416" s="32"/>
      <c r="AB1416" s="32"/>
      <c r="AC1416" s="32"/>
      <c r="AD1416" s="221"/>
    </row>
    <row r="1417" spans="18:30" x14ac:dyDescent="0.25">
      <c r="R1417" s="32"/>
      <c r="S1417" s="32"/>
      <c r="T1417" s="32"/>
      <c r="U1417" s="32"/>
      <c r="V1417" s="32"/>
      <c r="W1417" s="32"/>
      <c r="X1417" s="32"/>
      <c r="Y1417" s="32"/>
      <c r="Z1417" s="32"/>
      <c r="AA1417" s="32"/>
      <c r="AB1417" s="32"/>
      <c r="AC1417" s="32"/>
      <c r="AD1417" s="221"/>
    </row>
    <row r="1418" spans="18:30" x14ac:dyDescent="0.25">
      <c r="R1418" s="32"/>
      <c r="S1418" s="32"/>
      <c r="T1418" s="32"/>
      <c r="U1418" s="32"/>
      <c r="V1418" s="32"/>
      <c r="W1418" s="32"/>
      <c r="X1418" s="32"/>
      <c r="Y1418" s="32"/>
      <c r="Z1418" s="32"/>
      <c r="AA1418" s="32"/>
      <c r="AB1418" s="32"/>
      <c r="AC1418" s="32"/>
      <c r="AD1418" s="221"/>
    </row>
    <row r="1419" spans="18:30" x14ac:dyDescent="0.25">
      <c r="R1419" s="32"/>
      <c r="S1419" s="32"/>
      <c r="T1419" s="32"/>
      <c r="U1419" s="32"/>
      <c r="V1419" s="32"/>
      <c r="W1419" s="32"/>
      <c r="X1419" s="32"/>
      <c r="Y1419" s="32"/>
      <c r="Z1419" s="32"/>
      <c r="AA1419" s="32"/>
      <c r="AB1419" s="32"/>
      <c r="AC1419" s="32"/>
      <c r="AD1419" s="221"/>
    </row>
    <row r="1420" spans="18:30" x14ac:dyDescent="0.25">
      <c r="R1420" s="32"/>
      <c r="S1420" s="32"/>
      <c r="T1420" s="32"/>
      <c r="U1420" s="32"/>
      <c r="V1420" s="32"/>
      <c r="W1420" s="32"/>
      <c r="X1420" s="32"/>
      <c r="Y1420" s="32"/>
      <c r="Z1420" s="32"/>
      <c r="AA1420" s="32"/>
      <c r="AB1420" s="32"/>
      <c r="AC1420" s="32"/>
      <c r="AD1420" s="221"/>
    </row>
    <row r="1421" spans="18:30" x14ac:dyDescent="0.25">
      <c r="R1421" s="32"/>
      <c r="S1421" s="32"/>
      <c r="T1421" s="32"/>
      <c r="U1421" s="32"/>
      <c r="V1421" s="32"/>
      <c r="W1421" s="32"/>
      <c r="X1421" s="32"/>
      <c r="Y1421" s="32"/>
      <c r="Z1421" s="32"/>
      <c r="AA1421" s="32"/>
      <c r="AB1421" s="32"/>
      <c r="AC1421" s="32"/>
      <c r="AD1421" s="221"/>
    </row>
    <row r="1422" spans="18:30" x14ac:dyDescent="0.25">
      <c r="R1422" s="32"/>
      <c r="S1422" s="32"/>
      <c r="T1422" s="32"/>
      <c r="U1422" s="32"/>
      <c r="V1422" s="32"/>
      <c r="W1422" s="32"/>
      <c r="X1422" s="32"/>
      <c r="Y1422" s="32"/>
      <c r="Z1422" s="32"/>
      <c r="AA1422" s="32"/>
      <c r="AB1422" s="32"/>
      <c r="AC1422" s="32"/>
      <c r="AD1422" s="221"/>
    </row>
    <row r="1423" spans="18:30" x14ac:dyDescent="0.25">
      <c r="R1423" s="32"/>
      <c r="S1423" s="32"/>
      <c r="T1423" s="32"/>
      <c r="U1423" s="32"/>
      <c r="V1423" s="32"/>
      <c r="W1423" s="32"/>
      <c r="X1423" s="32"/>
      <c r="Y1423" s="32"/>
      <c r="Z1423" s="32"/>
      <c r="AA1423" s="32"/>
      <c r="AB1423" s="32"/>
      <c r="AC1423" s="32"/>
      <c r="AD1423" s="221"/>
    </row>
    <row r="1424" spans="18:30" x14ac:dyDescent="0.25">
      <c r="R1424" s="32"/>
      <c r="S1424" s="32"/>
      <c r="T1424" s="32"/>
      <c r="U1424" s="32"/>
      <c r="V1424" s="32"/>
      <c r="W1424" s="32"/>
      <c r="X1424" s="32"/>
      <c r="Y1424" s="32"/>
      <c r="Z1424" s="32"/>
      <c r="AA1424" s="32"/>
      <c r="AB1424" s="32"/>
      <c r="AC1424" s="32"/>
      <c r="AD1424" s="221"/>
    </row>
    <row r="1425" spans="18:30" x14ac:dyDescent="0.25">
      <c r="R1425" s="32"/>
      <c r="S1425" s="32"/>
      <c r="T1425" s="32"/>
      <c r="U1425" s="32"/>
      <c r="V1425" s="32"/>
      <c r="W1425" s="32"/>
      <c r="X1425" s="32"/>
      <c r="Y1425" s="32"/>
      <c r="Z1425" s="32"/>
      <c r="AA1425" s="32"/>
      <c r="AB1425" s="32"/>
      <c r="AC1425" s="32"/>
      <c r="AD1425" s="221"/>
    </row>
    <row r="1426" spans="18:30" x14ac:dyDescent="0.25">
      <c r="R1426" s="32"/>
      <c r="S1426" s="32"/>
      <c r="T1426" s="32"/>
      <c r="U1426" s="32"/>
      <c r="V1426" s="32"/>
      <c r="W1426" s="32"/>
      <c r="X1426" s="32"/>
      <c r="Y1426" s="32"/>
      <c r="Z1426" s="32"/>
      <c r="AA1426" s="32"/>
      <c r="AB1426" s="32"/>
      <c r="AC1426" s="32"/>
      <c r="AD1426" s="221"/>
    </row>
    <row r="1427" spans="18:30" x14ac:dyDescent="0.25">
      <c r="R1427" s="32"/>
      <c r="S1427" s="32"/>
      <c r="T1427" s="32"/>
      <c r="U1427" s="32"/>
      <c r="V1427" s="32"/>
      <c r="W1427" s="32"/>
      <c r="X1427" s="32"/>
      <c r="Y1427" s="32"/>
      <c r="Z1427" s="32"/>
      <c r="AA1427" s="32"/>
      <c r="AB1427" s="32"/>
      <c r="AC1427" s="32"/>
      <c r="AD1427" s="221"/>
    </row>
    <row r="1428" spans="18:30" x14ac:dyDescent="0.25">
      <c r="R1428" s="32"/>
      <c r="S1428" s="32"/>
      <c r="T1428" s="32"/>
      <c r="U1428" s="32"/>
      <c r="V1428" s="32"/>
      <c r="W1428" s="32"/>
      <c r="X1428" s="32"/>
      <c r="Y1428" s="32"/>
      <c r="Z1428" s="32"/>
      <c r="AA1428" s="32"/>
      <c r="AB1428" s="32"/>
      <c r="AC1428" s="32"/>
      <c r="AD1428" s="221"/>
    </row>
    <row r="1429" spans="18:30" x14ac:dyDescent="0.25">
      <c r="R1429" s="32"/>
      <c r="S1429" s="32"/>
      <c r="T1429" s="32"/>
      <c r="U1429" s="32"/>
      <c r="V1429" s="32"/>
      <c r="W1429" s="32"/>
      <c r="X1429" s="32"/>
      <c r="Y1429" s="32"/>
      <c r="Z1429" s="32"/>
      <c r="AA1429" s="32"/>
      <c r="AB1429" s="32"/>
      <c r="AC1429" s="32"/>
      <c r="AD1429" s="221"/>
    </row>
    <row r="1430" spans="18:30" x14ac:dyDescent="0.25">
      <c r="R1430" s="32"/>
      <c r="S1430" s="32"/>
      <c r="T1430" s="32"/>
      <c r="U1430" s="32"/>
      <c r="V1430" s="32"/>
      <c r="W1430" s="32"/>
      <c r="X1430" s="32"/>
      <c r="Y1430" s="32"/>
      <c r="Z1430" s="32"/>
      <c r="AA1430" s="32"/>
      <c r="AB1430" s="32"/>
      <c r="AC1430" s="32"/>
      <c r="AD1430" s="221"/>
    </row>
    <row r="1431" spans="18:30" x14ac:dyDescent="0.25">
      <c r="R1431" s="32"/>
      <c r="S1431" s="32"/>
      <c r="T1431" s="32"/>
      <c r="U1431" s="32"/>
      <c r="V1431" s="32"/>
      <c r="W1431" s="32"/>
      <c r="X1431" s="32"/>
      <c r="Y1431" s="32"/>
      <c r="Z1431" s="32"/>
      <c r="AA1431" s="32"/>
      <c r="AB1431" s="32"/>
      <c r="AC1431" s="32"/>
      <c r="AD1431" s="221"/>
    </row>
    <row r="1432" spans="18:30" x14ac:dyDescent="0.25">
      <c r="R1432" s="32"/>
      <c r="S1432" s="32"/>
      <c r="T1432" s="32"/>
      <c r="U1432" s="32"/>
      <c r="V1432" s="32"/>
      <c r="W1432" s="32"/>
      <c r="X1432" s="32"/>
      <c r="Y1432" s="32"/>
      <c r="Z1432" s="32"/>
      <c r="AA1432" s="32"/>
      <c r="AB1432" s="32"/>
      <c r="AC1432" s="32"/>
      <c r="AD1432" s="221"/>
    </row>
    <row r="1433" spans="18:30" x14ac:dyDescent="0.25">
      <c r="R1433" s="32"/>
      <c r="S1433" s="32"/>
      <c r="T1433" s="32"/>
      <c r="U1433" s="32"/>
      <c r="V1433" s="32"/>
      <c r="W1433" s="32"/>
      <c r="X1433" s="32"/>
      <c r="Y1433" s="32"/>
      <c r="Z1433" s="32"/>
      <c r="AA1433" s="32"/>
      <c r="AB1433" s="32"/>
      <c r="AC1433" s="32"/>
      <c r="AD1433" s="221"/>
    </row>
    <row r="1434" spans="18:30" x14ac:dyDescent="0.25">
      <c r="R1434" s="32"/>
      <c r="S1434" s="32"/>
      <c r="T1434" s="32"/>
      <c r="U1434" s="32"/>
      <c r="V1434" s="32"/>
      <c r="W1434" s="32"/>
      <c r="X1434" s="32"/>
      <c r="Y1434" s="32"/>
      <c r="Z1434" s="32"/>
      <c r="AA1434" s="32"/>
      <c r="AB1434" s="32"/>
      <c r="AC1434" s="32"/>
      <c r="AD1434" s="221"/>
    </row>
    <row r="1435" spans="18:30" x14ac:dyDescent="0.25">
      <c r="R1435" s="32"/>
      <c r="S1435" s="32"/>
      <c r="T1435" s="32"/>
      <c r="U1435" s="32"/>
      <c r="V1435" s="32"/>
      <c r="W1435" s="32"/>
      <c r="X1435" s="32"/>
      <c r="Y1435" s="32"/>
      <c r="Z1435" s="32"/>
      <c r="AA1435" s="32"/>
      <c r="AB1435" s="32"/>
      <c r="AC1435" s="32"/>
      <c r="AD1435" s="221"/>
    </row>
    <row r="1436" spans="18:30" x14ac:dyDescent="0.25">
      <c r="R1436" s="32"/>
      <c r="S1436" s="32"/>
      <c r="T1436" s="32"/>
      <c r="U1436" s="32"/>
      <c r="V1436" s="32"/>
      <c r="W1436" s="32"/>
      <c r="X1436" s="32"/>
      <c r="Y1436" s="32"/>
      <c r="Z1436" s="32"/>
      <c r="AA1436" s="32"/>
      <c r="AB1436" s="32"/>
      <c r="AC1436" s="32"/>
      <c r="AD1436" s="221"/>
    </row>
    <row r="1437" spans="18:30" x14ac:dyDescent="0.25">
      <c r="R1437" s="32"/>
      <c r="S1437" s="32"/>
      <c r="T1437" s="32"/>
      <c r="U1437" s="32"/>
      <c r="V1437" s="32"/>
      <c r="W1437" s="32"/>
      <c r="X1437" s="32"/>
      <c r="Y1437" s="32"/>
      <c r="Z1437" s="32"/>
      <c r="AA1437" s="32"/>
      <c r="AB1437" s="32"/>
      <c r="AC1437" s="32"/>
      <c r="AD1437" s="221"/>
    </row>
    <row r="1438" spans="18:30" x14ac:dyDescent="0.25">
      <c r="R1438" s="32"/>
      <c r="S1438" s="32"/>
      <c r="T1438" s="32"/>
      <c r="U1438" s="32"/>
      <c r="V1438" s="32"/>
      <c r="W1438" s="32"/>
      <c r="X1438" s="32"/>
      <c r="Y1438" s="32"/>
      <c r="Z1438" s="32"/>
      <c r="AA1438" s="32"/>
      <c r="AB1438" s="32"/>
      <c r="AC1438" s="32"/>
      <c r="AD1438" s="221"/>
    </row>
    <row r="1439" spans="18:30" x14ac:dyDescent="0.25">
      <c r="R1439" s="32"/>
      <c r="S1439" s="32"/>
      <c r="T1439" s="32"/>
      <c r="U1439" s="32"/>
      <c r="V1439" s="32"/>
      <c r="W1439" s="32"/>
      <c r="X1439" s="32"/>
      <c r="Y1439" s="32"/>
      <c r="Z1439" s="32"/>
      <c r="AA1439" s="32"/>
      <c r="AB1439" s="32"/>
      <c r="AC1439" s="32"/>
      <c r="AD1439" s="221"/>
    </row>
    <row r="1440" spans="18:30" x14ac:dyDescent="0.25">
      <c r="R1440" s="32"/>
      <c r="S1440" s="32"/>
      <c r="T1440" s="32"/>
      <c r="U1440" s="32"/>
      <c r="V1440" s="32"/>
      <c r="W1440" s="32"/>
      <c r="X1440" s="32"/>
      <c r="Y1440" s="32"/>
      <c r="Z1440" s="32"/>
      <c r="AA1440" s="32"/>
      <c r="AB1440" s="32"/>
      <c r="AC1440" s="32"/>
      <c r="AD1440" s="221"/>
    </row>
    <row r="1441" spans="18:30" x14ac:dyDescent="0.25">
      <c r="R1441" s="32"/>
      <c r="S1441" s="32"/>
      <c r="T1441" s="32"/>
      <c r="U1441" s="32"/>
      <c r="V1441" s="32"/>
      <c r="W1441" s="32"/>
      <c r="X1441" s="32"/>
      <c r="Y1441" s="32"/>
      <c r="Z1441" s="32"/>
      <c r="AA1441" s="32"/>
      <c r="AB1441" s="32"/>
      <c r="AC1441" s="32"/>
      <c r="AD1441" s="221"/>
    </row>
    <row r="1442" spans="18:30" x14ac:dyDescent="0.25">
      <c r="R1442" s="32"/>
      <c r="S1442" s="32"/>
      <c r="T1442" s="32"/>
      <c r="U1442" s="32"/>
      <c r="V1442" s="32"/>
      <c r="W1442" s="32"/>
      <c r="X1442" s="32"/>
      <c r="Y1442" s="32"/>
      <c r="Z1442" s="32"/>
      <c r="AA1442" s="32"/>
      <c r="AB1442" s="32"/>
      <c r="AC1442" s="32"/>
      <c r="AD1442" s="221"/>
    </row>
    <row r="1443" spans="18:30" x14ac:dyDescent="0.25">
      <c r="R1443" s="32"/>
      <c r="S1443" s="32"/>
      <c r="T1443" s="32"/>
      <c r="U1443" s="32"/>
      <c r="V1443" s="32"/>
      <c r="W1443" s="32"/>
      <c r="X1443" s="32"/>
      <c r="Y1443" s="32"/>
      <c r="Z1443" s="32"/>
      <c r="AA1443" s="32"/>
      <c r="AB1443" s="32"/>
      <c r="AC1443" s="32"/>
      <c r="AD1443" s="221"/>
    </row>
    <row r="1444" spans="18:30" x14ac:dyDescent="0.25">
      <c r="R1444" s="32"/>
      <c r="S1444" s="32"/>
      <c r="T1444" s="32"/>
      <c r="U1444" s="32"/>
      <c r="V1444" s="32"/>
      <c r="W1444" s="32"/>
      <c r="X1444" s="32"/>
      <c r="Y1444" s="32"/>
      <c r="Z1444" s="32"/>
      <c r="AA1444" s="32"/>
      <c r="AB1444" s="32"/>
      <c r="AC1444" s="32"/>
      <c r="AD1444" s="221"/>
    </row>
    <row r="1445" spans="18:30" x14ac:dyDescent="0.25">
      <c r="R1445" s="32"/>
      <c r="S1445" s="32"/>
      <c r="T1445" s="32"/>
      <c r="U1445" s="32"/>
      <c r="V1445" s="32"/>
      <c r="W1445" s="32"/>
      <c r="X1445" s="32"/>
      <c r="Y1445" s="32"/>
      <c r="Z1445" s="32"/>
      <c r="AA1445" s="32"/>
      <c r="AB1445" s="32"/>
      <c r="AC1445" s="32"/>
      <c r="AD1445" s="221"/>
    </row>
    <row r="1446" spans="18:30" x14ac:dyDescent="0.25">
      <c r="R1446" s="32"/>
      <c r="S1446" s="32"/>
      <c r="T1446" s="32"/>
      <c r="U1446" s="32"/>
      <c r="V1446" s="32"/>
      <c r="W1446" s="32"/>
      <c r="X1446" s="32"/>
      <c r="Y1446" s="32"/>
      <c r="Z1446" s="32"/>
      <c r="AA1446" s="32"/>
      <c r="AB1446" s="32"/>
      <c r="AC1446" s="32"/>
      <c r="AD1446" s="221"/>
    </row>
    <row r="1447" spans="18:30" x14ac:dyDescent="0.25">
      <c r="R1447" s="32"/>
      <c r="S1447" s="32"/>
      <c r="T1447" s="32"/>
      <c r="U1447" s="32"/>
      <c r="V1447" s="32"/>
      <c r="W1447" s="32"/>
      <c r="X1447" s="32"/>
      <c r="Y1447" s="32"/>
      <c r="Z1447" s="32"/>
      <c r="AA1447" s="32"/>
      <c r="AB1447" s="32"/>
      <c r="AC1447" s="32"/>
      <c r="AD1447" s="221"/>
    </row>
    <row r="1448" spans="18:30" x14ac:dyDescent="0.25">
      <c r="R1448" s="32"/>
      <c r="S1448" s="32"/>
      <c r="T1448" s="32"/>
      <c r="U1448" s="32"/>
      <c r="V1448" s="32"/>
      <c r="W1448" s="32"/>
      <c r="X1448" s="32"/>
      <c r="Y1448" s="32"/>
      <c r="Z1448" s="32"/>
      <c r="AA1448" s="32"/>
      <c r="AB1448" s="32"/>
      <c r="AC1448" s="32"/>
      <c r="AD1448" s="221"/>
    </row>
    <row r="1449" spans="18:30" x14ac:dyDescent="0.25">
      <c r="R1449" s="32"/>
      <c r="S1449" s="32"/>
      <c r="T1449" s="32"/>
      <c r="U1449" s="32"/>
      <c r="V1449" s="32"/>
      <c r="W1449" s="32"/>
      <c r="X1449" s="32"/>
      <c r="Y1449" s="32"/>
      <c r="Z1449" s="32"/>
      <c r="AA1449" s="32"/>
      <c r="AB1449" s="32"/>
      <c r="AC1449" s="32"/>
      <c r="AD1449" s="221"/>
    </row>
    <row r="1450" spans="18:30" x14ac:dyDescent="0.25">
      <c r="R1450" s="32"/>
      <c r="S1450" s="32"/>
      <c r="T1450" s="32"/>
      <c r="U1450" s="32"/>
      <c r="V1450" s="32"/>
      <c r="W1450" s="32"/>
      <c r="X1450" s="32"/>
      <c r="Y1450" s="32"/>
      <c r="Z1450" s="32"/>
      <c r="AA1450" s="32"/>
      <c r="AB1450" s="32"/>
      <c r="AC1450" s="32"/>
      <c r="AD1450" s="221"/>
    </row>
    <row r="1451" spans="18:30" x14ac:dyDescent="0.25">
      <c r="R1451" s="32"/>
      <c r="S1451" s="32"/>
      <c r="T1451" s="32"/>
      <c r="U1451" s="32"/>
      <c r="V1451" s="32"/>
      <c r="W1451" s="32"/>
      <c r="X1451" s="32"/>
      <c r="Y1451" s="32"/>
      <c r="Z1451" s="32"/>
      <c r="AA1451" s="32"/>
      <c r="AB1451" s="32"/>
      <c r="AC1451" s="32"/>
      <c r="AD1451" s="221"/>
    </row>
    <row r="1452" spans="18:30" x14ac:dyDescent="0.25">
      <c r="R1452" s="32"/>
      <c r="S1452" s="32"/>
      <c r="T1452" s="32"/>
      <c r="U1452" s="32"/>
      <c r="V1452" s="32"/>
      <c r="W1452" s="32"/>
      <c r="X1452" s="32"/>
      <c r="Y1452" s="32"/>
      <c r="Z1452" s="32"/>
      <c r="AA1452" s="32"/>
      <c r="AB1452" s="32"/>
      <c r="AC1452" s="32"/>
      <c r="AD1452" s="221"/>
    </row>
    <row r="1453" spans="18:30" x14ac:dyDescent="0.25">
      <c r="R1453" s="32"/>
      <c r="S1453" s="32"/>
      <c r="T1453" s="32"/>
      <c r="U1453" s="32"/>
      <c r="V1453" s="32"/>
      <c r="W1453" s="32"/>
      <c r="X1453" s="32"/>
      <c r="Y1453" s="32"/>
      <c r="Z1453" s="32"/>
      <c r="AA1453" s="32"/>
      <c r="AB1453" s="32"/>
      <c r="AC1453" s="32"/>
      <c r="AD1453" s="221"/>
    </row>
    <row r="1454" spans="18:30" x14ac:dyDescent="0.25">
      <c r="R1454" s="32"/>
      <c r="S1454" s="32"/>
      <c r="T1454" s="32"/>
      <c r="U1454" s="32"/>
      <c r="V1454" s="32"/>
      <c r="W1454" s="32"/>
      <c r="X1454" s="32"/>
      <c r="Y1454" s="32"/>
      <c r="Z1454" s="32"/>
      <c r="AA1454" s="32"/>
      <c r="AB1454" s="32"/>
      <c r="AC1454" s="32"/>
      <c r="AD1454" s="221"/>
    </row>
    <row r="1455" spans="18:30" x14ac:dyDescent="0.25">
      <c r="R1455" s="32"/>
      <c r="S1455" s="32"/>
      <c r="T1455" s="32"/>
      <c r="U1455" s="32"/>
      <c r="V1455" s="32"/>
      <c r="W1455" s="32"/>
      <c r="X1455" s="32"/>
      <c r="Y1455" s="32"/>
      <c r="Z1455" s="32"/>
      <c r="AA1455" s="32"/>
      <c r="AB1455" s="32"/>
      <c r="AC1455" s="32"/>
      <c r="AD1455" s="221"/>
    </row>
    <row r="1456" spans="18:30" x14ac:dyDescent="0.25">
      <c r="R1456" s="32"/>
      <c r="S1456" s="32"/>
      <c r="T1456" s="32"/>
      <c r="U1456" s="32"/>
      <c r="V1456" s="32"/>
      <c r="W1456" s="32"/>
      <c r="X1456" s="32"/>
      <c r="Y1456" s="32"/>
      <c r="Z1456" s="32"/>
      <c r="AA1456" s="32"/>
      <c r="AB1456" s="32"/>
      <c r="AC1456" s="32"/>
      <c r="AD1456" s="221"/>
    </row>
    <row r="1457" spans="18:30" x14ac:dyDescent="0.25">
      <c r="R1457" s="32"/>
      <c r="S1457" s="32"/>
      <c r="T1457" s="32"/>
      <c r="U1457" s="32"/>
      <c r="V1457" s="32"/>
      <c r="W1457" s="32"/>
      <c r="X1457" s="32"/>
      <c r="Y1457" s="32"/>
      <c r="Z1457" s="32"/>
      <c r="AA1457" s="32"/>
      <c r="AB1457" s="32"/>
      <c r="AC1457" s="32"/>
      <c r="AD1457" s="221"/>
    </row>
    <row r="1458" spans="18:30" x14ac:dyDescent="0.25">
      <c r="R1458" s="32"/>
      <c r="S1458" s="32"/>
      <c r="T1458" s="32"/>
      <c r="U1458" s="32"/>
      <c r="V1458" s="32"/>
      <c r="W1458" s="32"/>
      <c r="X1458" s="32"/>
      <c r="Y1458" s="32"/>
      <c r="Z1458" s="32"/>
      <c r="AA1458" s="32"/>
      <c r="AB1458" s="32"/>
      <c r="AC1458" s="32"/>
      <c r="AD1458" s="221"/>
    </row>
    <row r="1459" spans="18:30" x14ac:dyDescent="0.25">
      <c r="R1459" s="32"/>
      <c r="S1459" s="32"/>
      <c r="T1459" s="32"/>
      <c r="U1459" s="32"/>
      <c r="V1459" s="32"/>
      <c r="W1459" s="32"/>
      <c r="X1459" s="32"/>
      <c r="Y1459" s="32"/>
      <c r="Z1459" s="32"/>
      <c r="AA1459" s="32"/>
      <c r="AB1459" s="32"/>
      <c r="AC1459" s="32"/>
      <c r="AD1459" s="221"/>
    </row>
    <row r="1460" spans="18:30" x14ac:dyDescent="0.25">
      <c r="R1460" s="32"/>
      <c r="S1460" s="32"/>
      <c r="T1460" s="32"/>
      <c r="U1460" s="32"/>
      <c r="V1460" s="32"/>
      <c r="W1460" s="32"/>
      <c r="X1460" s="32"/>
      <c r="Y1460" s="32"/>
      <c r="Z1460" s="32"/>
      <c r="AA1460" s="32"/>
      <c r="AB1460" s="32"/>
      <c r="AC1460" s="32"/>
      <c r="AD1460" s="221"/>
    </row>
    <row r="1461" spans="18:30" x14ac:dyDescent="0.25">
      <c r="R1461" s="32"/>
      <c r="S1461" s="32"/>
      <c r="T1461" s="32"/>
      <c r="U1461" s="32"/>
      <c r="V1461" s="32"/>
      <c r="W1461" s="32"/>
      <c r="X1461" s="32"/>
      <c r="Y1461" s="32"/>
      <c r="Z1461" s="32"/>
      <c r="AA1461" s="32"/>
      <c r="AB1461" s="32"/>
      <c r="AC1461" s="32"/>
      <c r="AD1461" s="221"/>
    </row>
    <row r="1462" spans="18:30" x14ac:dyDescent="0.25">
      <c r="R1462" s="32"/>
      <c r="S1462" s="32"/>
      <c r="T1462" s="32"/>
      <c r="U1462" s="32"/>
      <c r="V1462" s="32"/>
      <c r="W1462" s="32"/>
      <c r="X1462" s="32"/>
      <c r="Y1462" s="32"/>
      <c r="Z1462" s="32"/>
      <c r="AA1462" s="32"/>
      <c r="AB1462" s="32"/>
      <c r="AC1462" s="32"/>
      <c r="AD1462" s="221"/>
    </row>
    <row r="1463" spans="18:30" x14ac:dyDescent="0.25">
      <c r="R1463" s="32"/>
      <c r="S1463" s="32"/>
      <c r="T1463" s="32"/>
      <c r="U1463" s="32"/>
      <c r="V1463" s="32"/>
      <c r="W1463" s="32"/>
      <c r="X1463" s="32"/>
      <c r="Y1463" s="32"/>
      <c r="Z1463" s="32"/>
      <c r="AA1463" s="32"/>
      <c r="AB1463" s="32"/>
      <c r="AC1463" s="32"/>
      <c r="AD1463" s="221"/>
    </row>
    <row r="1464" spans="18:30" x14ac:dyDescent="0.25">
      <c r="R1464" s="32"/>
      <c r="S1464" s="32"/>
      <c r="T1464" s="32"/>
      <c r="U1464" s="32"/>
      <c r="V1464" s="32"/>
      <c r="W1464" s="32"/>
      <c r="X1464" s="32"/>
      <c r="Y1464" s="32"/>
      <c r="Z1464" s="32"/>
      <c r="AA1464" s="32"/>
      <c r="AB1464" s="32"/>
      <c r="AC1464" s="32"/>
      <c r="AD1464" s="221"/>
    </row>
    <row r="1465" spans="18:30" x14ac:dyDescent="0.25">
      <c r="R1465" s="32"/>
      <c r="S1465" s="32"/>
      <c r="T1465" s="32"/>
      <c r="U1465" s="32"/>
      <c r="V1465" s="32"/>
      <c r="W1465" s="32"/>
      <c r="X1465" s="32"/>
      <c r="Y1465" s="32"/>
      <c r="Z1465" s="32"/>
      <c r="AA1465" s="32"/>
      <c r="AB1465" s="32"/>
      <c r="AC1465" s="32"/>
      <c r="AD1465" s="221"/>
    </row>
    <row r="1466" spans="18:30" x14ac:dyDescent="0.25">
      <c r="R1466" s="32"/>
      <c r="S1466" s="32"/>
      <c r="T1466" s="32"/>
      <c r="U1466" s="32"/>
      <c r="V1466" s="32"/>
      <c r="W1466" s="32"/>
      <c r="X1466" s="32"/>
      <c r="Y1466" s="32"/>
      <c r="Z1466" s="32"/>
      <c r="AA1466" s="32"/>
      <c r="AB1466" s="32"/>
      <c r="AC1466" s="32"/>
      <c r="AD1466" s="221"/>
    </row>
    <row r="1467" spans="18:30" x14ac:dyDescent="0.25">
      <c r="R1467" s="32"/>
      <c r="S1467" s="32"/>
      <c r="T1467" s="32"/>
      <c r="U1467" s="32"/>
      <c r="V1467" s="32"/>
      <c r="W1467" s="32"/>
      <c r="X1467" s="32"/>
      <c r="Y1467" s="32"/>
      <c r="Z1467" s="32"/>
      <c r="AA1467" s="32"/>
      <c r="AB1467" s="32"/>
      <c r="AC1467" s="32"/>
      <c r="AD1467" s="221"/>
    </row>
    <row r="1468" spans="18:30" x14ac:dyDescent="0.25">
      <c r="R1468" s="32"/>
      <c r="S1468" s="32"/>
      <c r="T1468" s="32"/>
      <c r="U1468" s="32"/>
      <c r="V1468" s="32"/>
      <c r="W1468" s="32"/>
      <c r="X1468" s="32"/>
      <c r="Y1468" s="32"/>
      <c r="Z1468" s="32"/>
      <c r="AA1468" s="32"/>
      <c r="AB1468" s="32"/>
      <c r="AC1468" s="32"/>
      <c r="AD1468" s="221"/>
    </row>
    <row r="1469" spans="18:30" x14ac:dyDescent="0.25">
      <c r="R1469" s="32"/>
      <c r="S1469" s="32"/>
      <c r="T1469" s="32"/>
      <c r="U1469" s="32"/>
      <c r="V1469" s="32"/>
      <c r="W1469" s="32"/>
      <c r="X1469" s="32"/>
      <c r="Y1469" s="32"/>
      <c r="Z1469" s="32"/>
      <c r="AA1469" s="32"/>
      <c r="AB1469" s="32"/>
      <c r="AC1469" s="32"/>
      <c r="AD1469" s="221"/>
    </row>
    <row r="1470" spans="18:30" x14ac:dyDescent="0.25">
      <c r="R1470" s="32"/>
      <c r="S1470" s="32"/>
      <c r="T1470" s="32"/>
      <c r="U1470" s="32"/>
      <c r="V1470" s="32"/>
      <c r="W1470" s="32"/>
      <c r="X1470" s="32"/>
      <c r="Y1470" s="32"/>
      <c r="Z1470" s="32"/>
      <c r="AA1470" s="32"/>
      <c r="AB1470" s="32"/>
      <c r="AC1470" s="32"/>
      <c r="AD1470" s="221"/>
    </row>
    <row r="1471" spans="18:30" x14ac:dyDescent="0.25">
      <c r="R1471" s="32"/>
      <c r="S1471" s="32"/>
      <c r="T1471" s="32"/>
      <c r="U1471" s="32"/>
      <c r="V1471" s="32"/>
      <c r="W1471" s="32"/>
      <c r="X1471" s="32"/>
      <c r="Y1471" s="32"/>
      <c r="Z1471" s="32"/>
      <c r="AA1471" s="32"/>
      <c r="AB1471" s="32"/>
      <c r="AC1471" s="32"/>
      <c r="AD1471" s="221"/>
    </row>
    <row r="1472" spans="18:30" x14ac:dyDescent="0.25">
      <c r="R1472" s="32"/>
      <c r="S1472" s="32"/>
      <c r="T1472" s="32"/>
      <c r="U1472" s="32"/>
      <c r="V1472" s="32"/>
      <c r="W1472" s="32"/>
      <c r="X1472" s="32"/>
      <c r="Y1472" s="32"/>
      <c r="Z1472" s="32"/>
      <c r="AA1472" s="32"/>
      <c r="AB1472" s="32"/>
      <c r="AC1472" s="32"/>
      <c r="AD1472" s="221"/>
    </row>
    <row r="1473" spans="18:30" x14ac:dyDescent="0.25">
      <c r="R1473" s="32"/>
      <c r="S1473" s="32"/>
      <c r="T1473" s="32"/>
      <c r="U1473" s="32"/>
      <c r="V1473" s="32"/>
      <c r="W1473" s="32"/>
      <c r="X1473" s="32"/>
      <c r="Y1473" s="32"/>
      <c r="Z1473" s="32"/>
      <c r="AA1473" s="32"/>
      <c r="AB1473" s="32"/>
      <c r="AC1473" s="32"/>
      <c r="AD1473" s="221"/>
    </row>
    <row r="1474" spans="18:30" x14ac:dyDescent="0.25">
      <c r="R1474" s="32"/>
      <c r="S1474" s="32"/>
      <c r="T1474" s="32"/>
      <c r="U1474" s="32"/>
      <c r="V1474" s="32"/>
      <c r="W1474" s="32"/>
      <c r="X1474" s="32"/>
      <c r="Y1474" s="32"/>
      <c r="Z1474" s="32"/>
      <c r="AA1474" s="32"/>
      <c r="AB1474" s="32"/>
      <c r="AC1474" s="32"/>
      <c r="AD1474" s="221"/>
    </row>
    <row r="1475" spans="18:30" x14ac:dyDescent="0.25">
      <c r="R1475" s="32"/>
      <c r="S1475" s="32"/>
      <c r="T1475" s="32"/>
      <c r="U1475" s="32"/>
      <c r="V1475" s="32"/>
      <c r="W1475" s="32"/>
      <c r="X1475" s="32"/>
      <c r="Y1475" s="32"/>
      <c r="Z1475" s="32"/>
      <c r="AA1475" s="32"/>
      <c r="AB1475" s="32"/>
      <c r="AC1475" s="32"/>
      <c r="AD1475" s="221"/>
    </row>
    <row r="1476" spans="18:30" x14ac:dyDescent="0.25">
      <c r="R1476" s="32"/>
      <c r="S1476" s="32"/>
      <c r="T1476" s="32"/>
      <c r="U1476" s="32"/>
      <c r="V1476" s="32"/>
      <c r="W1476" s="32"/>
      <c r="X1476" s="32"/>
      <c r="Y1476" s="32"/>
      <c r="Z1476" s="32"/>
      <c r="AA1476" s="32"/>
      <c r="AB1476" s="32"/>
      <c r="AC1476" s="32"/>
      <c r="AD1476" s="221"/>
    </row>
    <row r="1477" spans="18:30" x14ac:dyDescent="0.25">
      <c r="R1477" s="32"/>
      <c r="S1477" s="32"/>
      <c r="T1477" s="32"/>
      <c r="U1477" s="32"/>
      <c r="V1477" s="32"/>
      <c r="W1477" s="32"/>
      <c r="X1477" s="32"/>
      <c r="Y1477" s="32"/>
      <c r="Z1477" s="32"/>
      <c r="AA1477" s="32"/>
      <c r="AB1477" s="32"/>
      <c r="AC1477" s="32"/>
      <c r="AD1477" s="221"/>
    </row>
    <row r="1478" spans="18:30" x14ac:dyDescent="0.25">
      <c r="R1478" s="32"/>
      <c r="S1478" s="32"/>
      <c r="T1478" s="32"/>
      <c r="U1478" s="32"/>
      <c r="V1478" s="32"/>
      <c r="W1478" s="32"/>
      <c r="X1478" s="32"/>
      <c r="Y1478" s="32"/>
      <c r="Z1478" s="32"/>
      <c r="AA1478" s="32"/>
      <c r="AB1478" s="32"/>
      <c r="AC1478" s="32"/>
      <c r="AD1478" s="221"/>
    </row>
    <row r="1479" spans="18:30" x14ac:dyDescent="0.25">
      <c r="R1479" s="32"/>
      <c r="S1479" s="32"/>
      <c r="T1479" s="32"/>
      <c r="U1479" s="32"/>
      <c r="V1479" s="32"/>
      <c r="W1479" s="32"/>
      <c r="X1479" s="32"/>
      <c r="Y1479" s="32"/>
      <c r="Z1479" s="32"/>
      <c r="AA1479" s="32"/>
      <c r="AB1479" s="32"/>
      <c r="AC1479" s="32"/>
      <c r="AD1479" s="221"/>
    </row>
    <row r="1480" spans="18:30" x14ac:dyDescent="0.25">
      <c r="R1480" s="32"/>
      <c r="S1480" s="32"/>
      <c r="T1480" s="32"/>
      <c r="U1480" s="32"/>
      <c r="V1480" s="32"/>
      <c r="W1480" s="32"/>
      <c r="X1480" s="32"/>
      <c r="Y1480" s="32"/>
      <c r="Z1480" s="32"/>
      <c r="AA1480" s="32"/>
      <c r="AB1480" s="32"/>
      <c r="AC1480" s="32"/>
      <c r="AD1480" s="221"/>
    </row>
    <row r="1481" spans="18:30" x14ac:dyDescent="0.25">
      <c r="R1481" s="32"/>
      <c r="S1481" s="32"/>
      <c r="T1481" s="32"/>
      <c r="U1481" s="32"/>
      <c r="V1481" s="32"/>
      <c r="W1481" s="32"/>
      <c r="X1481" s="32"/>
      <c r="Y1481" s="32"/>
      <c r="Z1481" s="32"/>
      <c r="AA1481" s="32"/>
      <c r="AB1481" s="32"/>
      <c r="AC1481" s="32"/>
      <c r="AD1481" s="221"/>
    </row>
    <row r="1482" spans="18:30" x14ac:dyDescent="0.25">
      <c r="R1482" s="32"/>
      <c r="S1482" s="32"/>
      <c r="T1482" s="32"/>
      <c r="U1482" s="32"/>
      <c r="V1482" s="32"/>
      <c r="W1482" s="32"/>
      <c r="X1482" s="32"/>
      <c r="Y1482" s="32"/>
      <c r="Z1482" s="32"/>
      <c r="AA1482" s="32"/>
      <c r="AB1482" s="32"/>
      <c r="AC1482" s="32"/>
      <c r="AD1482" s="221"/>
    </row>
    <row r="1483" spans="18:30" x14ac:dyDescent="0.25">
      <c r="R1483" s="32"/>
      <c r="S1483" s="32"/>
      <c r="T1483" s="32"/>
      <c r="U1483" s="32"/>
      <c r="V1483" s="32"/>
      <c r="W1483" s="32"/>
      <c r="X1483" s="32"/>
      <c r="Y1483" s="32"/>
      <c r="Z1483" s="32"/>
      <c r="AA1483" s="32"/>
      <c r="AB1483" s="32"/>
      <c r="AC1483" s="32"/>
      <c r="AD1483" s="221"/>
    </row>
    <row r="1484" spans="18:30" x14ac:dyDescent="0.25">
      <c r="R1484" s="32"/>
      <c r="S1484" s="32"/>
      <c r="T1484" s="32"/>
      <c r="U1484" s="32"/>
      <c r="V1484" s="32"/>
      <c r="W1484" s="32"/>
      <c r="X1484" s="32"/>
      <c r="Y1484" s="32"/>
      <c r="Z1484" s="32"/>
      <c r="AA1484" s="32"/>
      <c r="AB1484" s="32"/>
      <c r="AC1484" s="32"/>
      <c r="AD1484" s="221"/>
    </row>
    <row r="1485" spans="18:30" x14ac:dyDescent="0.25">
      <c r="R1485" s="32"/>
      <c r="S1485" s="32"/>
      <c r="T1485" s="32"/>
      <c r="U1485" s="32"/>
      <c r="V1485" s="32"/>
      <c r="W1485" s="32"/>
      <c r="X1485" s="32"/>
      <c r="Y1485" s="32"/>
      <c r="Z1485" s="32"/>
      <c r="AA1485" s="32"/>
      <c r="AB1485" s="32"/>
      <c r="AC1485" s="32"/>
      <c r="AD1485" s="221"/>
    </row>
    <row r="1486" spans="18:30" x14ac:dyDescent="0.25">
      <c r="R1486" s="32"/>
      <c r="S1486" s="32"/>
      <c r="T1486" s="32"/>
      <c r="U1486" s="32"/>
      <c r="V1486" s="32"/>
      <c r="W1486" s="32"/>
      <c r="X1486" s="32"/>
      <c r="Y1486" s="32"/>
      <c r="Z1486" s="32"/>
      <c r="AA1486" s="32"/>
      <c r="AB1486" s="32"/>
      <c r="AC1486" s="32"/>
      <c r="AD1486" s="221"/>
    </row>
    <row r="1487" spans="18:30" x14ac:dyDescent="0.25">
      <c r="R1487" s="32"/>
      <c r="S1487" s="32"/>
      <c r="T1487" s="32"/>
      <c r="U1487" s="32"/>
      <c r="V1487" s="32"/>
      <c r="W1487" s="32"/>
      <c r="X1487" s="32"/>
      <c r="Y1487" s="32"/>
      <c r="Z1487" s="32"/>
      <c r="AA1487" s="32"/>
      <c r="AB1487" s="32"/>
      <c r="AC1487" s="32"/>
      <c r="AD1487" s="221"/>
    </row>
    <row r="1488" spans="18:30" x14ac:dyDescent="0.25">
      <c r="R1488" s="32"/>
      <c r="S1488" s="32"/>
      <c r="T1488" s="32"/>
      <c r="U1488" s="32"/>
      <c r="V1488" s="32"/>
      <c r="W1488" s="32"/>
      <c r="X1488" s="32"/>
      <c r="Y1488" s="32"/>
      <c r="Z1488" s="32"/>
      <c r="AA1488" s="32"/>
      <c r="AB1488" s="32"/>
      <c r="AC1488" s="32"/>
      <c r="AD1488" s="221"/>
    </row>
    <row r="1489" spans="18:30" x14ac:dyDescent="0.25">
      <c r="R1489" s="32"/>
      <c r="S1489" s="32"/>
      <c r="T1489" s="32"/>
      <c r="U1489" s="32"/>
      <c r="V1489" s="32"/>
      <c r="W1489" s="32"/>
      <c r="X1489" s="32"/>
      <c r="Y1489" s="32"/>
      <c r="Z1489" s="32"/>
      <c r="AA1489" s="32"/>
      <c r="AB1489" s="32"/>
      <c r="AC1489" s="32"/>
      <c r="AD1489" s="221"/>
    </row>
    <row r="1490" spans="18:30" x14ac:dyDescent="0.25">
      <c r="R1490" s="32"/>
      <c r="S1490" s="32"/>
      <c r="T1490" s="32"/>
      <c r="U1490" s="32"/>
      <c r="V1490" s="32"/>
      <c r="W1490" s="32"/>
      <c r="X1490" s="32"/>
      <c r="Y1490" s="32"/>
      <c r="Z1490" s="32"/>
      <c r="AA1490" s="32"/>
      <c r="AB1490" s="32"/>
      <c r="AC1490" s="32"/>
      <c r="AD1490" s="221"/>
    </row>
    <row r="1491" spans="18:30" x14ac:dyDescent="0.25">
      <c r="R1491" s="32"/>
      <c r="S1491" s="32"/>
      <c r="T1491" s="32"/>
      <c r="U1491" s="32"/>
      <c r="V1491" s="32"/>
      <c r="W1491" s="32"/>
      <c r="X1491" s="32"/>
      <c r="Y1491" s="32"/>
      <c r="Z1491" s="32"/>
      <c r="AA1491" s="32"/>
      <c r="AB1491" s="32"/>
      <c r="AC1491" s="32"/>
      <c r="AD1491" s="221"/>
    </row>
    <row r="1492" spans="18:30" x14ac:dyDescent="0.25">
      <c r="R1492" s="32"/>
      <c r="S1492" s="32"/>
      <c r="T1492" s="32"/>
      <c r="U1492" s="32"/>
      <c r="V1492" s="32"/>
      <c r="W1492" s="32"/>
      <c r="X1492" s="32"/>
      <c r="Y1492" s="32"/>
      <c r="Z1492" s="32"/>
      <c r="AA1492" s="32"/>
      <c r="AB1492" s="32"/>
      <c r="AC1492" s="32"/>
      <c r="AD1492" s="221"/>
    </row>
    <row r="1493" spans="18:30" x14ac:dyDescent="0.25">
      <c r="R1493" s="32"/>
      <c r="S1493" s="32"/>
      <c r="T1493" s="32"/>
      <c r="U1493" s="32"/>
      <c r="V1493" s="32"/>
      <c r="W1493" s="32"/>
      <c r="X1493" s="32"/>
      <c r="Y1493" s="32"/>
      <c r="Z1493" s="32"/>
      <c r="AA1493" s="32"/>
      <c r="AB1493" s="32"/>
      <c r="AC1493" s="32"/>
      <c r="AD1493" s="221"/>
    </row>
    <row r="1494" spans="18:30" x14ac:dyDescent="0.25">
      <c r="R1494" s="32"/>
      <c r="S1494" s="32"/>
      <c r="T1494" s="32"/>
      <c r="U1494" s="32"/>
      <c r="V1494" s="32"/>
      <c r="W1494" s="32"/>
      <c r="X1494" s="32"/>
      <c r="Y1494" s="32"/>
      <c r="Z1494" s="32"/>
      <c r="AA1494" s="32"/>
      <c r="AB1494" s="32"/>
      <c r="AC1494" s="32"/>
      <c r="AD1494" s="221"/>
    </row>
    <row r="1495" spans="18:30" x14ac:dyDescent="0.25">
      <c r="R1495" s="32"/>
      <c r="S1495" s="32"/>
      <c r="T1495" s="32"/>
      <c r="U1495" s="32"/>
      <c r="V1495" s="32"/>
      <c r="W1495" s="32"/>
      <c r="X1495" s="32"/>
      <c r="Y1495" s="32"/>
      <c r="Z1495" s="32"/>
      <c r="AA1495" s="32"/>
      <c r="AB1495" s="32"/>
      <c r="AC1495" s="32"/>
      <c r="AD1495" s="221"/>
    </row>
    <row r="1496" spans="18:30" x14ac:dyDescent="0.25">
      <c r="R1496" s="32"/>
      <c r="S1496" s="32"/>
      <c r="T1496" s="32"/>
      <c r="U1496" s="32"/>
      <c r="V1496" s="32"/>
      <c r="W1496" s="32"/>
      <c r="X1496" s="32"/>
      <c r="Y1496" s="32"/>
      <c r="Z1496" s="32"/>
      <c r="AA1496" s="32"/>
      <c r="AB1496" s="32"/>
      <c r="AC1496" s="32"/>
      <c r="AD1496" s="221"/>
    </row>
    <row r="1497" spans="18:30" x14ac:dyDescent="0.25">
      <c r="R1497" s="32"/>
      <c r="S1497" s="32"/>
      <c r="T1497" s="32"/>
      <c r="U1497" s="32"/>
      <c r="V1497" s="32"/>
      <c r="W1497" s="32"/>
      <c r="X1497" s="32"/>
      <c r="Y1497" s="32"/>
      <c r="Z1497" s="32"/>
      <c r="AA1497" s="32"/>
      <c r="AB1497" s="32"/>
      <c r="AC1497" s="32"/>
      <c r="AD1497" s="221"/>
    </row>
    <row r="1498" spans="18:30" x14ac:dyDescent="0.25">
      <c r="R1498" s="32"/>
      <c r="S1498" s="32"/>
      <c r="T1498" s="32"/>
      <c r="U1498" s="32"/>
      <c r="V1498" s="32"/>
      <c r="W1498" s="32"/>
      <c r="X1498" s="32"/>
      <c r="Y1498" s="32"/>
      <c r="Z1498" s="32"/>
      <c r="AA1498" s="32"/>
      <c r="AB1498" s="32"/>
      <c r="AC1498" s="32"/>
      <c r="AD1498" s="221"/>
    </row>
    <row r="1499" spans="18:30" x14ac:dyDescent="0.25">
      <c r="R1499" s="32"/>
      <c r="S1499" s="32"/>
      <c r="T1499" s="32"/>
      <c r="U1499" s="32"/>
      <c r="V1499" s="32"/>
      <c r="W1499" s="32"/>
      <c r="X1499" s="32"/>
      <c r="Y1499" s="32"/>
      <c r="Z1499" s="32"/>
      <c r="AA1499" s="32"/>
      <c r="AB1499" s="32"/>
      <c r="AC1499" s="32"/>
      <c r="AD1499" s="221"/>
    </row>
    <row r="1500" spans="18:30" x14ac:dyDescent="0.25">
      <c r="R1500" s="32"/>
      <c r="S1500" s="32"/>
      <c r="T1500" s="32"/>
      <c r="U1500" s="32"/>
      <c r="V1500" s="32"/>
      <c r="W1500" s="32"/>
      <c r="X1500" s="32"/>
      <c r="Y1500" s="32"/>
      <c r="Z1500" s="32"/>
      <c r="AA1500" s="32"/>
      <c r="AB1500" s="32"/>
      <c r="AC1500" s="32"/>
      <c r="AD1500" s="221"/>
    </row>
    <row r="1501" spans="18:30" x14ac:dyDescent="0.25">
      <c r="R1501" s="32"/>
      <c r="S1501" s="32"/>
      <c r="T1501" s="32"/>
      <c r="U1501" s="32"/>
      <c r="V1501" s="32"/>
      <c r="W1501" s="32"/>
      <c r="X1501" s="32"/>
      <c r="Y1501" s="32"/>
      <c r="Z1501" s="32"/>
      <c r="AA1501" s="32"/>
      <c r="AB1501" s="32"/>
      <c r="AC1501" s="32"/>
      <c r="AD1501" s="221"/>
    </row>
    <row r="1502" spans="18:30" x14ac:dyDescent="0.25">
      <c r="R1502" s="32"/>
      <c r="S1502" s="32"/>
      <c r="T1502" s="32"/>
      <c r="U1502" s="32"/>
      <c r="V1502" s="32"/>
      <c r="W1502" s="32"/>
      <c r="X1502" s="32"/>
      <c r="Y1502" s="32"/>
      <c r="Z1502" s="32"/>
      <c r="AA1502" s="32"/>
      <c r="AB1502" s="32"/>
      <c r="AC1502" s="32"/>
      <c r="AD1502" s="221"/>
    </row>
    <row r="1503" spans="18:30" x14ac:dyDescent="0.25">
      <c r="R1503" s="32"/>
      <c r="S1503" s="32"/>
      <c r="T1503" s="32"/>
      <c r="U1503" s="32"/>
      <c r="V1503" s="32"/>
      <c r="W1503" s="32"/>
      <c r="X1503" s="32"/>
      <c r="Y1503" s="32"/>
      <c r="Z1503" s="32"/>
      <c r="AA1503" s="32"/>
      <c r="AB1503" s="32"/>
      <c r="AC1503" s="32"/>
      <c r="AD1503" s="221"/>
    </row>
    <row r="1504" spans="18:30" x14ac:dyDescent="0.25">
      <c r="R1504" s="32"/>
      <c r="S1504" s="32"/>
      <c r="T1504" s="32"/>
      <c r="U1504" s="32"/>
      <c r="V1504" s="32"/>
      <c r="W1504" s="32"/>
      <c r="X1504" s="32"/>
      <c r="Y1504" s="32"/>
      <c r="Z1504" s="32"/>
      <c r="AA1504" s="32"/>
      <c r="AB1504" s="32"/>
      <c r="AC1504" s="32"/>
      <c r="AD1504" s="221"/>
    </row>
    <row r="1505" spans="18:30" x14ac:dyDescent="0.25">
      <c r="R1505" s="32"/>
      <c r="S1505" s="32"/>
      <c r="T1505" s="32"/>
      <c r="U1505" s="32"/>
      <c r="V1505" s="32"/>
      <c r="W1505" s="32"/>
      <c r="X1505" s="32"/>
      <c r="Y1505" s="32"/>
      <c r="Z1505" s="32"/>
      <c r="AA1505" s="32"/>
      <c r="AB1505" s="32"/>
      <c r="AC1505" s="32"/>
      <c r="AD1505" s="221"/>
    </row>
    <row r="1506" spans="18:30" x14ac:dyDescent="0.25">
      <c r="R1506" s="32"/>
      <c r="S1506" s="32"/>
      <c r="T1506" s="32"/>
      <c r="U1506" s="32"/>
      <c r="V1506" s="32"/>
      <c r="W1506" s="32"/>
      <c r="X1506" s="32"/>
      <c r="Y1506" s="32"/>
      <c r="Z1506" s="32"/>
      <c r="AA1506" s="32"/>
      <c r="AB1506" s="32"/>
      <c r="AC1506" s="32"/>
      <c r="AD1506" s="221"/>
    </row>
    <row r="1507" spans="18:30" x14ac:dyDescent="0.25">
      <c r="R1507" s="32"/>
      <c r="S1507" s="32"/>
      <c r="T1507" s="32"/>
      <c r="U1507" s="32"/>
      <c r="V1507" s="32"/>
      <c r="W1507" s="32"/>
      <c r="X1507" s="32"/>
      <c r="Y1507" s="32"/>
      <c r="Z1507" s="32"/>
      <c r="AA1507" s="32"/>
      <c r="AB1507" s="32"/>
      <c r="AC1507" s="32"/>
      <c r="AD1507" s="221"/>
    </row>
    <row r="1508" spans="18:30" x14ac:dyDescent="0.25">
      <c r="R1508" s="32"/>
      <c r="S1508" s="32"/>
      <c r="T1508" s="32"/>
      <c r="U1508" s="32"/>
      <c r="V1508" s="32"/>
      <c r="W1508" s="32"/>
      <c r="X1508" s="32"/>
      <c r="Y1508" s="32"/>
      <c r="Z1508" s="32"/>
      <c r="AA1508" s="32"/>
      <c r="AB1508" s="32"/>
      <c r="AC1508" s="32"/>
      <c r="AD1508" s="221"/>
    </row>
    <row r="1509" spans="18:30" x14ac:dyDescent="0.25">
      <c r="R1509" s="32"/>
      <c r="S1509" s="32"/>
      <c r="T1509" s="32"/>
      <c r="U1509" s="32"/>
      <c r="V1509" s="32"/>
      <c r="W1509" s="32"/>
      <c r="X1509" s="32"/>
      <c r="Y1509" s="32"/>
      <c r="Z1509" s="32"/>
      <c r="AA1509" s="32"/>
      <c r="AB1509" s="32"/>
      <c r="AC1509" s="32"/>
      <c r="AD1509" s="221"/>
    </row>
    <row r="1510" spans="18:30" x14ac:dyDescent="0.25">
      <c r="R1510" s="32"/>
      <c r="S1510" s="32"/>
      <c r="T1510" s="32"/>
      <c r="U1510" s="32"/>
      <c r="V1510" s="32"/>
      <c r="W1510" s="32"/>
      <c r="X1510" s="32"/>
      <c r="Y1510" s="32"/>
      <c r="Z1510" s="32"/>
      <c r="AA1510" s="32"/>
      <c r="AB1510" s="32"/>
      <c r="AC1510" s="32"/>
      <c r="AD1510" s="221"/>
    </row>
    <row r="1511" spans="18:30" x14ac:dyDescent="0.25">
      <c r="R1511" s="32"/>
      <c r="S1511" s="32"/>
      <c r="T1511" s="32"/>
      <c r="U1511" s="32"/>
      <c r="V1511" s="32"/>
      <c r="W1511" s="32"/>
      <c r="X1511" s="32"/>
      <c r="Y1511" s="32"/>
      <c r="Z1511" s="32"/>
      <c r="AA1511" s="32"/>
      <c r="AB1511" s="32"/>
      <c r="AC1511" s="32"/>
      <c r="AD1511" s="221"/>
    </row>
    <row r="1512" spans="18:30" x14ac:dyDescent="0.25">
      <c r="R1512" s="32"/>
      <c r="S1512" s="32"/>
      <c r="T1512" s="32"/>
      <c r="U1512" s="32"/>
      <c r="V1512" s="32"/>
      <c r="W1512" s="32"/>
      <c r="X1512" s="32"/>
      <c r="Y1512" s="32"/>
      <c r="Z1512" s="32"/>
      <c r="AA1512" s="32"/>
      <c r="AB1512" s="32"/>
      <c r="AC1512" s="32"/>
      <c r="AD1512" s="221"/>
    </row>
    <row r="1513" spans="18:30" x14ac:dyDescent="0.25">
      <c r="R1513" s="32"/>
      <c r="S1513" s="32"/>
      <c r="T1513" s="32"/>
      <c r="U1513" s="32"/>
      <c r="V1513" s="32"/>
      <c r="W1513" s="32"/>
      <c r="X1513" s="32"/>
      <c r="Y1513" s="32"/>
      <c r="Z1513" s="32"/>
      <c r="AA1513" s="32"/>
      <c r="AB1513" s="32"/>
      <c r="AC1513" s="32"/>
      <c r="AD1513" s="221"/>
    </row>
    <row r="1514" spans="18:30" x14ac:dyDescent="0.25">
      <c r="R1514" s="32"/>
      <c r="S1514" s="32"/>
      <c r="T1514" s="32"/>
      <c r="U1514" s="32"/>
      <c r="V1514" s="32"/>
      <c r="W1514" s="32"/>
      <c r="X1514" s="32"/>
      <c r="Y1514" s="32"/>
      <c r="Z1514" s="32"/>
      <c r="AA1514" s="32"/>
      <c r="AB1514" s="32"/>
      <c r="AC1514" s="32"/>
      <c r="AD1514" s="221"/>
    </row>
    <row r="1515" spans="18:30" x14ac:dyDescent="0.25">
      <c r="R1515" s="32"/>
      <c r="S1515" s="32"/>
      <c r="T1515" s="32"/>
      <c r="U1515" s="32"/>
      <c r="V1515" s="32"/>
      <c r="W1515" s="32"/>
      <c r="X1515" s="32"/>
      <c r="Y1515" s="32"/>
      <c r="Z1515" s="32"/>
      <c r="AA1515" s="32"/>
      <c r="AB1515" s="32"/>
      <c r="AC1515" s="32"/>
      <c r="AD1515" s="221"/>
    </row>
    <row r="1516" spans="18:30" x14ac:dyDescent="0.25">
      <c r="R1516" s="32"/>
      <c r="S1516" s="32"/>
      <c r="T1516" s="32"/>
      <c r="U1516" s="32"/>
      <c r="V1516" s="32"/>
      <c r="W1516" s="32"/>
      <c r="X1516" s="32"/>
      <c r="Y1516" s="32"/>
      <c r="Z1516" s="32"/>
      <c r="AA1516" s="32"/>
      <c r="AB1516" s="32"/>
      <c r="AC1516" s="32"/>
      <c r="AD1516" s="221"/>
    </row>
    <row r="1517" spans="18:30" x14ac:dyDescent="0.25">
      <c r="R1517" s="32"/>
      <c r="S1517" s="32"/>
      <c r="T1517" s="32"/>
      <c r="U1517" s="32"/>
      <c r="V1517" s="32"/>
      <c r="W1517" s="32"/>
      <c r="X1517" s="32"/>
      <c r="Y1517" s="32"/>
      <c r="Z1517" s="32"/>
      <c r="AA1517" s="32"/>
      <c r="AB1517" s="32"/>
      <c r="AC1517" s="32"/>
      <c r="AD1517" s="221"/>
    </row>
    <row r="1518" spans="18:30" x14ac:dyDescent="0.25">
      <c r="R1518" s="32"/>
      <c r="S1518" s="32"/>
      <c r="T1518" s="32"/>
      <c r="U1518" s="32"/>
      <c r="V1518" s="32"/>
      <c r="W1518" s="32"/>
      <c r="X1518" s="32"/>
      <c r="Y1518" s="32"/>
      <c r="Z1518" s="32"/>
      <c r="AA1518" s="32"/>
      <c r="AB1518" s="32"/>
      <c r="AC1518" s="32"/>
      <c r="AD1518" s="221"/>
    </row>
    <row r="1519" spans="18:30" x14ac:dyDescent="0.25">
      <c r="R1519" s="32"/>
      <c r="S1519" s="32"/>
      <c r="T1519" s="32"/>
      <c r="U1519" s="32"/>
      <c r="V1519" s="32"/>
      <c r="W1519" s="32"/>
      <c r="X1519" s="32"/>
      <c r="Y1519" s="32"/>
      <c r="Z1519" s="32"/>
      <c r="AA1519" s="32"/>
      <c r="AB1519" s="32"/>
      <c r="AC1519" s="32"/>
      <c r="AD1519" s="221"/>
    </row>
    <row r="1520" spans="18:30" x14ac:dyDescent="0.25">
      <c r="R1520" s="32"/>
      <c r="S1520" s="32"/>
      <c r="T1520" s="32"/>
      <c r="U1520" s="32"/>
      <c r="V1520" s="32"/>
      <c r="W1520" s="32"/>
      <c r="X1520" s="32"/>
      <c r="Y1520" s="32"/>
      <c r="Z1520" s="32"/>
      <c r="AA1520" s="32"/>
      <c r="AB1520" s="32"/>
      <c r="AC1520" s="32"/>
      <c r="AD1520" s="221"/>
    </row>
    <row r="1521" spans="18:30" x14ac:dyDescent="0.25">
      <c r="R1521" s="32"/>
      <c r="S1521" s="32"/>
      <c r="T1521" s="32"/>
      <c r="U1521" s="32"/>
      <c r="V1521" s="32"/>
      <c r="W1521" s="32"/>
      <c r="X1521" s="32"/>
      <c r="Y1521" s="32"/>
      <c r="Z1521" s="32"/>
      <c r="AA1521" s="32"/>
      <c r="AB1521" s="32"/>
      <c r="AC1521" s="32"/>
      <c r="AD1521" s="221"/>
    </row>
    <row r="1522" spans="18:30" x14ac:dyDescent="0.25">
      <c r="R1522" s="32"/>
      <c r="S1522" s="32"/>
      <c r="T1522" s="32"/>
      <c r="U1522" s="32"/>
      <c r="V1522" s="32"/>
      <c r="W1522" s="32"/>
      <c r="X1522" s="32"/>
      <c r="Y1522" s="32"/>
      <c r="Z1522" s="32"/>
      <c r="AA1522" s="32"/>
      <c r="AB1522" s="32"/>
      <c r="AC1522" s="32"/>
      <c r="AD1522" s="221"/>
    </row>
    <row r="1523" spans="18:30" x14ac:dyDescent="0.25">
      <c r="R1523" s="32"/>
      <c r="S1523" s="32"/>
      <c r="T1523" s="32"/>
      <c r="U1523" s="32"/>
      <c r="V1523" s="32"/>
      <c r="W1523" s="32"/>
      <c r="X1523" s="32"/>
      <c r="Y1523" s="32"/>
      <c r="Z1523" s="32"/>
      <c r="AA1523" s="32"/>
      <c r="AB1523" s="32"/>
      <c r="AC1523" s="32"/>
      <c r="AD1523" s="221"/>
    </row>
    <row r="1524" spans="18:30" x14ac:dyDescent="0.25">
      <c r="R1524" s="32"/>
      <c r="S1524" s="32"/>
      <c r="T1524" s="32"/>
      <c r="U1524" s="32"/>
      <c r="V1524" s="32"/>
      <c r="W1524" s="32"/>
      <c r="X1524" s="32"/>
      <c r="Y1524" s="32"/>
      <c r="Z1524" s="32"/>
      <c r="AA1524" s="32"/>
      <c r="AB1524" s="32"/>
      <c r="AC1524" s="32"/>
      <c r="AD1524" s="221"/>
    </row>
    <row r="1525" spans="18:30" x14ac:dyDescent="0.25">
      <c r="R1525" s="32"/>
      <c r="S1525" s="32"/>
      <c r="T1525" s="32"/>
      <c r="U1525" s="32"/>
      <c r="V1525" s="32"/>
      <c r="W1525" s="32"/>
      <c r="X1525" s="32"/>
      <c r="Y1525" s="32"/>
      <c r="Z1525" s="32"/>
      <c r="AA1525" s="32"/>
      <c r="AB1525" s="32"/>
      <c r="AC1525" s="32"/>
      <c r="AD1525" s="221"/>
    </row>
    <row r="1526" spans="18:30" x14ac:dyDescent="0.25">
      <c r="R1526" s="32"/>
      <c r="S1526" s="32"/>
      <c r="T1526" s="32"/>
      <c r="U1526" s="32"/>
      <c r="V1526" s="32"/>
      <c r="W1526" s="32"/>
      <c r="X1526" s="32"/>
      <c r="Y1526" s="32"/>
      <c r="Z1526" s="32"/>
      <c r="AA1526" s="32"/>
      <c r="AB1526" s="32"/>
      <c r="AC1526" s="32"/>
      <c r="AD1526" s="221"/>
    </row>
    <row r="1527" spans="18:30" x14ac:dyDescent="0.25">
      <c r="R1527" s="32"/>
      <c r="S1527" s="32"/>
      <c r="T1527" s="32"/>
      <c r="U1527" s="32"/>
      <c r="V1527" s="32"/>
      <c r="W1527" s="32"/>
      <c r="X1527" s="32"/>
      <c r="Y1527" s="32"/>
      <c r="Z1527" s="32"/>
      <c r="AA1527" s="32"/>
      <c r="AB1527" s="32"/>
      <c r="AC1527" s="32"/>
      <c r="AD1527" s="221"/>
    </row>
    <row r="1528" spans="18:30" x14ac:dyDescent="0.25">
      <c r="R1528" s="32"/>
      <c r="S1528" s="32"/>
      <c r="T1528" s="32"/>
      <c r="U1528" s="32"/>
      <c r="V1528" s="32"/>
      <c r="W1528" s="32"/>
      <c r="X1528" s="32"/>
      <c r="Y1528" s="32"/>
      <c r="Z1528" s="32"/>
      <c r="AA1528" s="32"/>
      <c r="AB1528" s="32"/>
      <c r="AC1528" s="32"/>
      <c r="AD1528" s="221"/>
    </row>
    <row r="1529" spans="18:30" x14ac:dyDescent="0.25">
      <c r="R1529" s="32"/>
      <c r="S1529" s="32"/>
      <c r="T1529" s="32"/>
      <c r="U1529" s="32"/>
      <c r="V1529" s="32"/>
      <c r="W1529" s="32"/>
      <c r="X1529" s="32"/>
      <c r="Y1529" s="32"/>
      <c r="Z1529" s="32"/>
      <c r="AA1529" s="32"/>
      <c r="AB1529" s="32"/>
      <c r="AC1529" s="32"/>
      <c r="AD1529" s="221"/>
    </row>
    <row r="1530" spans="18:30" x14ac:dyDescent="0.25">
      <c r="R1530" s="32"/>
      <c r="S1530" s="32"/>
      <c r="T1530" s="32"/>
      <c r="U1530" s="32"/>
      <c r="V1530" s="32"/>
      <c r="W1530" s="32"/>
      <c r="X1530" s="32"/>
      <c r="Y1530" s="32"/>
      <c r="Z1530" s="32"/>
      <c r="AA1530" s="32"/>
      <c r="AB1530" s="32"/>
      <c r="AC1530" s="32"/>
      <c r="AD1530" s="221"/>
    </row>
    <row r="1531" spans="18:30" x14ac:dyDescent="0.25">
      <c r="R1531" s="32"/>
      <c r="S1531" s="32"/>
      <c r="T1531" s="32"/>
      <c r="U1531" s="32"/>
      <c r="V1531" s="32"/>
      <c r="W1531" s="32"/>
      <c r="X1531" s="32"/>
      <c r="Y1531" s="32"/>
      <c r="Z1531" s="32"/>
      <c r="AA1531" s="32"/>
      <c r="AB1531" s="32"/>
      <c r="AC1531" s="32"/>
      <c r="AD1531" s="221"/>
    </row>
    <row r="1532" spans="18:30" x14ac:dyDescent="0.25">
      <c r="R1532" s="32"/>
      <c r="S1532" s="32"/>
      <c r="T1532" s="32"/>
      <c r="U1532" s="32"/>
      <c r="V1532" s="32"/>
      <c r="W1532" s="32"/>
      <c r="X1532" s="32"/>
      <c r="Y1532" s="32"/>
      <c r="Z1532" s="32"/>
      <c r="AA1532" s="32"/>
      <c r="AB1532" s="32"/>
      <c r="AC1532" s="32"/>
      <c r="AD1532" s="221"/>
    </row>
    <row r="1533" spans="18:30" x14ac:dyDescent="0.25">
      <c r="R1533" s="32"/>
      <c r="S1533" s="32"/>
      <c r="T1533" s="32"/>
      <c r="U1533" s="32"/>
      <c r="V1533" s="32"/>
      <c r="W1533" s="32"/>
      <c r="X1533" s="32"/>
      <c r="Y1533" s="32"/>
      <c r="Z1533" s="32"/>
      <c r="AA1533" s="32"/>
      <c r="AB1533" s="32"/>
      <c r="AC1533" s="32"/>
      <c r="AD1533" s="221"/>
    </row>
    <row r="1534" spans="18:30" x14ac:dyDescent="0.25">
      <c r="R1534" s="32"/>
      <c r="S1534" s="32"/>
      <c r="T1534" s="32"/>
      <c r="U1534" s="32"/>
      <c r="V1534" s="32"/>
      <c r="W1534" s="32"/>
      <c r="X1534" s="32"/>
      <c r="Y1534" s="32"/>
      <c r="Z1534" s="32"/>
      <c r="AA1534" s="32"/>
      <c r="AB1534" s="32"/>
      <c r="AC1534" s="32"/>
      <c r="AD1534" s="221"/>
    </row>
    <row r="1535" spans="18:30" x14ac:dyDescent="0.25">
      <c r="R1535" s="32"/>
      <c r="S1535" s="32"/>
      <c r="T1535" s="32"/>
      <c r="U1535" s="32"/>
      <c r="V1535" s="32"/>
      <c r="W1535" s="32"/>
      <c r="X1535" s="32"/>
      <c r="Y1535" s="32"/>
      <c r="Z1535" s="32"/>
      <c r="AA1535" s="32"/>
      <c r="AB1535" s="32"/>
      <c r="AC1535" s="32"/>
      <c r="AD1535" s="221"/>
    </row>
    <row r="1536" spans="18:30" x14ac:dyDescent="0.25">
      <c r="R1536" s="32"/>
      <c r="S1536" s="32"/>
      <c r="T1536" s="32"/>
      <c r="U1536" s="32"/>
      <c r="V1536" s="32"/>
      <c r="W1536" s="32"/>
      <c r="X1536" s="32"/>
      <c r="Y1536" s="32"/>
      <c r="Z1536" s="32"/>
      <c r="AA1536" s="32"/>
      <c r="AB1536" s="32"/>
      <c r="AC1536" s="32"/>
      <c r="AD1536" s="221"/>
    </row>
    <row r="1537" spans="18:30" x14ac:dyDescent="0.25">
      <c r="R1537" s="32"/>
      <c r="S1537" s="32"/>
      <c r="T1537" s="32"/>
      <c r="U1537" s="32"/>
      <c r="V1537" s="32"/>
      <c r="W1537" s="32"/>
      <c r="X1537" s="32"/>
      <c r="Y1537" s="32"/>
      <c r="Z1537" s="32"/>
      <c r="AA1537" s="32"/>
      <c r="AB1537" s="32"/>
      <c r="AC1537" s="32"/>
      <c r="AD1537" s="221"/>
    </row>
    <row r="1538" spans="18:30" x14ac:dyDescent="0.25">
      <c r="R1538" s="32"/>
      <c r="S1538" s="32"/>
      <c r="T1538" s="32"/>
      <c r="U1538" s="32"/>
      <c r="V1538" s="32"/>
      <c r="W1538" s="32"/>
      <c r="X1538" s="32"/>
      <c r="Y1538" s="32"/>
      <c r="Z1538" s="32"/>
      <c r="AA1538" s="32"/>
      <c r="AB1538" s="32"/>
      <c r="AC1538" s="32"/>
      <c r="AD1538" s="221"/>
    </row>
    <row r="1539" spans="18:30" x14ac:dyDescent="0.25">
      <c r="R1539" s="32"/>
      <c r="S1539" s="32"/>
      <c r="T1539" s="32"/>
      <c r="U1539" s="32"/>
      <c r="V1539" s="32"/>
      <c r="W1539" s="32"/>
      <c r="X1539" s="32"/>
      <c r="Y1539" s="32"/>
      <c r="Z1539" s="32"/>
      <c r="AA1539" s="32"/>
      <c r="AB1539" s="32"/>
      <c r="AC1539" s="32"/>
      <c r="AD1539" s="221"/>
    </row>
    <row r="1540" spans="18:30" x14ac:dyDescent="0.25">
      <c r="R1540" s="32"/>
      <c r="S1540" s="32"/>
      <c r="T1540" s="32"/>
      <c r="U1540" s="32"/>
      <c r="V1540" s="32"/>
      <c r="W1540" s="32"/>
      <c r="X1540" s="32"/>
      <c r="Y1540" s="32"/>
      <c r="Z1540" s="32"/>
      <c r="AA1540" s="32"/>
      <c r="AB1540" s="32"/>
      <c r="AC1540" s="32"/>
      <c r="AD1540" s="221"/>
    </row>
    <row r="1541" spans="18:30" x14ac:dyDescent="0.25">
      <c r="R1541" s="32"/>
      <c r="S1541" s="32"/>
      <c r="T1541" s="32"/>
      <c r="U1541" s="32"/>
      <c r="V1541" s="32"/>
      <c r="W1541" s="32"/>
      <c r="X1541" s="32"/>
      <c r="Y1541" s="32"/>
      <c r="Z1541" s="32"/>
      <c r="AA1541" s="32"/>
      <c r="AB1541" s="32"/>
      <c r="AC1541" s="32"/>
      <c r="AD1541" s="221"/>
    </row>
    <row r="1542" spans="18:30" x14ac:dyDescent="0.25">
      <c r="R1542" s="32"/>
      <c r="S1542" s="32"/>
      <c r="T1542" s="32"/>
      <c r="U1542" s="32"/>
      <c r="V1542" s="32"/>
      <c r="W1542" s="32"/>
      <c r="X1542" s="32"/>
      <c r="Y1542" s="32"/>
      <c r="Z1542" s="32"/>
      <c r="AA1542" s="32"/>
      <c r="AB1542" s="32"/>
      <c r="AC1542" s="32"/>
      <c r="AD1542" s="221"/>
    </row>
    <row r="1543" spans="18:30" x14ac:dyDescent="0.25">
      <c r="R1543" s="32"/>
      <c r="S1543" s="32"/>
      <c r="T1543" s="32"/>
      <c r="U1543" s="32"/>
      <c r="V1543" s="32"/>
      <c r="W1543" s="32"/>
      <c r="X1543" s="32"/>
      <c r="Y1543" s="32"/>
      <c r="Z1543" s="32"/>
      <c r="AA1543" s="32"/>
      <c r="AB1543" s="32"/>
      <c r="AC1543" s="32"/>
      <c r="AD1543" s="221"/>
    </row>
    <row r="1544" spans="18:30" x14ac:dyDescent="0.25">
      <c r="R1544" s="32"/>
      <c r="S1544" s="32"/>
      <c r="T1544" s="32"/>
      <c r="U1544" s="32"/>
      <c r="V1544" s="32"/>
      <c r="W1544" s="32"/>
      <c r="X1544" s="32"/>
      <c r="Y1544" s="32"/>
      <c r="Z1544" s="32"/>
      <c r="AA1544" s="32"/>
      <c r="AB1544" s="32"/>
      <c r="AC1544" s="32"/>
      <c r="AD1544" s="221"/>
    </row>
    <row r="1545" spans="18:30" x14ac:dyDescent="0.25">
      <c r="R1545" s="32"/>
      <c r="S1545" s="32"/>
      <c r="T1545" s="32"/>
      <c r="U1545" s="32"/>
      <c r="V1545" s="32"/>
      <c r="W1545" s="32"/>
      <c r="X1545" s="32"/>
      <c r="Y1545" s="32"/>
      <c r="Z1545" s="32"/>
      <c r="AA1545" s="32"/>
      <c r="AB1545" s="32"/>
      <c r="AC1545" s="32"/>
      <c r="AD1545" s="221"/>
    </row>
    <row r="1546" spans="18:30" x14ac:dyDescent="0.25">
      <c r="R1546" s="32"/>
      <c r="S1546" s="32"/>
      <c r="T1546" s="32"/>
      <c r="U1546" s="32"/>
      <c r="V1546" s="32"/>
      <c r="W1546" s="32"/>
      <c r="X1546" s="32"/>
      <c r="Y1546" s="32"/>
      <c r="Z1546" s="32"/>
      <c r="AA1546" s="32"/>
      <c r="AB1546" s="32"/>
      <c r="AC1546" s="32"/>
      <c r="AD1546" s="221"/>
    </row>
    <row r="1547" spans="18:30" x14ac:dyDescent="0.25">
      <c r="R1547" s="32"/>
      <c r="S1547" s="32"/>
      <c r="T1547" s="32"/>
      <c r="U1547" s="32"/>
      <c r="V1547" s="32"/>
      <c r="W1547" s="32"/>
      <c r="X1547" s="32"/>
      <c r="Y1547" s="32"/>
      <c r="Z1547" s="32"/>
      <c r="AA1547" s="32"/>
      <c r="AB1547" s="32"/>
      <c r="AC1547" s="32"/>
      <c r="AD1547" s="221"/>
    </row>
    <row r="1548" spans="18:30" x14ac:dyDescent="0.25">
      <c r="R1548" s="32"/>
      <c r="S1548" s="32"/>
      <c r="T1548" s="32"/>
      <c r="U1548" s="32"/>
      <c r="V1548" s="32"/>
      <c r="W1548" s="32"/>
      <c r="X1548" s="32"/>
      <c r="Y1548" s="32"/>
      <c r="Z1548" s="32"/>
      <c r="AA1548" s="32"/>
      <c r="AB1548" s="32"/>
      <c r="AC1548" s="32"/>
      <c r="AD1548" s="221"/>
    </row>
    <row r="1549" spans="18:30" x14ac:dyDescent="0.25">
      <c r="R1549" s="32"/>
      <c r="S1549" s="32"/>
      <c r="T1549" s="32"/>
      <c r="U1549" s="32"/>
      <c r="V1549" s="32"/>
      <c r="W1549" s="32"/>
      <c r="X1549" s="32"/>
      <c r="Y1549" s="32"/>
      <c r="Z1549" s="32"/>
      <c r="AA1549" s="32"/>
      <c r="AB1549" s="32"/>
      <c r="AC1549" s="32"/>
      <c r="AD1549" s="221"/>
    </row>
    <row r="1550" spans="18:30" x14ac:dyDescent="0.25">
      <c r="R1550" s="32"/>
      <c r="S1550" s="32"/>
      <c r="T1550" s="32"/>
      <c r="U1550" s="32"/>
      <c r="V1550" s="32"/>
      <c r="W1550" s="32"/>
      <c r="X1550" s="32"/>
      <c r="Y1550" s="32"/>
      <c r="Z1550" s="32"/>
      <c r="AA1550" s="32"/>
      <c r="AB1550" s="32"/>
      <c r="AC1550" s="32"/>
      <c r="AD1550" s="221"/>
    </row>
    <row r="1551" spans="18:30" x14ac:dyDescent="0.25">
      <c r="R1551" s="32"/>
      <c r="S1551" s="32"/>
      <c r="T1551" s="32"/>
      <c r="U1551" s="32"/>
      <c r="V1551" s="32"/>
      <c r="W1551" s="32"/>
      <c r="X1551" s="32"/>
      <c r="Y1551" s="32"/>
      <c r="Z1551" s="32"/>
      <c r="AA1551" s="32"/>
      <c r="AB1551" s="32"/>
      <c r="AC1551" s="32"/>
      <c r="AD1551" s="221"/>
    </row>
    <row r="1552" spans="18:30" x14ac:dyDescent="0.25">
      <c r="R1552" s="32"/>
      <c r="S1552" s="32"/>
      <c r="T1552" s="32"/>
      <c r="U1552" s="32"/>
      <c r="V1552" s="32"/>
      <c r="W1552" s="32"/>
      <c r="X1552" s="32"/>
      <c r="Y1552" s="32"/>
      <c r="Z1552" s="32"/>
      <c r="AA1552" s="32"/>
      <c r="AB1552" s="32"/>
      <c r="AC1552" s="32"/>
      <c r="AD1552" s="221"/>
    </row>
    <row r="1553" spans="18:30" x14ac:dyDescent="0.25">
      <c r="R1553" s="32"/>
      <c r="S1553" s="32"/>
      <c r="T1553" s="32"/>
      <c r="U1553" s="32"/>
      <c r="V1553" s="32"/>
      <c r="W1553" s="32"/>
      <c r="X1553" s="32"/>
      <c r="Y1553" s="32"/>
      <c r="Z1553" s="32"/>
      <c r="AA1553" s="32"/>
      <c r="AB1553" s="32"/>
      <c r="AC1553" s="32"/>
      <c r="AD1553" s="221"/>
    </row>
    <row r="1554" spans="18:30" x14ac:dyDescent="0.25">
      <c r="R1554" s="32"/>
      <c r="S1554" s="32"/>
      <c r="T1554" s="32"/>
      <c r="U1554" s="32"/>
      <c r="V1554" s="32"/>
      <c r="W1554" s="32"/>
      <c r="X1554" s="32"/>
      <c r="Y1554" s="32"/>
      <c r="Z1554" s="32"/>
      <c r="AA1554" s="32"/>
      <c r="AB1554" s="32"/>
      <c r="AC1554" s="32"/>
      <c r="AD1554" s="221"/>
    </row>
    <row r="1555" spans="18:30" x14ac:dyDescent="0.25">
      <c r="R1555" s="32"/>
      <c r="S1555" s="32"/>
      <c r="T1555" s="32"/>
      <c r="U1555" s="32"/>
      <c r="V1555" s="32"/>
      <c r="W1555" s="32"/>
      <c r="X1555" s="32"/>
      <c r="Y1555" s="32"/>
      <c r="Z1555" s="32"/>
      <c r="AA1555" s="32"/>
      <c r="AB1555" s="32"/>
      <c r="AC1555" s="32"/>
      <c r="AD1555" s="221"/>
    </row>
    <row r="1556" spans="18:30" x14ac:dyDescent="0.25">
      <c r="R1556" s="32"/>
      <c r="S1556" s="32"/>
      <c r="T1556" s="32"/>
      <c r="U1556" s="32"/>
      <c r="V1556" s="32"/>
      <c r="W1556" s="32"/>
      <c r="X1556" s="32"/>
      <c r="Y1556" s="32"/>
      <c r="Z1556" s="32"/>
      <c r="AA1556" s="32"/>
      <c r="AB1556" s="32"/>
      <c r="AC1556" s="32"/>
      <c r="AD1556" s="221"/>
    </row>
    <row r="1557" spans="18:30" x14ac:dyDescent="0.25">
      <c r="R1557" s="32"/>
      <c r="S1557" s="32"/>
      <c r="T1557" s="32"/>
      <c r="U1557" s="32"/>
      <c r="V1557" s="32"/>
      <c r="W1557" s="32"/>
      <c r="X1557" s="32"/>
      <c r="Y1557" s="32"/>
      <c r="Z1557" s="32"/>
      <c r="AA1557" s="32"/>
      <c r="AB1557" s="32"/>
      <c r="AC1557" s="32"/>
      <c r="AD1557" s="221"/>
    </row>
    <row r="1558" spans="18:30" x14ac:dyDescent="0.25">
      <c r="R1558" s="32"/>
      <c r="S1558" s="32"/>
      <c r="T1558" s="32"/>
      <c r="U1558" s="32"/>
      <c r="V1558" s="32"/>
      <c r="W1558" s="32"/>
      <c r="X1558" s="32"/>
      <c r="Y1558" s="32"/>
      <c r="Z1558" s="32"/>
      <c r="AA1558" s="32"/>
      <c r="AB1558" s="32"/>
      <c r="AC1558" s="32"/>
      <c r="AD1558" s="221"/>
    </row>
    <row r="1559" spans="18:30" x14ac:dyDescent="0.25">
      <c r="R1559" s="32"/>
      <c r="S1559" s="32"/>
      <c r="T1559" s="32"/>
      <c r="U1559" s="32"/>
      <c r="V1559" s="32"/>
      <c r="W1559" s="32"/>
      <c r="X1559" s="32"/>
      <c r="Y1559" s="32"/>
      <c r="Z1559" s="32"/>
      <c r="AA1559" s="32"/>
      <c r="AB1559" s="32"/>
      <c r="AC1559" s="32"/>
      <c r="AD1559" s="221"/>
    </row>
    <row r="1560" spans="18:30" x14ac:dyDescent="0.25">
      <c r="R1560" s="32"/>
      <c r="S1560" s="32"/>
      <c r="T1560" s="32"/>
      <c r="U1560" s="32"/>
      <c r="V1560" s="32"/>
      <c r="W1560" s="32"/>
      <c r="X1560" s="32"/>
      <c r="Y1560" s="32"/>
      <c r="Z1560" s="32"/>
      <c r="AA1560" s="32"/>
      <c r="AB1560" s="32"/>
      <c r="AC1560" s="32"/>
      <c r="AD1560" s="221"/>
    </row>
    <row r="1561" spans="18:30" x14ac:dyDescent="0.25">
      <c r="R1561" s="32"/>
      <c r="S1561" s="32"/>
      <c r="T1561" s="32"/>
      <c r="U1561" s="32"/>
      <c r="V1561" s="32"/>
      <c r="W1561" s="32"/>
      <c r="X1561" s="32"/>
      <c r="Y1561" s="32"/>
      <c r="Z1561" s="32"/>
      <c r="AA1561" s="32"/>
      <c r="AB1561" s="32"/>
      <c r="AC1561" s="32"/>
      <c r="AD1561" s="221"/>
    </row>
    <row r="1562" spans="18:30" x14ac:dyDescent="0.25">
      <c r="R1562" s="32"/>
      <c r="S1562" s="32"/>
      <c r="T1562" s="32"/>
      <c r="U1562" s="32"/>
      <c r="V1562" s="32"/>
      <c r="W1562" s="32"/>
      <c r="X1562" s="32"/>
      <c r="Y1562" s="32"/>
      <c r="Z1562" s="32"/>
      <c r="AA1562" s="32"/>
      <c r="AB1562" s="32"/>
      <c r="AC1562" s="32"/>
      <c r="AD1562" s="221"/>
    </row>
    <row r="1563" spans="18:30" x14ac:dyDescent="0.25">
      <c r="R1563" s="32"/>
      <c r="S1563" s="32"/>
      <c r="T1563" s="32"/>
      <c r="U1563" s="32"/>
      <c r="V1563" s="32"/>
      <c r="W1563" s="32"/>
      <c r="X1563" s="32"/>
      <c r="Y1563" s="32"/>
      <c r="Z1563" s="32"/>
      <c r="AA1563" s="32"/>
      <c r="AB1563" s="32"/>
      <c r="AC1563" s="32"/>
      <c r="AD1563" s="221"/>
    </row>
    <row r="1564" spans="18:30" x14ac:dyDescent="0.25">
      <c r="R1564" s="32"/>
      <c r="S1564" s="32"/>
      <c r="T1564" s="32"/>
      <c r="U1564" s="32"/>
      <c r="V1564" s="32"/>
      <c r="W1564" s="32"/>
      <c r="X1564" s="32"/>
      <c r="Y1564" s="32"/>
      <c r="Z1564" s="32"/>
      <c r="AA1564" s="32"/>
      <c r="AB1564" s="32"/>
      <c r="AC1564" s="32"/>
      <c r="AD1564" s="221"/>
    </row>
    <row r="1565" spans="18:30" x14ac:dyDescent="0.25">
      <c r="R1565" s="32"/>
      <c r="S1565" s="32"/>
      <c r="T1565" s="32"/>
      <c r="U1565" s="32"/>
      <c r="V1565" s="32"/>
      <c r="W1565" s="32"/>
      <c r="X1565" s="32"/>
      <c r="Y1565" s="32"/>
      <c r="Z1565" s="32"/>
      <c r="AA1565" s="32"/>
      <c r="AB1565" s="32"/>
      <c r="AC1565" s="32"/>
      <c r="AD1565" s="221"/>
    </row>
    <row r="1566" spans="18:30" x14ac:dyDescent="0.25">
      <c r="R1566" s="32"/>
      <c r="S1566" s="32"/>
      <c r="T1566" s="32"/>
      <c r="U1566" s="32"/>
      <c r="V1566" s="32"/>
      <c r="W1566" s="32"/>
      <c r="X1566" s="32"/>
      <c r="Y1566" s="32"/>
      <c r="Z1566" s="32"/>
      <c r="AA1566" s="32"/>
      <c r="AB1566" s="32"/>
      <c r="AC1566" s="32"/>
      <c r="AD1566" s="221"/>
    </row>
    <row r="1567" spans="18:30" x14ac:dyDescent="0.25">
      <c r="R1567" s="32"/>
      <c r="S1567" s="32"/>
      <c r="T1567" s="32"/>
      <c r="U1567" s="32"/>
      <c r="V1567" s="32"/>
      <c r="W1567" s="32"/>
      <c r="X1567" s="32"/>
      <c r="Y1567" s="32"/>
      <c r="Z1567" s="32"/>
      <c r="AA1567" s="32"/>
      <c r="AB1567" s="32"/>
      <c r="AC1567" s="32"/>
      <c r="AD1567" s="221"/>
    </row>
    <row r="1568" spans="18:30" x14ac:dyDescent="0.25">
      <c r="R1568" s="32"/>
      <c r="S1568" s="32"/>
      <c r="T1568" s="32"/>
      <c r="U1568" s="32"/>
      <c r="V1568" s="32"/>
      <c r="W1568" s="32"/>
      <c r="X1568" s="32"/>
      <c r="Y1568" s="32"/>
      <c r="Z1568" s="32"/>
      <c r="AA1568" s="32"/>
      <c r="AB1568" s="32"/>
      <c r="AC1568" s="32"/>
      <c r="AD1568" s="221"/>
    </row>
    <row r="1569" spans="18:30" x14ac:dyDescent="0.25">
      <c r="R1569" s="32"/>
      <c r="S1569" s="32"/>
      <c r="T1569" s="32"/>
      <c r="U1569" s="32"/>
      <c r="V1569" s="32"/>
      <c r="W1569" s="32"/>
      <c r="X1569" s="32"/>
      <c r="Y1569" s="32"/>
      <c r="Z1569" s="32"/>
      <c r="AA1569" s="32"/>
      <c r="AB1569" s="32"/>
      <c r="AC1569" s="32"/>
      <c r="AD1569" s="221"/>
    </row>
    <row r="1570" spans="18:30" x14ac:dyDescent="0.25">
      <c r="R1570" s="32"/>
      <c r="S1570" s="32"/>
      <c r="T1570" s="32"/>
      <c r="U1570" s="32"/>
      <c r="V1570" s="32"/>
      <c r="W1570" s="32"/>
      <c r="X1570" s="32"/>
      <c r="Y1570" s="32"/>
      <c r="Z1570" s="32"/>
      <c r="AA1570" s="32"/>
      <c r="AB1570" s="32"/>
      <c r="AC1570" s="32"/>
      <c r="AD1570" s="221"/>
    </row>
    <row r="1571" spans="18:30" x14ac:dyDescent="0.25">
      <c r="R1571" s="32"/>
      <c r="S1571" s="32"/>
      <c r="T1571" s="32"/>
      <c r="U1571" s="32"/>
      <c r="V1571" s="32"/>
      <c r="W1571" s="32"/>
      <c r="X1571" s="32"/>
      <c r="Y1571" s="32"/>
      <c r="Z1571" s="32"/>
      <c r="AA1571" s="32"/>
      <c r="AB1571" s="32"/>
      <c r="AC1571" s="32"/>
      <c r="AD1571" s="221"/>
    </row>
    <row r="1572" spans="18:30" x14ac:dyDescent="0.25">
      <c r="R1572" s="32"/>
      <c r="S1572" s="32"/>
      <c r="T1572" s="32"/>
      <c r="U1572" s="32"/>
      <c r="V1572" s="32"/>
      <c r="W1572" s="32"/>
      <c r="X1572" s="32"/>
      <c r="Y1572" s="32"/>
      <c r="Z1572" s="32"/>
      <c r="AA1572" s="32"/>
      <c r="AB1572" s="32"/>
      <c r="AC1572" s="32"/>
      <c r="AD1572" s="221"/>
    </row>
    <row r="1573" spans="18:30" x14ac:dyDescent="0.25">
      <c r="R1573" s="32"/>
      <c r="S1573" s="32"/>
      <c r="T1573" s="32"/>
      <c r="U1573" s="32"/>
      <c r="V1573" s="32"/>
      <c r="W1573" s="32"/>
      <c r="X1573" s="32"/>
      <c r="Y1573" s="32"/>
      <c r="Z1573" s="32"/>
      <c r="AA1573" s="32"/>
      <c r="AB1573" s="32"/>
      <c r="AC1573" s="32"/>
      <c r="AD1573" s="221"/>
    </row>
    <row r="1574" spans="18:30" x14ac:dyDescent="0.25">
      <c r="R1574" s="32"/>
      <c r="S1574" s="32"/>
      <c r="T1574" s="32"/>
      <c r="U1574" s="32"/>
      <c r="V1574" s="32"/>
      <c r="W1574" s="32"/>
      <c r="X1574" s="32"/>
      <c r="Y1574" s="32"/>
      <c r="Z1574" s="32"/>
      <c r="AA1574" s="32"/>
      <c r="AB1574" s="32"/>
      <c r="AC1574" s="32"/>
      <c r="AD1574" s="221"/>
    </row>
    <row r="1575" spans="18:30" x14ac:dyDescent="0.25">
      <c r="R1575" s="32"/>
      <c r="S1575" s="32"/>
      <c r="T1575" s="32"/>
      <c r="U1575" s="32"/>
      <c r="V1575" s="32"/>
      <c r="W1575" s="32"/>
      <c r="X1575" s="32"/>
      <c r="Y1575" s="32"/>
      <c r="Z1575" s="32"/>
      <c r="AA1575" s="32"/>
      <c r="AB1575" s="32"/>
      <c r="AC1575" s="32"/>
      <c r="AD1575" s="221"/>
    </row>
    <row r="1576" spans="18:30" x14ac:dyDescent="0.25">
      <c r="R1576" s="32"/>
      <c r="S1576" s="32"/>
      <c r="T1576" s="32"/>
      <c r="U1576" s="32"/>
      <c r="V1576" s="32"/>
      <c r="W1576" s="32"/>
      <c r="X1576" s="32"/>
      <c r="Y1576" s="32"/>
      <c r="Z1576" s="32"/>
      <c r="AA1576" s="32"/>
      <c r="AB1576" s="32"/>
      <c r="AC1576" s="32"/>
      <c r="AD1576" s="221"/>
    </row>
    <row r="1577" spans="18:30" x14ac:dyDescent="0.25">
      <c r="R1577" s="32"/>
      <c r="S1577" s="32"/>
      <c r="T1577" s="32"/>
      <c r="U1577" s="32"/>
      <c r="V1577" s="32"/>
      <c r="W1577" s="32"/>
      <c r="X1577" s="32"/>
      <c r="Y1577" s="32"/>
      <c r="Z1577" s="32"/>
      <c r="AA1577" s="32"/>
      <c r="AB1577" s="32"/>
      <c r="AC1577" s="32"/>
      <c r="AD1577" s="221"/>
    </row>
    <row r="1578" spans="18:30" x14ac:dyDescent="0.25">
      <c r="R1578" s="32"/>
      <c r="S1578" s="32"/>
      <c r="T1578" s="32"/>
      <c r="U1578" s="32"/>
      <c r="V1578" s="32"/>
      <c r="W1578" s="32"/>
      <c r="X1578" s="32"/>
      <c r="Y1578" s="32"/>
      <c r="Z1578" s="32"/>
      <c r="AA1578" s="32"/>
      <c r="AB1578" s="32"/>
      <c r="AC1578" s="32"/>
      <c r="AD1578" s="221"/>
    </row>
    <row r="1579" spans="18:30" x14ac:dyDescent="0.25">
      <c r="R1579" s="32"/>
      <c r="S1579" s="32"/>
      <c r="T1579" s="32"/>
      <c r="U1579" s="32"/>
      <c r="V1579" s="32"/>
      <c r="W1579" s="32"/>
      <c r="X1579" s="32"/>
      <c r="Y1579" s="32"/>
      <c r="Z1579" s="32"/>
      <c r="AA1579" s="32"/>
      <c r="AB1579" s="32"/>
      <c r="AC1579" s="32"/>
      <c r="AD1579" s="221"/>
    </row>
    <row r="1580" spans="18:30" x14ac:dyDescent="0.25">
      <c r="R1580" s="32"/>
      <c r="S1580" s="32"/>
      <c r="T1580" s="32"/>
      <c r="U1580" s="32"/>
      <c r="V1580" s="32"/>
      <c r="W1580" s="32"/>
      <c r="X1580" s="32"/>
      <c r="Y1580" s="32"/>
      <c r="Z1580" s="32"/>
      <c r="AA1580" s="32"/>
      <c r="AB1580" s="32"/>
      <c r="AC1580" s="32"/>
      <c r="AD1580" s="221"/>
    </row>
    <row r="1581" spans="18:30" x14ac:dyDescent="0.25">
      <c r="R1581" s="32"/>
      <c r="S1581" s="32"/>
      <c r="T1581" s="32"/>
      <c r="U1581" s="32"/>
      <c r="V1581" s="32"/>
      <c r="W1581" s="32"/>
      <c r="X1581" s="32"/>
      <c r="Y1581" s="32"/>
      <c r="Z1581" s="32"/>
      <c r="AA1581" s="32"/>
      <c r="AB1581" s="32"/>
      <c r="AC1581" s="32"/>
      <c r="AD1581" s="221"/>
    </row>
    <row r="1582" spans="18:30" x14ac:dyDescent="0.25">
      <c r="R1582" s="32"/>
      <c r="S1582" s="32"/>
      <c r="T1582" s="32"/>
      <c r="U1582" s="32"/>
      <c r="V1582" s="32"/>
      <c r="W1582" s="32"/>
      <c r="X1582" s="32"/>
      <c r="Y1582" s="32"/>
      <c r="Z1582" s="32"/>
      <c r="AA1582" s="32"/>
      <c r="AB1582" s="32"/>
      <c r="AC1582" s="32"/>
      <c r="AD1582" s="221"/>
    </row>
    <row r="1583" spans="18:30" x14ac:dyDescent="0.25">
      <c r="R1583" s="32"/>
      <c r="S1583" s="32"/>
      <c r="T1583" s="32"/>
      <c r="U1583" s="32"/>
      <c r="V1583" s="32"/>
      <c r="W1583" s="32"/>
      <c r="X1583" s="32"/>
      <c r="Y1583" s="32"/>
      <c r="Z1583" s="32"/>
      <c r="AA1583" s="32"/>
      <c r="AB1583" s="32"/>
      <c r="AC1583" s="32"/>
      <c r="AD1583" s="221"/>
    </row>
    <row r="1584" spans="18:30" x14ac:dyDescent="0.25">
      <c r="R1584" s="32"/>
      <c r="S1584" s="32"/>
      <c r="T1584" s="32"/>
      <c r="U1584" s="32"/>
      <c r="V1584" s="32"/>
      <c r="W1584" s="32"/>
      <c r="X1584" s="32"/>
      <c r="Y1584" s="32"/>
      <c r="Z1584" s="32"/>
      <c r="AA1584" s="32"/>
      <c r="AB1584" s="32"/>
      <c r="AC1584" s="32"/>
      <c r="AD1584" s="221"/>
    </row>
    <row r="1585" spans="18:30" x14ac:dyDescent="0.25">
      <c r="R1585" s="32"/>
      <c r="S1585" s="32"/>
      <c r="T1585" s="32"/>
      <c r="U1585" s="32"/>
      <c r="V1585" s="32"/>
      <c r="W1585" s="32"/>
      <c r="X1585" s="32"/>
      <c r="Y1585" s="32"/>
      <c r="Z1585" s="32"/>
      <c r="AA1585" s="32"/>
      <c r="AB1585" s="32"/>
      <c r="AC1585" s="32"/>
      <c r="AD1585" s="221"/>
    </row>
    <row r="1586" spans="18:30" x14ac:dyDescent="0.25">
      <c r="R1586" s="32"/>
      <c r="S1586" s="32"/>
      <c r="T1586" s="32"/>
      <c r="U1586" s="32"/>
      <c r="V1586" s="32"/>
      <c r="W1586" s="32"/>
      <c r="X1586" s="32"/>
      <c r="Y1586" s="32"/>
      <c r="Z1586" s="32"/>
      <c r="AA1586" s="32"/>
      <c r="AB1586" s="32"/>
      <c r="AC1586" s="32"/>
      <c r="AD1586" s="221"/>
    </row>
    <row r="1587" spans="18:30" x14ac:dyDescent="0.25">
      <c r="R1587" s="32"/>
      <c r="S1587" s="32"/>
      <c r="T1587" s="32"/>
      <c r="U1587" s="32"/>
      <c r="V1587" s="32"/>
      <c r="W1587" s="32"/>
      <c r="X1587" s="32"/>
      <c r="Y1587" s="32"/>
      <c r="Z1587" s="32"/>
      <c r="AA1587" s="32"/>
      <c r="AB1587" s="32"/>
      <c r="AC1587" s="32"/>
      <c r="AD1587" s="221"/>
    </row>
    <row r="1588" spans="18:30" x14ac:dyDescent="0.25">
      <c r="R1588" s="32"/>
      <c r="S1588" s="32"/>
      <c r="T1588" s="32"/>
      <c r="U1588" s="32"/>
      <c r="V1588" s="32"/>
      <c r="W1588" s="32"/>
      <c r="X1588" s="32"/>
      <c r="Y1588" s="32"/>
      <c r="Z1588" s="32"/>
      <c r="AA1588" s="32"/>
      <c r="AB1588" s="32"/>
      <c r="AC1588" s="32"/>
      <c r="AD1588" s="221"/>
    </row>
    <row r="1589" spans="18:30" x14ac:dyDescent="0.25">
      <c r="R1589" s="32"/>
      <c r="S1589" s="32"/>
      <c r="T1589" s="32"/>
      <c r="U1589" s="32"/>
      <c r="V1589" s="32"/>
      <c r="W1589" s="32"/>
      <c r="X1589" s="32"/>
      <c r="Y1589" s="32"/>
      <c r="Z1589" s="32"/>
      <c r="AA1589" s="32"/>
      <c r="AB1589" s="32"/>
      <c r="AC1589" s="32"/>
      <c r="AD1589" s="221"/>
    </row>
    <row r="1590" spans="18:30" x14ac:dyDescent="0.25">
      <c r="R1590" s="32"/>
      <c r="S1590" s="32"/>
      <c r="T1590" s="32"/>
      <c r="U1590" s="32"/>
      <c r="V1590" s="32"/>
      <c r="W1590" s="32"/>
      <c r="X1590" s="32"/>
      <c r="Y1590" s="32"/>
      <c r="Z1590" s="32"/>
      <c r="AA1590" s="32"/>
      <c r="AB1590" s="32"/>
      <c r="AC1590" s="32"/>
      <c r="AD1590" s="221"/>
    </row>
    <row r="1591" spans="18:30" x14ac:dyDescent="0.25">
      <c r="R1591" s="32"/>
      <c r="S1591" s="32"/>
      <c r="T1591" s="32"/>
      <c r="U1591" s="32"/>
      <c r="V1591" s="32"/>
      <c r="W1591" s="32"/>
      <c r="X1591" s="32"/>
      <c r="Y1591" s="32"/>
      <c r="Z1591" s="32"/>
      <c r="AA1591" s="32"/>
      <c r="AB1591" s="32"/>
      <c r="AC1591" s="32"/>
      <c r="AD1591" s="221"/>
    </row>
    <row r="1592" spans="18:30" x14ac:dyDescent="0.25">
      <c r="R1592" s="32"/>
      <c r="S1592" s="32"/>
      <c r="T1592" s="32"/>
      <c r="U1592" s="32"/>
      <c r="V1592" s="32"/>
      <c r="W1592" s="32"/>
      <c r="X1592" s="32"/>
      <c r="Y1592" s="32"/>
      <c r="Z1592" s="32"/>
      <c r="AA1592" s="32"/>
      <c r="AB1592" s="32"/>
      <c r="AC1592" s="32"/>
      <c r="AD1592" s="221"/>
    </row>
    <row r="1593" spans="18:30" x14ac:dyDescent="0.25">
      <c r="R1593" s="32"/>
      <c r="S1593" s="32"/>
      <c r="T1593" s="32"/>
      <c r="U1593" s="32"/>
      <c r="V1593" s="32"/>
      <c r="W1593" s="32"/>
      <c r="X1593" s="32"/>
      <c r="Y1593" s="32"/>
      <c r="Z1593" s="32"/>
      <c r="AA1593" s="32"/>
      <c r="AB1593" s="32"/>
      <c r="AC1593" s="32"/>
      <c r="AD1593" s="221"/>
    </row>
    <row r="1594" spans="18:30" x14ac:dyDescent="0.25">
      <c r="R1594" s="32"/>
      <c r="S1594" s="32"/>
      <c r="T1594" s="32"/>
      <c r="U1594" s="32"/>
      <c r="V1594" s="32"/>
      <c r="W1594" s="32"/>
      <c r="X1594" s="32"/>
      <c r="Y1594" s="32"/>
      <c r="Z1594" s="32"/>
      <c r="AA1594" s="32"/>
      <c r="AB1594" s="32"/>
      <c r="AC1594" s="32"/>
      <c r="AD1594" s="221"/>
    </row>
    <row r="1595" spans="18:30" x14ac:dyDescent="0.25">
      <c r="R1595" s="32"/>
      <c r="S1595" s="32"/>
      <c r="T1595" s="32"/>
      <c r="U1595" s="32"/>
      <c r="V1595" s="32"/>
      <c r="W1595" s="32"/>
      <c r="X1595" s="32"/>
      <c r="Y1595" s="32"/>
      <c r="Z1595" s="32"/>
      <c r="AA1595" s="32"/>
      <c r="AB1595" s="32"/>
      <c r="AC1595" s="32"/>
      <c r="AD1595" s="221"/>
    </row>
    <row r="1596" spans="18:30" x14ac:dyDescent="0.25">
      <c r="R1596" s="32"/>
      <c r="S1596" s="32"/>
      <c r="T1596" s="32"/>
      <c r="U1596" s="32"/>
      <c r="V1596" s="32"/>
      <c r="W1596" s="32"/>
      <c r="X1596" s="32"/>
      <c r="Y1596" s="32"/>
      <c r="Z1596" s="32"/>
      <c r="AA1596" s="32"/>
      <c r="AB1596" s="32"/>
      <c r="AC1596" s="32"/>
      <c r="AD1596" s="221"/>
    </row>
    <row r="1597" spans="18:30" x14ac:dyDescent="0.25">
      <c r="R1597" s="32"/>
      <c r="S1597" s="32"/>
      <c r="T1597" s="32"/>
      <c r="U1597" s="32"/>
      <c r="V1597" s="32"/>
      <c r="W1597" s="32"/>
      <c r="X1597" s="32"/>
      <c r="Y1597" s="32"/>
      <c r="Z1597" s="32"/>
      <c r="AA1597" s="32"/>
      <c r="AB1597" s="32"/>
      <c r="AC1597" s="32"/>
      <c r="AD1597" s="221"/>
    </row>
    <row r="1598" spans="18:30" x14ac:dyDescent="0.25">
      <c r="R1598" s="32"/>
      <c r="S1598" s="32"/>
      <c r="T1598" s="32"/>
      <c r="U1598" s="32"/>
      <c r="V1598" s="32"/>
      <c r="W1598" s="32"/>
      <c r="X1598" s="32"/>
      <c r="Y1598" s="32"/>
      <c r="Z1598" s="32"/>
      <c r="AA1598" s="32"/>
      <c r="AB1598" s="32"/>
      <c r="AC1598" s="32"/>
      <c r="AD1598" s="221"/>
    </row>
    <row r="1599" spans="18:30" x14ac:dyDescent="0.25">
      <c r="R1599" s="32"/>
      <c r="S1599" s="32"/>
      <c r="T1599" s="32"/>
      <c r="U1599" s="32"/>
      <c r="V1599" s="32"/>
      <c r="W1599" s="32"/>
      <c r="X1599" s="32"/>
      <c r="Y1599" s="32"/>
      <c r="Z1599" s="32"/>
      <c r="AA1599" s="32"/>
      <c r="AB1599" s="32"/>
      <c r="AC1599" s="32"/>
      <c r="AD1599" s="221"/>
    </row>
    <row r="1600" spans="18:30" x14ac:dyDescent="0.25">
      <c r="R1600" s="32"/>
      <c r="S1600" s="32"/>
      <c r="T1600" s="32"/>
      <c r="U1600" s="32"/>
      <c r="V1600" s="32"/>
      <c r="W1600" s="32"/>
      <c r="X1600" s="32"/>
      <c r="Y1600" s="32"/>
      <c r="Z1600" s="32"/>
      <c r="AA1600" s="32"/>
      <c r="AB1600" s="32"/>
      <c r="AC1600" s="32"/>
      <c r="AD1600" s="221"/>
    </row>
    <row r="1601" spans="18:30" x14ac:dyDescent="0.25">
      <c r="R1601" s="32"/>
      <c r="S1601" s="32"/>
      <c r="T1601" s="32"/>
      <c r="U1601" s="32"/>
      <c r="V1601" s="32"/>
      <c r="W1601" s="32"/>
      <c r="X1601" s="32"/>
      <c r="Y1601" s="32"/>
      <c r="Z1601" s="32"/>
      <c r="AA1601" s="32"/>
      <c r="AB1601" s="32"/>
      <c r="AC1601" s="32"/>
      <c r="AD1601" s="221"/>
    </row>
    <row r="1602" spans="18:30" x14ac:dyDescent="0.25">
      <c r="R1602" s="32"/>
      <c r="S1602" s="32"/>
      <c r="T1602" s="32"/>
      <c r="U1602" s="32"/>
      <c r="V1602" s="32"/>
      <c r="W1602" s="32"/>
      <c r="X1602" s="32"/>
      <c r="Y1602" s="32"/>
      <c r="Z1602" s="32"/>
      <c r="AA1602" s="32"/>
      <c r="AB1602" s="32"/>
      <c r="AC1602" s="32"/>
      <c r="AD1602" s="221"/>
    </row>
    <row r="1603" spans="18:30" x14ac:dyDescent="0.25">
      <c r="R1603" s="32"/>
      <c r="S1603" s="32"/>
      <c r="T1603" s="32"/>
      <c r="U1603" s="32"/>
      <c r="V1603" s="32"/>
      <c r="W1603" s="32"/>
      <c r="X1603" s="32"/>
      <c r="Y1603" s="32"/>
      <c r="Z1603" s="32"/>
      <c r="AA1603" s="32"/>
      <c r="AB1603" s="32"/>
      <c r="AC1603" s="32"/>
      <c r="AD1603" s="221"/>
    </row>
    <row r="1604" spans="18:30" x14ac:dyDescent="0.25">
      <c r="R1604" s="32"/>
      <c r="S1604" s="32"/>
      <c r="T1604" s="32"/>
      <c r="U1604" s="32"/>
      <c r="V1604" s="32"/>
      <c r="W1604" s="32"/>
      <c r="X1604" s="32"/>
      <c r="Y1604" s="32"/>
      <c r="Z1604" s="32"/>
      <c r="AA1604" s="32"/>
      <c r="AB1604" s="32"/>
      <c r="AC1604" s="32"/>
      <c r="AD1604" s="221"/>
    </row>
    <row r="1605" spans="18:30" x14ac:dyDescent="0.25">
      <c r="R1605" s="32"/>
      <c r="S1605" s="32"/>
      <c r="T1605" s="32"/>
      <c r="U1605" s="32"/>
      <c r="V1605" s="32"/>
      <c r="W1605" s="32"/>
      <c r="X1605" s="32"/>
      <c r="Y1605" s="32"/>
      <c r="Z1605" s="32"/>
      <c r="AA1605" s="32"/>
      <c r="AB1605" s="32"/>
      <c r="AC1605" s="32"/>
      <c r="AD1605" s="221"/>
    </row>
    <row r="1606" spans="18:30" x14ac:dyDescent="0.25">
      <c r="R1606" s="32"/>
      <c r="S1606" s="32"/>
      <c r="T1606" s="32"/>
      <c r="U1606" s="32"/>
      <c r="V1606" s="32"/>
      <c r="W1606" s="32"/>
      <c r="X1606" s="32"/>
      <c r="Y1606" s="32"/>
      <c r="Z1606" s="32"/>
      <c r="AA1606" s="32"/>
      <c r="AB1606" s="32"/>
      <c r="AC1606" s="32"/>
      <c r="AD1606" s="221"/>
    </row>
    <row r="1607" spans="18:30" x14ac:dyDescent="0.25">
      <c r="R1607" s="32"/>
      <c r="S1607" s="32"/>
      <c r="T1607" s="32"/>
      <c r="U1607" s="32"/>
      <c r="V1607" s="32"/>
      <c r="W1607" s="32"/>
      <c r="X1607" s="32"/>
      <c r="Y1607" s="32"/>
      <c r="Z1607" s="32"/>
      <c r="AA1607" s="32"/>
      <c r="AB1607" s="32"/>
      <c r="AC1607" s="32"/>
      <c r="AD1607" s="221"/>
    </row>
    <row r="1608" spans="18:30" x14ac:dyDescent="0.25">
      <c r="R1608" s="32"/>
      <c r="S1608" s="32"/>
      <c r="T1608" s="32"/>
      <c r="U1608" s="32"/>
      <c r="V1608" s="32"/>
      <c r="W1608" s="32"/>
      <c r="X1608" s="32"/>
      <c r="Y1608" s="32"/>
      <c r="Z1608" s="32"/>
      <c r="AA1608" s="32"/>
      <c r="AB1608" s="32"/>
      <c r="AC1608" s="32"/>
      <c r="AD1608" s="221"/>
    </row>
    <row r="1609" spans="18:30" x14ac:dyDescent="0.25">
      <c r="R1609" s="32"/>
      <c r="S1609" s="32"/>
      <c r="T1609" s="32"/>
      <c r="U1609" s="32"/>
      <c r="V1609" s="32"/>
      <c r="W1609" s="32"/>
      <c r="X1609" s="32"/>
      <c r="Y1609" s="32"/>
      <c r="Z1609" s="32"/>
      <c r="AA1609" s="32"/>
      <c r="AB1609" s="32"/>
      <c r="AC1609" s="32"/>
      <c r="AD1609" s="221"/>
    </row>
    <row r="1610" spans="18:30" x14ac:dyDescent="0.25">
      <c r="R1610" s="32"/>
      <c r="S1610" s="32"/>
      <c r="T1610" s="32"/>
      <c r="U1610" s="32"/>
      <c r="V1610" s="32"/>
      <c r="W1610" s="32"/>
      <c r="X1610" s="32"/>
      <c r="Y1610" s="32"/>
      <c r="Z1610" s="32"/>
      <c r="AA1610" s="32"/>
      <c r="AB1610" s="32"/>
      <c r="AC1610" s="32"/>
      <c r="AD1610" s="221"/>
    </row>
    <row r="1611" spans="18:30" x14ac:dyDescent="0.25">
      <c r="R1611" s="32"/>
      <c r="S1611" s="32"/>
      <c r="T1611" s="32"/>
      <c r="U1611" s="32"/>
      <c r="V1611" s="32"/>
      <c r="W1611" s="32"/>
      <c r="X1611" s="32"/>
      <c r="Y1611" s="32"/>
      <c r="Z1611" s="32"/>
      <c r="AA1611" s="32"/>
      <c r="AB1611" s="32"/>
      <c r="AC1611" s="32"/>
      <c r="AD1611" s="221"/>
    </row>
    <row r="1612" spans="18:30" x14ac:dyDescent="0.25">
      <c r="R1612" s="32"/>
      <c r="S1612" s="32"/>
      <c r="T1612" s="32"/>
      <c r="U1612" s="32"/>
      <c r="V1612" s="32"/>
      <c r="W1612" s="32"/>
      <c r="X1612" s="32"/>
      <c r="Y1612" s="32"/>
      <c r="Z1612" s="32"/>
      <c r="AA1612" s="32"/>
      <c r="AB1612" s="32"/>
      <c r="AC1612" s="32"/>
      <c r="AD1612" s="221"/>
    </row>
    <row r="1613" spans="18:30" x14ac:dyDescent="0.25">
      <c r="R1613" s="32"/>
      <c r="S1613" s="32"/>
      <c r="T1613" s="32"/>
      <c r="U1613" s="32"/>
      <c r="V1613" s="32"/>
      <c r="W1613" s="32"/>
      <c r="X1613" s="32"/>
      <c r="Y1613" s="32"/>
      <c r="Z1613" s="32"/>
      <c r="AA1613" s="32"/>
      <c r="AB1613" s="32"/>
      <c r="AC1613" s="32"/>
      <c r="AD1613" s="221"/>
    </row>
    <row r="1614" spans="18:30" x14ac:dyDescent="0.25">
      <c r="R1614" s="32"/>
      <c r="S1614" s="32"/>
      <c r="T1614" s="32"/>
      <c r="U1614" s="32"/>
      <c r="V1614" s="32"/>
      <c r="W1614" s="32"/>
      <c r="X1614" s="32"/>
      <c r="Y1614" s="32"/>
      <c r="Z1614" s="32"/>
      <c r="AA1614" s="32"/>
      <c r="AB1614" s="32"/>
      <c r="AC1614" s="32"/>
      <c r="AD1614" s="221"/>
    </row>
    <row r="1615" spans="18:30" x14ac:dyDescent="0.25">
      <c r="R1615" s="32"/>
      <c r="S1615" s="32"/>
      <c r="T1615" s="32"/>
      <c r="U1615" s="32"/>
      <c r="V1615" s="32"/>
      <c r="W1615" s="32"/>
      <c r="X1615" s="32"/>
      <c r="Y1615" s="32"/>
      <c r="Z1615" s="32"/>
      <c r="AA1615" s="32"/>
      <c r="AB1615" s="32"/>
      <c r="AC1615" s="32"/>
      <c r="AD1615" s="221"/>
    </row>
    <row r="1616" spans="18:30" x14ac:dyDescent="0.25">
      <c r="R1616" s="32"/>
      <c r="S1616" s="32"/>
      <c r="T1616" s="32"/>
      <c r="U1616" s="32"/>
      <c r="V1616" s="32"/>
      <c r="W1616" s="32"/>
      <c r="X1616" s="32"/>
      <c r="Y1616" s="32"/>
      <c r="Z1616" s="32"/>
      <c r="AA1616" s="32"/>
      <c r="AB1616" s="32"/>
      <c r="AC1616" s="32"/>
      <c r="AD1616" s="221"/>
    </row>
  </sheetData>
  <mergeCells count="181">
    <mergeCell ref="AV46:AV51"/>
    <mergeCell ref="AW46:AW51"/>
    <mergeCell ref="AX46:AX51"/>
    <mergeCell ref="AY46:AY51"/>
    <mergeCell ref="A52:C54"/>
    <mergeCell ref="AG52:AY54"/>
    <mergeCell ref="AM46:AM51"/>
    <mergeCell ref="AN46:AN51"/>
    <mergeCell ref="AO46:AO51"/>
    <mergeCell ref="AP46:AP51"/>
    <mergeCell ref="AQ46:AQ51"/>
    <mergeCell ref="AR46:AR51"/>
    <mergeCell ref="AS46:AS51"/>
    <mergeCell ref="AT46:AT51"/>
    <mergeCell ref="AU46:AU51"/>
    <mergeCell ref="A46:A51"/>
    <mergeCell ref="B46:B51"/>
    <mergeCell ref="C46:C51"/>
    <mergeCell ref="AG46:AG51"/>
    <mergeCell ref="AH46:AH51"/>
    <mergeCell ref="AI46:AI51"/>
    <mergeCell ref="AJ46:AJ51"/>
    <mergeCell ref="AK46:AK51"/>
    <mergeCell ref="AL46:AL51"/>
    <mergeCell ref="AX34:AX39"/>
    <mergeCell ref="AY34:AY39"/>
    <mergeCell ref="A40:A45"/>
    <mergeCell ref="B40:B45"/>
    <mergeCell ref="C40:C45"/>
    <mergeCell ref="AG40:AG45"/>
    <mergeCell ref="AH40:AH45"/>
    <mergeCell ref="AI40:AI45"/>
    <mergeCell ref="AJ40:AJ45"/>
    <mergeCell ref="AK40:AK45"/>
    <mergeCell ref="AL40:AL45"/>
    <mergeCell ref="AM40:AM45"/>
    <mergeCell ref="AN40:AN45"/>
    <mergeCell ref="AO40:AO45"/>
    <mergeCell ref="AP40:AP45"/>
    <mergeCell ref="AQ40:AQ45"/>
    <mergeCell ref="AR40:AR45"/>
    <mergeCell ref="AS40:AS45"/>
    <mergeCell ref="AT40:AT45"/>
    <mergeCell ref="AU40:AU45"/>
    <mergeCell ref="AV40:AV45"/>
    <mergeCell ref="AW40:AW45"/>
    <mergeCell ref="AX40:AX45"/>
    <mergeCell ref="AY40:AY45"/>
    <mergeCell ref="AX10:AX15"/>
    <mergeCell ref="AY10:AY15"/>
    <mergeCell ref="A16:A21"/>
    <mergeCell ref="AX16:AX21"/>
    <mergeCell ref="AY16:AY21"/>
    <mergeCell ref="A22:A27"/>
    <mergeCell ref="AX22:AX27"/>
    <mergeCell ref="AY22:AY27"/>
    <mergeCell ref="A28:A33"/>
    <mergeCell ref="AX28:AX33"/>
    <mergeCell ref="AY28:AY33"/>
    <mergeCell ref="B10:B15"/>
    <mergeCell ref="C10:C15"/>
    <mergeCell ref="AG10:AG15"/>
    <mergeCell ref="A10:A15"/>
    <mergeCell ref="AT10:AT15"/>
    <mergeCell ref="AU10:AU15"/>
    <mergeCell ref="AV10:AV15"/>
    <mergeCell ref="A1:D3"/>
    <mergeCell ref="A4:D4"/>
    <mergeCell ref="E1:AY1"/>
    <mergeCell ref="E2:AY2"/>
    <mergeCell ref="E3:AD3"/>
    <mergeCell ref="AE3:AY3"/>
    <mergeCell ref="E4:AY4"/>
    <mergeCell ref="A5:D5"/>
    <mergeCell ref="A6:D6"/>
    <mergeCell ref="A8:F8"/>
    <mergeCell ref="E5:AY5"/>
    <mergeCell ref="E6:AY6"/>
    <mergeCell ref="A7:AY7"/>
    <mergeCell ref="G8:S8"/>
    <mergeCell ref="T8:AF8"/>
    <mergeCell ref="AG8:AK8"/>
    <mergeCell ref="AL8:AM8"/>
    <mergeCell ref="AO8:AX8"/>
    <mergeCell ref="AY8:AY9"/>
    <mergeCell ref="AW10:AW15"/>
    <mergeCell ref="B16:B21"/>
    <mergeCell ref="C16:C21"/>
    <mergeCell ref="AN10:AN15"/>
    <mergeCell ref="AO10:AO15"/>
    <mergeCell ref="AP10:AP15"/>
    <mergeCell ref="AQ10:AQ15"/>
    <mergeCell ref="AR10:AR15"/>
    <mergeCell ref="AS10:AS15"/>
    <mergeCell ref="AH10:AH15"/>
    <mergeCell ref="AI10:AI15"/>
    <mergeCell ref="AJ10:AJ15"/>
    <mergeCell ref="AK10:AK15"/>
    <mergeCell ref="AL10:AL15"/>
    <mergeCell ref="AM10:AM15"/>
    <mergeCell ref="AV16:AV21"/>
    <mergeCell ref="AW16:AW21"/>
    <mergeCell ref="AS16:AS21"/>
    <mergeCell ref="AT16:AT21"/>
    <mergeCell ref="AU16:AU21"/>
    <mergeCell ref="B22:B27"/>
    <mergeCell ref="C22:C27"/>
    <mergeCell ref="AM16:AM21"/>
    <mergeCell ref="AN16:AN21"/>
    <mergeCell ref="AO16:AO21"/>
    <mergeCell ref="AP16:AP21"/>
    <mergeCell ref="AQ16:AQ21"/>
    <mergeCell ref="AR16:AR21"/>
    <mergeCell ref="AG16:AG21"/>
    <mergeCell ref="AH16:AH21"/>
    <mergeCell ref="AI16:AI21"/>
    <mergeCell ref="AJ16:AJ21"/>
    <mergeCell ref="AK16:AK21"/>
    <mergeCell ref="AL16:AL21"/>
    <mergeCell ref="AG22:AG27"/>
    <mergeCell ref="AH22:AH27"/>
    <mergeCell ref="AI22:AI27"/>
    <mergeCell ref="AJ22:AJ27"/>
    <mergeCell ref="AK22:AK27"/>
    <mergeCell ref="AR22:AR27"/>
    <mergeCell ref="AS22:AS27"/>
    <mergeCell ref="AT22:AT27"/>
    <mergeCell ref="AU22:AU27"/>
    <mergeCell ref="AV22:AV27"/>
    <mergeCell ref="AW22:AW27"/>
    <mergeCell ref="AL22:AL27"/>
    <mergeCell ref="AM22:AM27"/>
    <mergeCell ref="AN22:AN27"/>
    <mergeCell ref="AO22:AO27"/>
    <mergeCell ref="AP22:AP27"/>
    <mergeCell ref="AQ22:AQ27"/>
    <mergeCell ref="AV28:AV33"/>
    <mergeCell ref="AK34:AK39"/>
    <mergeCell ref="AG34:AG39"/>
    <mergeCell ref="AG28:AG33"/>
    <mergeCell ref="AH28:AH33"/>
    <mergeCell ref="AI28:AI33"/>
    <mergeCell ref="AJ28:AJ33"/>
    <mergeCell ref="AK28:AK33"/>
    <mergeCell ref="B28:B33"/>
    <mergeCell ref="C28:C33"/>
    <mergeCell ref="B34:B39"/>
    <mergeCell ref="C34:C39"/>
    <mergeCell ref="AP34:AP39"/>
    <mergeCell ref="A34:A39"/>
    <mergeCell ref="AH34:AH39"/>
    <mergeCell ref="AI34:AI39"/>
    <mergeCell ref="AJ34:AJ39"/>
    <mergeCell ref="AR28:AR33"/>
    <mergeCell ref="AS28:AS33"/>
    <mergeCell ref="AT28:AT33"/>
    <mergeCell ref="AU28:AU33"/>
    <mergeCell ref="C57:I57"/>
    <mergeCell ref="J57:P57"/>
    <mergeCell ref="C58:I58"/>
    <mergeCell ref="J58:P58"/>
    <mergeCell ref="C59:I59"/>
    <mergeCell ref="J59:P59"/>
    <mergeCell ref="AW28:AW33"/>
    <mergeCell ref="AL28:AL33"/>
    <mergeCell ref="AM28:AM33"/>
    <mergeCell ref="AN28:AN33"/>
    <mergeCell ref="AO28:AO33"/>
    <mergeCell ref="AP28:AP33"/>
    <mergeCell ref="AQ28:AQ33"/>
    <mergeCell ref="AW34:AW39"/>
    <mergeCell ref="AQ34:AQ39"/>
    <mergeCell ref="AR34:AR39"/>
    <mergeCell ref="AS34:AS39"/>
    <mergeCell ref="AT34:AT39"/>
    <mergeCell ref="AU34:AU39"/>
    <mergeCell ref="AV34:AV39"/>
    <mergeCell ref="AL34:AL39"/>
    <mergeCell ref="AM34:AM39"/>
    <mergeCell ref="AN34:AN39"/>
    <mergeCell ref="AO34:AO39"/>
  </mergeCells>
  <pageMargins left="0.7" right="0.7" top="0.75" bottom="0.75" header="0.3" footer="0.3"/>
  <pageSetup orientation="portrait" horizontalDpi="4294967292" verticalDpi="0"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03913E-DC3C-924D-952A-11CF697CA967}">
  <dimension ref="A1:AL698"/>
  <sheetViews>
    <sheetView showGridLines="0" zoomScale="60" zoomScaleNormal="60" workbookViewId="0">
      <selection activeCell="B10" sqref="B10:B11"/>
    </sheetView>
  </sheetViews>
  <sheetFormatPr baseColWidth="10" defaultRowHeight="15" outlineLevelRow="2" x14ac:dyDescent="0.25"/>
  <cols>
    <col min="1" max="1" width="16.42578125" customWidth="1"/>
    <col min="2" max="2" width="36.7109375" customWidth="1"/>
    <col min="3" max="3" width="19.140625" customWidth="1"/>
    <col min="4" max="4" width="33.85546875" customWidth="1"/>
    <col min="5" max="5" width="17.7109375" customWidth="1"/>
    <col min="6" max="6" width="20.28515625" customWidth="1"/>
    <col min="7" max="7" width="19.42578125" customWidth="1"/>
    <col min="8" max="8" width="46.42578125" customWidth="1"/>
    <col min="9" max="9" width="14.28515625" style="252" customWidth="1"/>
    <col min="10" max="10" width="14.42578125" customWidth="1"/>
    <col min="11" max="11" width="14.140625" customWidth="1"/>
    <col min="12" max="12" width="34.28515625" customWidth="1"/>
  </cols>
  <sheetData>
    <row r="1" spans="1:12" ht="29.25" customHeight="1" x14ac:dyDescent="0.25">
      <c r="A1" s="617"/>
      <c r="B1" s="617"/>
      <c r="C1" s="618" t="s">
        <v>39</v>
      </c>
      <c r="D1" s="618"/>
      <c r="E1" s="618"/>
      <c r="F1" s="618"/>
      <c r="G1" s="618"/>
      <c r="H1" s="618"/>
      <c r="I1" s="618"/>
      <c r="J1" s="618"/>
      <c r="K1" s="618"/>
      <c r="L1" s="618"/>
    </row>
    <row r="2" spans="1:12" ht="33.75" customHeight="1" x14ac:dyDescent="0.25">
      <c r="A2" s="617"/>
      <c r="B2" s="617"/>
      <c r="C2" s="619" t="s">
        <v>121</v>
      </c>
      <c r="D2" s="620"/>
      <c r="E2" s="620"/>
      <c r="F2" s="620"/>
      <c r="G2" s="620"/>
      <c r="H2" s="620"/>
      <c r="I2" s="620"/>
      <c r="J2" s="620"/>
      <c r="K2" s="620"/>
      <c r="L2" s="620"/>
    </row>
    <row r="3" spans="1:12" ht="26.25" x14ac:dyDescent="0.4">
      <c r="A3" s="617"/>
      <c r="B3" s="617"/>
      <c r="C3" s="621" t="s">
        <v>40</v>
      </c>
      <c r="D3" s="621"/>
      <c r="E3" s="621"/>
      <c r="F3" s="621"/>
      <c r="G3" s="621"/>
      <c r="H3" s="622" t="s">
        <v>264</v>
      </c>
      <c r="I3" s="622"/>
      <c r="J3" s="622"/>
      <c r="K3" s="622"/>
      <c r="L3" s="622"/>
    </row>
    <row r="4" spans="1:12" ht="26.25" customHeight="1" x14ac:dyDescent="0.25">
      <c r="A4" s="606" t="s">
        <v>0</v>
      </c>
      <c r="B4" s="606"/>
      <c r="C4" s="607" t="s">
        <v>399</v>
      </c>
      <c r="D4" s="607"/>
      <c r="E4" s="607"/>
      <c r="F4" s="607"/>
      <c r="G4" s="607"/>
      <c r="H4" s="607"/>
      <c r="I4" s="607"/>
      <c r="J4" s="607"/>
      <c r="K4" s="607"/>
      <c r="L4" s="607"/>
    </row>
    <row r="5" spans="1:12" ht="29.25" customHeight="1" x14ac:dyDescent="0.25">
      <c r="A5" s="606" t="s">
        <v>2</v>
      </c>
      <c r="B5" s="606"/>
      <c r="C5" s="607" t="s">
        <v>400</v>
      </c>
      <c r="D5" s="607"/>
      <c r="E5" s="607"/>
      <c r="F5" s="607"/>
      <c r="G5" s="607"/>
      <c r="H5" s="607"/>
      <c r="I5" s="607"/>
      <c r="J5" s="607"/>
      <c r="K5" s="607"/>
      <c r="L5" s="607"/>
    </row>
    <row r="7" spans="1:12" s="52" customFormat="1" ht="27" customHeight="1" x14ac:dyDescent="0.25">
      <c r="A7" s="608" t="s">
        <v>122</v>
      </c>
      <c r="B7" s="608"/>
      <c r="C7" s="608"/>
      <c r="D7" s="608"/>
      <c r="E7" s="608"/>
      <c r="F7" s="608"/>
      <c r="G7" s="608"/>
      <c r="H7" s="608"/>
      <c r="I7" s="250"/>
    </row>
    <row r="8" spans="1:12" s="52" customFormat="1" ht="27" customHeight="1" x14ac:dyDescent="0.25">
      <c r="A8" s="188" t="s">
        <v>49</v>
      </c>
      <c r="B8" s="188" t="s">
        <v>401</v>
      </c>
      <c r="C8" s="46" t="s">
        <v>123</v>
      </c>
      <c r="D8" s="189" t="s">
        <v>124</v>
      </c>
      <c r="E8" s="189" t="s">
        <v>125</v>
      </c>
      <c r="F8" s="189" t="s">
        <v>126</v>
      </c>
      <c r="G8" s="189" t="s">
        <v>127</v>
      </c>
      <c r="H8" s="189" t="s">
        <v>128</v>
      </c>
      <c r="I8" s="250"/>
    </row>
    <row r="9" spans="1:12" s="192" customFormat="1" ht="49.9" customHeight="1" outlineLevel="1" x14ac:dyDescent="0.25">
      <c r="A9" s="609" t="s">
        <v>130</v>
      </c>
      <c r="B9" s="190" t="s">
        <v>402</v>
      </c>
      <c r="C9" s="190" t="s">
        <v>200</v>
      </c>
      <c r="D9" s="191">
        <v>450000000</v>
      </c>
      <c r="E9" s="191">
        <v>450000000</v>
      </c>
      <c r="F9" s="191">
        <v>0</v>
      </c>
      <c r="G9" s="191">
        <v>0</v>
      </c>
      <c r="H9" s="191">
        <v>0</v>
      </c>
      <c r="I9" s="251"/>
    </row>
    <row r="10" spans="1:12" s="192" customFormat="1" ht="49.9" customHeight="1" outlineLevel="1" x14ac:dyDescent="0.25">
      <c r="A10" s="610"/>
      <c r="B10" s="609" t="s">
        <v>403</v>
      </c>
      <c r="C10" s="190" t="s">
        <v>200</v>
      </c>
      <c r="D10" s="191">
        <v>550985000</v>
      </c>
      <c r="E10" s="191">
        <v>550985000</v>
      </c>
      <c r="F10" s="191">
        <v>0</v>
      </c>
      <c r="G10" s="191">
        <v>0</v>
      </c>
      <c r="H10" s="191">
        <v>0</v>
      </c>
      <c r="I10" s="251"/>
    </row>
    <row r="11" spans="1:12" s="192" customFormat="1" ht="49.9" customHeight="1" outlineLevel="1" x14ac:dyDescent="0.25">
      <c r="A11" s="610"/>
      <c r="B11" s="611"/>
      <c r="C11" s="190" t="s">
        <v>404</v>
      </c>
      <c r="D11" s="191">
        <v>62855322</v>
      </c>
      <c r="E11" s="191">
        <v>62855322</v>
      </c>
      <c r="F11" s="191">
        <v>0</v>
      </c>
      <c r="G11" s="191">
        <v>0</v>
      </c>
      <c r="H11" s="191">
        <v>0</v>
      </c>
      <c r="I11" s="251"/>
    </row>
    <row r="12" spans="1:12" s="192" customFormat="1" ht="49.9" customHeight="1" outlineLevel="1" x14ac:dyDescent="0.25">
      <c r="A12" s="610"/>
      <c r="B12" s="190" t="s">
        <v>405</v>
      </c>
      <c r="C12" s="190" t="s">
        <v>406</v>
      </c>
      <c r="D12" s="191">
        <v>658814131</v>
      </c>
      <c r="E12" s="191">
        <v>658814131</v>
      </c>
      <c r="F12" s="191">
        <v>0</v>
      </c>
      <c r="G12" s="191">
        <v>0</v>
      </c>
      <c r="H12" s="191">
        <v>0</v>
      </c>
      <c r="I12" s="251"/>
    </row>
    <row r="13" spans="1:12" s="192" customFormat="1" ht="49.9" customHeight="1" outlineLevel="1" x14ac:dyDescent="0.25">
      <c r="A13" s="610"/>
      <c r="B13" s="609" t="s">
        <v>407</v>
      </c>
      <c r="C13" s="190" t="s">
        <v>200</v>
      </c>
      <c r="D13" s="191">
        <v>601054131</v>
      </c>
      <c r="E13" s="191">
        <v>601054131</v>
      </c>
      <c r="F13" s="191">
        <v>0</v>
      </c>
      <c r="G13" s="191">
        <v>0</v>
      </c>
      <c r="H13" s="191">
        <v>0</v>
      </c>
      <c r="I13" s="251"/>
    </row>
    <row r="14" spans="1:12" s="192" customFormat="1" ht="49.9" customHeight="1" outlineLevel="1" x14ac:dyDescent="0.25">
      <c r="A14" s="610"/>
      <c r="B14" s="611"/>
      <c r="C14" s="190" t="s">
        <v>408</v>
      </c>
      <c r="D14" s="191">
        <v>20000000</v>
      </c>
      <c r="E14" s="191">
        <v>20000000</v>
      </c>
      <c r="F14" s="191">
        <v>0</v>
      </c>
      <c r="G14" s="191">
        <v>0</v>
      </c>
      <c r="H14" s="191">
        <v>0</v>
      </c>
      <c r="I14" s="251"/>
    </row>
    <row r="15" spans="1:12" s="192" customFormat="1" ht="49.9" customHeight="1" outlineLevel="1" x14ac:dyDescent="0.25">
      <c r="A15" s="610"/>
      <c r="B15" s="609" t="s">
        <v>409</v>
      </c>
      <c r="C15" s="190" t="s">
        <v>200</v>
      </c>
      <c r="D15" s="191">
        <v>1093590131</v>
      </c>
      <c r="E15" s="191">
        <v>1093590131</v>
      </c>
      <c r="F15" s="191">
        <v>0</v>
      </c>
      <c r="G15" s="191">
        <v>0</v>
      </c>
      <c r="H15" s="191">
        <v>0</v>
      </c>
      <c r="I15" s="251"/>
    </row>
    <row r="16" spans="1:12" s="192" customFormat="1" ht="49.9" customHeight="1" outlineLevel="1" x14ac:dyDescent="0.25">
      <c r="A16" s="610"/>
      <c r="B16" s="611"/>
      <c r="C16" s="190" t="s">
        <v>406</v>
      </c>
      <c r="D16" s="191">
        <v>319199869</v>
      </c>
      <c r="E16" s="191">
        <v>319199869</v>
      </c>
      <c r="F16" s="191">
        <v>0</v>
      </c>
      <c r="G16" s="191">
        <v>0</v>
      </c>
      <c r="H16" s="191">
        <v>0</v>
      </c>
      <c r="I16" s="251"/>
    </row>
    <row r="17" spans="1:9" s="192" customFormat="1" ht="49.9" customHeight="1" outlineLevel="1" x14ac:dyDescent="0.25">
      <c r="A17" s="610"/>
      <c r="B17" s="193" t="s">
        <v>410</v>
      </c>
      <c r="C17" s="190" t="s">
        <v>200</v>
      </c>
      <c r="D17" s="191">
        <v>403410000</v>
      </c>
      <c r="E17" s="191">
        <v>403410000</v>
      </c>
      <c r="F17" s="191">
        <v>0</v>
      </c>
      <c r="G17" s="191">
        <v>0</v>
      </c>
      <c r="H17" s="191">
        <v>0</v>
      </c>
      <c r="I17" s="251"/>
    </row>
    <row r="18" spans="1:9" s="192" customFormat="1" ht="49.9" customHeight="1" outlineLevel="1" x14ac:dyDescent="0.25">
      <c r="A18" s="611"/>
      <c r="B18" s="190" t="s">
        <v>411</v>
      </c>
      <c r="C18" s="190" t="s">
        <v>200</v>
      </c>
      <c r="D18" s="191">
        <v>775545944</v>
      </c>
      <c r="E18" s="191">
        <v>775545944</v>
      </c>
      <c r="F18" s="191">
        <v>0</v>
      </c>
      <c r="G18" s="191">
        <v>0</v>
      </c>
      <c r="H18" s="191">
        <v>0</v>
      </c>
      <c r="I18" s="251"/>
    </row>
    <row r="19" spans="1:9" s="192" customFormat="1" ht="49.9" customHeight="1" outlineLevel="1" collapsed="1" x14ac:dyDescent="0.25">
      <c r="A19" s="612" t="s">
        <v>131</v>
      </c>
      <c r="B19" s="190" t="s">
        <v>402</v>
      </c>
      <c r="C19" s="190" t="s">
        <v>200</v>
      </c>
      <c r="D19" s="191">
        <v>450000000</v>
      </c>
      <c r="E19" s="191">
        <v>450000000</v>
      </c>
      <c r="F19" s="191">
        <v>0</v>
      </c>
      <c r="G19" s="191">
        <v>0</v>
      </c>
      <c r="H19" s="191">
        <v>0</v>
      </c>
      <c r="I19" s="251"/>
    </row>
    <row r="20" spans="1:9" s="192" customFormat="1" ht="49.9" customHeight="1" outlineLevel="1" x14ac:dyDescent="0.25">
      <c r="A20" s="613"/>
      <c r="B20" s="609" t="s">
        <v>403</v>
      </c>
      <c r="C20" s="190" t="s">
        <v>200</v>
      </c>
      <c r="D20" s="191">
        <v>550985000</v>
      </c>
      <c r="E20" s="191">
        <v>550985000</v>
      </c>
      <c r="F20" s="191">
        <v>0</v>
      </c>
      <c r="G20" s="191">
        <v>0</v>
      </c>
      <c r="H20" s="191">
        <v>0</v>
      </c>
      <c r="I20" s="251"/>
    </row>
    <row r="21" spans="1:9" s="192" customFormat="1" ht="49.9" customHeight="1" outlineLevel="1" x14ac:dyDescent="0.25">
      <c r="A21" s="613"/>
      <c r="B21" s="611"/>
      <c r="C21" s="190" t="s">
        <v>404</v>
      </c>
      <c r="D21" s="191">
        <v>62855322</v>
      </c>
      <c r="E21" s="191">
        <v>62855322</v>
      </c>
      <c r="F21" s="191">
        <v>0</v>
      </c>
      <c r="G21" s="191">
        <v>0</v>
      </c>
      <c r="H21" s="191">
        <v>0</v>
      </c>
      <c r="I21" s="251"/>
    </row>
    <row r="22" spans="1:9" s="192" customFormat="1" ht="49.9" customHeight="1" outlineLevel="1" x14ac:dyDescent="0.25">
      <c r="A22" s="613"/>
      <c r="B22" s="190" t="s">
        <v>405</v>
      </c>
      <c r="C22" s="190" t="s">
        <v>406</v>
      </c>
      <c r="D22" s="191">
        <v>658814131</v>
      </c>
      <c r="E22" s="191">
        <v>658814131</v>
      </c>
      <c r="F22" s="191">
        <v>0</v>
      </c>
      <c r="G22" s="191">
        <v>0</v>
      </c>
      <c r="H22" s="191">
        <v>0</v>
      </c>
      <c r="I22" s="251"/>
    </row>
    <row r="23" spans="1:9" s="192" customFormat="1" ht="49.9" customHeight="1" outlineLevel="1" x14ac:dyDescent="0.25">
      <c r="A23" s="613"/>
      <c r="B23" s="609" t="s">
        <v>407</v>
      </c>
      <c r="C23" s="190" t="s">
        <v>200</v>
      </c>
      <c r="D23" s="191">
        <v>601054131</v>
      </c>
      <c r="E23" s="191">
        <v>601054131</v>
      </c>
      <c r="F23" s="191">
        <v>0</v>
      </c>
      <c r="G23" s="191">
        <v>0</v>
      </c>
      <c r="H23" s="191">
        <v>0</v>
      </c>
      <c r="I23" s="251"/>
    </row>
    <row r="24" spans="1:9" s="192" customFormat="1" ht="49.9" customHeight="1" outlineLevel="1" x14ac:dyDescent="0.25">
      <c r="A24" s="613"/>
      <c r="B24" s="611"/>
      <c r="C24" s="190" t="s">
        <v>408</v>
      </c>
      <c r="D24" s="191">
        <v>20000000</v>
      </c>
      <c r="E24" s="191">
        <v>20000000</v>
      </c>
      <c r="F24" s="191">
        <v>0</v>
      </c>
      <c r="G24" s="191">
        <v>0</v>
      </c>
      <c r="H24" s="191">
        <v>0</v>
      </c>
      <c r="I24" s="251"/>
    </row>
    <row r="25" spans="1:9" s="192" customFormat="1" ht="49.9" customHeight="1" outlineLevel="1" x14ac:dyDescent="0.25">
      <c r="A25" s="613"/>
      <c r="B25" s="609" t="s">
        <v>409</v>
      </c>
      <c r="C25" s="190" t="s">
        <v>200</v>
      </c>
      <c r="D25" s="191">
        <v>1093590131</v>
      </c>
      <c r="E25" s="191">
        <v>1093590131</v>
      </c>
      <c r="F25" s="191">
        <v>49763000</v>
      </c>
      <c r="G25" s="191">
        <v>0</v>
      </c>
      <c r="H25" s="191">
        <v>0</v>
      </c>
      <c r="I25" s="251"/>
    </row>
    <row r="26" spans="1:9" s="192" customFormat="1" ht="49.9" customHeight="1" outlineLevel="1" x14ac:dyDescent="0.25">
      <c r="A26" s="613"/>
      <c r="B26" s="611"/>
      <c r="C26" s="190" t="s">
        <v>406</v>
      </c>
      <c r="D26" s="191">
        <v>319199869</v>
      </c>
      <c r="E26" s="191">
        <v>319199869</v>
      </c>
      <c r="F26" s="191">
        <v>30213000</v>
      </c>
      <c r="G26" s="191">
        <v>0</v>
      </c>
      <c r="H26" s="191">
        <v>0</v>
      </c>
      <c r="I26" s="251"/>
    </row>
    <row r="27" spans="1:9" s="192" customFormat="1" ht="49.9" customHeight="1" outlineLevel="1" x14ac:dyDescent="0.25">
      <c r="A27" s="613"/>
      <c r="B27" s="193" t="s">
        <v>410</v>
      </c>
      <c r="C27" s="190" t="s">
        <v>200</v>
      </c>
      <c r="D27" s="191">
        <v>403410000</v>
      </c>
      <c r="E27" s="191">
        <v>403410000</v>
      </c>
      <c r="F27" s="191">
        <v>10000000</v>
      </c>
      <c r="G27" s="191">
        <v>0</v>
      </c>
      <c r="H27" s="191">
        <v>0</v>
      </c>
      <c r="I27" s="251"/>
    </row>
    <row r="28" spans="1:9" s="192" customFormat="1" ht="49.9" customHeight="1" outlineLevel="1" x14ac:dyDescent="0.25">
      <c r="A28" s="614"/>
      <c r="B28" s="190" t="s">
        <v>411</v>
      </c>
      <c r="C28" s="190" t="s">
        <v>200</v>
      </c>
      <c r="D28" s="191">
        <v>775545944</v>
      </c>
      <c r="E28" s="191">
        <v>775545944</v>
      </c>
      <c r="F28" s="191">
        <v>56548312</v>
      </c>
      <c r="G28" s="191">
        <v>0</v>
      </c>
      <c r="H28" s="191">
        <v>0</v>
      </c>
      <c r="I28" s="251"/>
    </row>
    <row r="29" spans="1:9" s="192" customFormat="1" ht="49.9" customHeight="1" outlineLevel="1" collapsed="1" x14ac:dyDescent="0.25">
      <c r="A29" s="612" t="s">
        <v>132</v>
      </c>
      <c r="B29" s="190" t="s">
        <v>402</v>
      </c>
      <c r="C29" s="190" t="s">
        <v>200</v>
      </c>
      <c r="D29" s="191">
        <v>450000000</v>
      </c>
      <c r="E29" s="191">
        <v>450000000</v>
      </c>
      <c r="F29" s="191">
        <v>373112000</v>
      </c>
      <c r="G29" s="191">
        <v>0</v>
      </c>
      <c r="H29" s="191">
        <v>0</v>
      </c>
      <c r="I29" s="251"/>
    </row>
    <row r="30" spans="1:9" s="192" customFormat="1" ht="49.9" customHeight="1" outlineLevel="1" x14ac:dyDescent="0.25">
      <c r="A30" s="613"/>
      <c r="B30" s="609" t="s">
        <v>403</v>
      </c>
      <c r="C30" s="190" t="s">
        <v>200</v>
      </c>
      <c r="D30" s="191">
        <v>550985000</v>
      </c>
      <c r="E30" s="191">
        <v>550985000</v>
      </c>
      <c r="F30" s="191">
        <v>465500000</v>
      </c>
      <c r="G30" s="191">
        <v>0</v>
      </c>
      <c r="H30" s="191">
        <v>0</v>
      </c>
      <c r="I30" s="251"/>
    </row>
    <row r="31" spans="1:9" s="192" customFormat="1" ht="49.9" customHeight="1" outlineLevel="1" x14ac:dyDescent="0.25">
      <c r="A31" s="613"/>
      <c r="B31" s="611"/>
      <c r="C31" s="190" t="s">
        <v>404</v>
      </c>
      <c r="D31" s="191">
        <v>62855322</v>
      </c>
      <c r="E31" s="191">
        <v>62855322</v>
      </c>
      <c r="F31" s="191">
        <v>0</v>
      </c>
      <c r="G31" s="191">
        <v>0</v>
      </c>
      <c r="H31" s="191">
        <v>0</v>
      </c>
      <c r="I31" s="251"/>
    </row>
    <row r="32" spans="1:9" s="192" customFormat="1" ht="49.9" customHeight="1" outlineLevel="1" x14ac:dyDescent="0.25">
      <c r="A32" s="613"/>
      <c r="B32" s="190" t="s">
        <v>405</v>
      </c>
      <c r="C32" s="190" t="s">
        <v>406</v>
      </c>
      <c r="D32" s="191">
        <v>658814131</v>
      </c>
      <c r="E32" s="191">
        <v>658814131</v>
      </c>
      <c r="F32" s="191">
        <v>451588000</v>
      </c>
      <c r="G32" s="191">
        <v>0</v>
      </c>
      <c r="H32" s="191">
        <v>0</v>
      </c>
      <c r="I32" s="251"/>
    </row>
    <row r="33" spans="1:9" s="192" customFormat="1" ht="49.9" customHeight="1" outlineLevel="1" x14ac:dyDescent="0.25">
      <c r="A33" s="613"/>
      <c r="B33" s="609" t="s">
        <v>407</v>
      </c>
      <c r="C33" s="190" t="s">
        <v>200</v>
      </c>
      <c r="D33" s="191">
        <v>601054131</v>
      </c>
      <c r="E33" s="191">
        <v>601054131</v>
      </c>
      <c r="F33" s="191">
        <v>433428000</v>
      </c>
      <c r="G33" s="191">
        <v>0</v>
      </c>
      <c r="H33" s="191">
        <v>0</v>
      </c>
      <c r="I33" s="251"/>
    </row>
    <row r="34" spans="1:9" s="192" customFormat="1" ht="49.9" customHeight="1" outlineLevel="1" x14ac:dyDescent="0.25">
      <c r="A34" s="613"/>
      <c r="B34" s="611"/>
      <c r="C34" s="190" t="s">
        <v>408</v>
      </c>
      <c r="D34" s="191">
        <v>20000000</v>
      </c>
      <c r="E34" s="191">
        <v>20000000</v>
      </c>
      <c r="F34" s="191">
        <v>0</v>
      </c>
      <c r="G34" s="191">
        <v>0</v>
      </c>
      <c r="H34" s="191">
        <v>0</v>
      </c>
      <c r="I34" s="251"/>
    </row>
    <row r="35" spans="1:9" s="192" customFormat="1" ht="49.9" customHeight="1" outlineLevel="1" x14ac:dyDescent="0.25">
      <c r="A35" s="613"/>
      <c r="B35" s="609" t="s">
        <v>409</v>
      </c>
      <c r="C35" s="190" t="s">
        <v>200</v>
      </c>
      <c r="D35" s="191">
        <v>1093590131</v>
      </c>
      <c r="E35" s="191">
        <v>1093590131</v>
      </c>
      <c r="F35" s="191">
        <v>548275984</v>
      </c>
      <c r="G35" s="191">
        <v>0</v>
      </c>
      <c r="H35" s="191">
        <v>0</v>
      </c>
      <c r="I35" s="251"/>
    </row>
    <row r="36" spans="1:9" s="192" customFormat="1" ht="49.9" customHeight="1" outlineLevel="1" x14ac:dyDescent="0.25">
      <c r="A36" s="613"/>
      <c r="B36" s="611"/>
      <c r="C36" s="190" t="s">
        <v>406</v>
      </c>
      <c r="D36" s="191">
        <v>319199869</v>
      </c>
      <c r="E36" s="191">
        <v>319199869</v>
      </c>
      <c r="F36" s="191">
        <v>286832000</v>
      </c>
      <c r="G36" s="191">
        <v>0</v>
      </c>
      <c r="H36" s="191">
        <v>0</v>
      </c>
      <c r="I36" s="251"/>
    </row>
    <row r="37" spans="1:9" s="192" customFormat="1" ht="49.9" customHeight="1" outlineLevel="1" x14ac:dyDescent="0.25">
      <c r="A37" s="613"/>
      <c r="B37" s="193" t="s">
        <v>410</v>
      </c>
      <c r="C37" s="190" t="s">
        <v>200</v>
      </c>
      <c r="D37" s="191">
        <v>403410000</v>
      </c>
      <c r="E37" s="191">
        <v>403410000</v>
      </c>
      <c r="F37" s="191">
        <v>92564000</v>
      </c>
      <c r="G37" s="191">
        <v>0</v>
      </c>
      <c r="H37" s="191">
        <v>0</v>
      </c>
      <c r="I37" s="251"/>
    </row>
    <row r="38" spans="1:9" s="192" customFormat="1" ht="49.9" customHeight="1" outlineLevel="1" x14ac:dyDescent="0.25">
      <c r="A38" s="614"/>
      <c r="B38" s="190" t="s">
        <v>411</v>
      </c>
      <c r="C38" s="190" t="s">
        <v>200</v>
      </c>
      <c r="D38" s="191">
        <v>775545944</v>
      </c>
      <c r="E38" s="191">
        <v>775545944</v>
      </c>
      <c r="F38" s="191">
        <v>404965456</v>
      </c>
      <c r="G38" s="191">
        <v>11541544</v>
      </c>
      <c r="H38" s="191">
        <v>11541544</v>
      </c>
      <c r="I38" s="251"/>
    </row>
    <row r="39" spans="1:9" s="192" customFormat="1" ht="49.9" customHeight="1" outlineLevel="1" x14ac:dyDescent="0.25">
      <c r="A39" s="612" t="s">
        <v>133</v>
      </c>
      <c r="B39" s="190" t="s">
        <v>402</v>
      </c>
      <c r="C39" s="190" t="s">
        <v>200</v>
      </c>
      <c r="D39" s="191">
        <v>450000000</v>
      </c>
      <c r="E39" s="191">
        <v>450000000</v>
      </c>
      <c r="F39" s="191">
        <v>373112000</v>
      </c>
      <c r="G39" s="191">
        <v>26409699</v>
      </c>
      <c r="H39" s="191">
        <v>26409699</v>
      </c>
      <c r="I39" s="251"/>
    </row>
    <row r="40" spans="1:9" s="192" customFormat="1" ht="49.9" customHeight="1" outlineLevel="1" x14ac:dyDescent="0.25">
      <c r="A40" s="613"/>
      <c r="B40" s="609" t="s">
        <v>403</v>
      </c>
      <c r="C40" s="190" t="s">
        <v>200</v>
      </c>
      <c r="D40" s="191">
        <v>550985000</v>
      </c>
      <c r="E40" s="191">
        <v>550985000</v>
      </c>
      <c r="F40" s="191">
        <v>465500000</v>
      </c>
      <c r="G40" s="191">
        <v>35398499</v>
      </c>
      <c r="H40" s="191">
        <v>35398499</v>
      </c>
      <c r="I40" s="251"/>
    </row>
    <row r="41" spans="1:9" s="192" customFormat="1" ht="49.9" customHeight="1" outlineLevel="1" x14ac:dyDescent="0.25">
      <c r="A41" s="613"/>
      <c r="B41" s="611"/>
      <c r="C41" s="190" t="s">
        <v>404</v>
      </c>
      <c r="D41" s="191">
        <v>62855322</v>
      </c>
      <c r="E41" s="191">
        <v>62855322</v>
      </c>
      <c r="F41" s="191">
        <v>0</v>
      </c>
      <c r="G41" s="191">
        <v>0</v>
      </c>
      <c r="H41" s="191">
        <v>0</v>
      </c>
      <c r="I41" s="251"/>
    </row>
    <row r="42" spans="1:9" s="192" customFormat="1" ht="49.9" customHeight="1" outlineLevel="1" x14ac:dyDescent="0.25">
      <c r="A42" s="613"/>
      <c r="B42" s="190" t="s">
        <v>405</v>
      </c>
      <c r="C42" s="190" t="s">
        <v>406</v>
      </c>
      <c r="D42" s="191">
        <v>658814131</v>
      </c>
      <c r="E42" s="191">
        <v>658814131</v>
      </c>
      <c r="F42" s="191">
        <v>472900000</v>
      </c>
      <c r="G42" s="191">
        <v>38096468</v>
      </c>
      <c r="H42" s="191">
        <v>38096468</v>
      </c>
      <c r="I42" s="251"/>
    </row>
    <row r="43" spans="1:9" s="192" customFormat="1" ht="49.9" customHeight="1" outlineLevel="1" x14ac:dyDescent="0.25">
      <c r="A43" s="613"/>
      <c r="B43" s="609" t="s">
        <v>407</v>
      </c>
      <c r="C43" s="190" t="s">
        <v>200</v>
      </c>
      <c r="D43" s="191">
        <v>601054131</v>
      </c>
      <c r="E43" s="191">
        <v>601054131</v>
      </c>
      <c r="F43" s="191">
        <v>433428000</v>
      </c>
      <c r="G43" s="191">
        <v>45142900</v>
      </c>
      <c r="H43" s="191">
        <v>45142900</v>
      </c>
      <c r="I43" s="251"/>
    </row>
    <row r="44" spans="1:9" s="192" customFormat="1" ht="49.9" customHeight="1" outlineLevel="1" x14ac:dyDescent="0.25">
      <c r="A44" s="613"/>
      <c r="B44" s="611"/>
      <c r="C44" s="190" t="s">
        <v>408</v>
      </c>
      <c r="D44" s="191">
        <v>20000000</v>
      </c>
      <c r="E44" s="191">
        <v>20000000</v>
      </c>
      <c r="F44" s="191">
        <v>0</v>
      </c>
      <c r="G44" s="191">
        <v>0</v>
      </c>
      <c r="H44" s="191">
        <v>0</v>
      </c>
      <c r="I44" s="251"/>
    </row>
    <row r="45" spans="1:9" s="192" customFormat="1" ht="49.9" customHeight="1" outlineLevel="1" x14ac:dyDescent="0.25">
      <c r="A45" s="613"/>
      <c r="B45" s="609" t="s">
        <v>409</v>
      </c>
      <c r="C45" s="190" t="s">
        <v>200</v>
      </c>
      <c r="D45" s="191">
        <v>1093590131</v>
      </c>
      <c r="E45" s="191">
        <v>1093590131</v>
      </c>
      <c r="F45" s="191">
        <v>573298666</v>
      </c>
      <c r="G45" s="191">
        <v>51721448</v>
      </c>
      <c r="H45" s="191">
        <v>51721448</v>
      </c>
      <c r="I45" s="251"/>
    </row>
    <row r="46" spans="1:9" s="192" customFormat="1" ht="49.9" customHeight="1" outlineLevel="1" x14ac:dyDescent="0.25">
      <c r="A46" s="613"/>
      <c r="B46" s="611"/>
      <c r="C46" s="190" t="s">
        <v>406</v>
      </c>
      <c r="D46" s="191">
        <v>319199869</v>
      </c>
      <c r="E46" s="191">
        <v>319199869</v>
      </c>
      <c r="F46" s="191">
        <v>286832000</v>
      </c>
      <c r="G46" s="191">
        <v>26956333</v>
      </c>
      <c r="H46" s="191">
        <v>26956333</v>
      </c>
      <c r="I46" s="251"/>
    </row>
    <row r="47" spans="1:9" s="192" customFormat="1" ht="49.9" customHeight="1" outlineLevel="1" x14ac:dyDescent="0.25">
      <c r="A47" s="613"/>
      <c r="B47" s="193" t="s">
        <v>410</v>
      </c>
      <c r="C47" s="190" t="s">
        <v>200</v>
      </c>
      <c r="D47" s="191">
        <v>403410000</v>
      </c>
      <c r="E47" s="191">
        <v>403410000</v>
      </c>
      <c r="F47" s="191">
        <v>164519000</v>
      </c>
      <c r="G47" s="191">
        <v>2848433</v>
      </c>
      <c r="H47" s="191">
        <v>2848433</v>
      </c>
      <c r="I47" s="251"/>
    </row>
    <row r="48" spans="1:9" s="192" customFormat="1" ht="49.9" customHeight="1" outlineLevel="1" x14ac:dyDescent="0.25">
      <c r="A48" s="614"/>
      <c r="B48" s="190" t="s">
        <v>411</v>
      </c>
      <c r="C48" s="190" t="s">
        <v>200</v>
      </c>
      <c r="D48" s="191">
        <v>775545944</v>
      </c>
      <c r="E48" s="191">
        <v>775545944</v>
      </c>
      <c r="F48" s="191">
        <v>433527167</v>
      </c>
      <c r="G48" s="191">
        <v>36332725</v>
      </c>
      <c r="H48" s="191">
        <v>36332725</v>
      </c>
      <c r="I48" s="251"/>
    </row>
    <row r="49" spans="1:9" s="192" customFormat="1" ht="49.9" customHeight="1" outlineLevel="1" x14ac:dyDescent="0.25">
      <c r="A49" s="612" t="s">
        <v>134</v>
      </c>
      <c r="B49" s="190" t="s">
        <v>402</v>
      </c>
      <c r="C49" s="195" t="s">
        <v>200</v>
      </c>
      <c r="D49" s="196">
        <v>450000000</v>
      </c>
      <c r="E49" s="196">
        <v>450000000</v>
      </c>
      <c r="F49" s="196">
        <v>377292000</v>
      </c>
      <c r="G49" s="196">
        <v>210279165</v>
      </c>
      <c r="H49" s="196">
        <v>210279165</v>
      </c>
      <c r="I49" s="251"/>
    </row>
    <row r="50" spans="1:9" s="192" customFormat="1" ht="49.9" customHeight="1" outlineLevel="1" x14ac:dyDescent="0.25">
      <c r="A50" s="613"/>
      <c r="B50" s="609" t="s">
        <v>403</v>
      </c>
      <c r="C50" s="195" t="s">
        <v>200</v>
      </c>
      <c r="D50" s="196">
        <v>753985000</v>
      </c>
      <c r="E50" s="196">
        <v>763985000</v>
      </c>
      <c r="F50" s="196">
        <v>480083000</v>
      </c>
      <c r="G50" s="196">
        <v>254439132</v>
      </c>
      <c r="H50" s="196">
        <v>254439132</v>
      </c>
      <c r="I50" s="251"/>
    </row>
    <row r="51" spans="1:9" s="192" customFormat="1" ht="49.9" customHeight="1" outlineLevel="1" x14ac:dyDescent="0.25">
      <c r="A51" s="613"/>
      <c r="B51" s="611"/>
      <c r="C51" s="195" t="s">
        <v>404</v>
      </c>
      <c r="D51" s="196">
        <v>62855322</v>
      </c>
      <c r="E51" s="196">
        <v>62855322</v>
      </c>
      <c r="F51" s="196">
        <v>62855322</v>
      </c>
      <c r="G51" s="196">
        <v>62855322</v>
      </c>
      <c r="H51" s="196">
        <v>62855322</v>
      </c>
      <c r="I51" s="251"/>
    </row>
    <row r="52" spans="1:9" s="192" customFormat="1" ht="49.9" customHeight="1" outlineLevel="1" x14ac:dyDescent="0.25">
      <c r="A52" s="613"/>
      <c r="B52" s="190" t="s">
        <v>405</v>
      </c>
      <c r="C52" s="195" t="s">
        <v>406</v>
      </c>
      <c r="D52" s="196">
        <v>658814131</v>
      </c>
      <c r="E52" s="196">
        <v>658814131</v>
      </c>
      <c r="F52" s="196">
        <v>545531000</v>
      </c>
      <c r="G52" s="196">
        <v>232554035</v>
      </c>
      <c r="H52" s="196">
        <v>232554035</v>
      </c>
      <c r="I52" s="251"/>
    </row>
    <row r="53" spans="1:9" s="192" customFormat="1" ht="49.9" customHeight="1" outlineLevel="1" x14ac:dyDescent="0.25">
      <c r="A53" s="613"/>
      <c r="B53" s="609" t="s">
        <v>407</v>
      </c>
      <c r="C53" s="195" t="s">
        <v>200</v>
      </c>
      <c r="D53" s="196">
        <v>536054131</v>
      </c>
      <c r="E53" s="196">
        <v>536054131</v>
      </c>
      <c r="F53" s="196">
        <v>437787131</v>
      </c>
      <c r="G53" s="196">
        <v>269195535</v>
      </c>
      <c r="H53" s="196">
        <v>269195535</v>
      </c>
      <c r="I53" s="251"/>
    </row>
    <row r="54" spans="1:9" s="192" customFormat="1" ht="49.9" customHeight="1" outlineLevel="1" x14ac:dyDescent="0.25">
      <c r="A54" s="613"/>
      <c r="B54" s="611"/>
      <c r="C54" s="195" t="s">
        <v>408</v>
      </c>
      <c r="D54" s="196">
        <v>20000000</v>
      </c>
      <c r="E54" s="196">
        <v>20000000</v>
      </c>
      <c r="F54" s="196">
        <v>0</v>
      </c>
      <c r="G54" s="196">
        <v>0</v>
      </c>
      <c r="H54" s="196">
        <v>0</v>
      </c>
      <c r="I54" s="251"/>
    </row>
    <row r="55" spans="1:9" s="192" customFormat="1" ht="49.9" customHeight="1" outlineLevel="1" x14ac:dyDescent="0.25">
      <c r="A55" s="613"/>
      <c r="B55" s="609" t="s">
        <v>409</v>
      </c>
      <c r="C55" s="195" t="s">
        <v>200</v>
      </c>
      <c r="D55" s="196">
        <v>1080590131</v>
      </c>
      <c r="E55" s="196">
        <v>1080590131</v>
      </c>
      <c r="F55" s="196">
        <v>618799416</v>
      </c>
      <c r="G55" s="196">
        <v>252268566</v>
      </c>
      <c r="H55" s="196">
        <v>252268566</v>
      </c>
      <c r="I55" s="251"/>
    </row>
    <row r="56" spans="1:9" s="192" customFormat="1" ht="49.9" customHeight="1" outlineLevel="1" x14ac:dyDescent="0.25">
      <c r="A56" s="613"/>
      <c r="B56" s="611"/>
      <c r="C56" s="195" t="s">
        <v>406</v>
      </c>
      <c r="D56" s="196">
        <v>319199869</v>
      </c>
      <c r="E56" s="196">
        <v>319199869</v>
      </c>
      <c r="F56" s="196">
        <v>286832000</v>
      </c>
      <c r="G56" s="196">
        <v>157706433</v>
      </c>
      <c r="H56" s="196">
        <v>157706433</v>
      </c>
      <c r="I56" s="251"/>
    </row>
    <row r="57" spans="1:9" s="192" customFormat="1" ht="49.9" customHeight="1" outlineLevel="1" x14ac:dyDescent="0.25">
      <c r="A57" s="613"/>
      <c r="B57" s="193" t="s">
        <v>410</v>
      </c>
      <c r="C57" s="195" t="s">
        <v>200</v>
      </c>
      <c r="D57" s="196">
        <v>263410000</v>
      </c>
      <c r="E57" s="196">
        <v>263410000</v>
      </c>
      <c r="F57" s="196">
        <v>191691000</v>
      </c>
      <c r="G57" s="196">
        <v>78561375</v>
      </c>
      <c r="H57" s="196">
        <v>78561375</v>
      </c>
      <c r="I57" s="251"/>
    </row>
    <row r="58" spans="1:9" s="192" customFormat="1" ht="49.9" customHeight="1" outlineLevel="1" x14ac:dyDescent="0.25">
      <c r="A58" s="614"/>
      <c r="B58" s="190" t="s">
        <v>411</v>
      </c>
      <c r="C58" s="195" t="s">
        <v>200</v>
      </c>
      <c r="D58" s="196">
        <v>790545944</v>
      </c>
      <c r="E58" s="196">
        <v>780545944</v>
      </c>
      <c r="F58" s="196">
        <v>488375819</v>
      </c>
      <c r="G58" s="196">
        <v>278527169</v>
      </c>
      <c r="H58" s="196">
        <v>278527169</v>
      </c>
      <c r="I58" s="251"/>
    </row>
    <row r="59" spans="1:9" s="192" customFormat="1" ht="49.9" customHeight="1" outlineLevel="1" x14ac:dyDescent="0.25">
      <c r="A59" s="612" t="s">
        <v>135</v>
      </c>
      <c r="B59" s="190" t="s">
        <v>402</v>
      </c>
      <c r="C59" s="195" t="s">
        <v>200</v>
      </c>
      <c r="D59" s="196">
        <v>450000000</v>
      </c>
      <c r="E59" s="197">
        <v>450000000</v>
      </c>
      <c r="F59" s="196">
        <v>447516000</v>
      </c>
      <c r="G59" s="196">
        <v>316341865</v>
      </c>
      <c r="H59" s="196">
        <f>+G59</f>
        <v>316341865</v>
      </c>
      <c r="I59" s="251"/>
    </row>
    <row r="60" spans="1:9" s="192" customFormat="1" ht="49.9" customHeight="1" outlineLevel="1" x14ac:dyDescent="0.25">
      <c r="A60" s="613"/>
      <c r="B60" s="609" t="s">
        <v>403</v>
      </c>
      <c r="C60" s="195" t="s">
        <v>200</v>
      </c>
      <c r="D60" s="196">
        <v>753985000</v>
      </c>
      <c r="E60" s="197">
        <v>763985000</v>
      </c>
      <c r="F60" s="196">
        <v>607617783</v>
      </c>
      <c r="G60" s="196">
        <v>387105399</v>
      </c>
      <c r="H60" s="196">
        <f t="shared" ref="H60:H68" si="0">+G60</f>
        <v>387105399</v>
      </c>
      <c r="I60" s="251"/>
    </row>
    <row r="61" spans="1:9" s="192" customFormat="1" ht="49.9" customHeight="1" outlineLevel="1" x14ac:dyDescent="0.25">
      <c r="A61" s="613"/>
      <c r="B61" s="611"/>
      <c r="C61" s="195" t="s">
        <v>404</v>
      </c>
      <c r="D61" s="196">
        <v>62855322</v>
      </c>
      <c r="E61" s="197">
        <v>62855322</v>
      </c>
      <c r="F61" s="196">
        <v>62855322</v>
      </c>
      <c r="G61" s="196">
        <v>62855322</v>
      </c>
      <c r="H61" s="196">
        <f t="shared" si="0"/>
        <v>62855322</v>
      </c>
      <c r="I61" s="251"/>
    </row>
    <row r="62" spans="1:9" s="192" customFormat="1" ht="49.9" customHeight="1" outlineLevel="1" x14ac:dyDescent="0.25">
      <c r="A62" s="613"/>
      <c r="B62" s="190" t="s">
        <v>405</v>
      </c>
      <c r="C62" s="195" t="s">
        <v>406</v>
      </c>
      <c r="D62" s="196">
        <v>658814131</v>
      </c>
      <c r="E62" s="197">
        <v>658814131</v>
      </c>
      <c r="F62" s="196">
        <v>644978000</v>
      </c>
      <c r="G62" s="196">
        <v>368534169</v>
      </c>
      <c r="H62" s="196">
        <f t="shared" si="0"/>
        <v>368534169</v>
      </c>
      <c r="I62" s="251"/>
    </row>
    <row r="63" spans="1:9" s="192" customFormat="1" ht="49.9" customHeight="1" outlineLevel="1" x14ac:dyDescent="0.25">
      <c r="A63" s="613"/>
      <c r="B63" s="609" t="s">
        <v>407</v>
      </c>
      <c r="C63" s="195" t="s">
        <v>200</v>
      </c>
      <c r="D63" s="196">
        <v>536054131</v>
      </c>
      <c r="E63" s="197">
        <v>536054131</v>
      </c>
      <c r="F63" s="196">
        <v>535986131</v>
      </c>
      <c r="G63" s="196">
        <v>403638440.30888337</v>
      </c>
      <c r="H63" s="196">
        <f t="shared" si="0"/>
        <v>403638440.30888337</v>
      </c>
      <c r="I63" s="251"/>
    </row>
    <row r="64" spans="1:9" s="192" customFormat="1" ht="49.9" customHeight="1" outlineLevel="1" x14ac:dyDescent="0.25">
      <c r="A64" s="613"/>
      <c r="B64" s="611"/>
      <c r="C64" s="195" t="s">
        <v>408</v>
      </c>
      <c r="D64" s="196">
        <v>20000000</v>
      </c>
      <c r="E64" s="196">
        <v>20000000</v>
      </c>
      <c r="F64" s="196">
        <v>0</v>
      </c>
      <c r="G64" s="196">
        <v>0</v>
      </c>
      <c r="H64" s="196">
        <v>0</v>
      </c>
      <c r="I64" s="251"/>
    </row>
    <row r="65" spans="1:9" s="192" customFormat="1" ht="49.9" customHeight="1" outlineLevel="1" x14ac:dyDescent="0.25">
      <c r="A65" s="613"/>
      <c r="B65" s="609" t="s">
        <v>409</v>
      </c>
      <c r="C65" s="195" t="s">
        <v>200</v>
      </c>
      <c r="D65" s="196">
        <v>1080590131</v>
      </c>
      <c r="E65" s="196">
        <v>1080590131</v>
      </c>
      <c r="F65" s="197">
        <v>1012453063</v>
      </c>
      <c r="G65" s="196">
        <v>505007680.18480587</v>
      </c>
      <c r="H65" s="196">
        <f t="shared" si="0"/>
        <v>505007680.18480587</v>
      </c>
      <c r="I65" s="251"/>
    </row>
    <row r="66" spans="1:9" s="192" customFormat="1" ht="49.9" customHeight="1" outlineLevel="1" x14ac:dyDescent="0.25">
      <c r="A66" s="613"/>
      <c r="B66" s="611"/>
      <c r="C66" s="195" t="s">
        <v>406</v>
      </c>
      <c r="D66" s="196">
        <v>319199869</v>
      </c>
      <c r="E66" s="196">
        <v>319199869</v>
      </c>
      <c r="F66" s="196">
        <v>313688000</v>
      </c>
      <c r="G66" s="196">
        <v>227490433</v>
      </c>
      <c r="H66" s="196">
        <f t="shared" si="0"/>
        <v>227490433</v>
      </c>
      <c r="I66" s="251"/>
    </row>
    <row r="67" spans="1:9" s="192" customFormat="1" ht="49.9" customHeight="1" outlineLevel="1" x14ac:dyDescent="0.25">
      <c r="A67" s="613"/>
      <c r="B67" s="193" t="s">
        <v>410</v>
      </c>
      <c r="C67" s="195" t="s">
        <v>200</v>
      </c>
      <c r="D67" s="196">
        <v>263410000</v>
      </c>
      <c r="E67" s="196">
        <v>263410000</v>
      </c>
      <c r="F67" s="196">
        <v>232617000</v>
      </c>
      <c r="G67" s="196">
        <v>139980686.50631076</v>
      </c>
      <c r="H67" s="196">
        <f t="shared" si="0"/>
        <v>139980686.50631076</v>
      </c>
      <c r="I67" s="251"/>
    </row>
    <row r="68" spans="1:9" s="192" customFormat="1" ht="49.9" customHeight="1" outlineLevel="1" x14ac:dyDescent="0.25">
      <c r="A68" s="614"/>
      <c r="B68" s="190" t="s">
        <v>411</v>
      </c>
      <c r="C68" s="195" t="s">
        <v>200</v>
      </c>
      <c r="D68" s="196">
        <v>790545944</v>
      </c>
      <c r="E68" s="197">
        <v>780545944</v>
      </c>
      <c r="F68" s="196">
        <v>731213017</v>
      </c>
      <c r="G68" s="196">
        <v>381508875</v>
      </c>
      <c r="H68" s="196">
        <f t="shared" si="0"/>
        <v>381508875</v>
      </c>
      <c r="I68" s="251"/>
    </row>
    <row r="69" spans="1:9" ht="16.5" customHeight="1" x14ac:dyDescent="0.25"/>
    <row r="70" spans="1:9" ht="26.25" customHeight="1" x14ac:dyDescent="0.25">
      <c r="A70" s="608" t="s">
        <v>136</v>
      </c>
      <c r="B70" s="608"/>
      <c r="C70" s="608"/>
      <c r="D70" s="608"/>
      <c r="E70" s="608"/>
      <c r="F70" s="608"/>
      <c r="G70" s="608"/>
      <c r="H70" s="608"/>
    </row>
    <row r="71" spans="1:9" ht="25.5" customHeight="1" x14ac:dyDescent="0.25">
      <c r="A71" s="188" t="s">
        <v>49</v>
      </c>
      <c r="B71" s="188" t="s">
        <v>401</v>
      </c>
      <c r="C71" s="46" t="s">
        <v>123</v>
      </c>
      <c r="D71" s="189" t="s">
        <v>124</v>
      </c>
      <c r="E71" s="189" t="s">
        <v>125</v>
      </c>
      <c r="F71" s="189" t="s">
        <v>126</v>
      </c>
      <c r="G71" s="189" t="s">
        <v>127</v>
      </c>
      <c r="H71" s="189" t="s">
        <v>128</v>
      </c>
    </row>
    <row r="72" spans="1:9" ht="49.9" customHeight="1" x14ac:dyDescent="0.25">
      <c r="A72" s="623" t="s">
        <v>137</v>
      </c>
      <c r="B72" s="190" t="s">
        <v>411</v>
      </c>
      <c r="C72" s="195" t="s">
        <v>200</v>
      </c>
      <c r="D72" s="196">
        <v>790545944</v>
      </c>
      <c r="E72" s="197">
        <v>780545944</v>
      </c>
      <c r="F72" s="47"/>
      <c r="G72" s="47"/>
      <c r="H72" s="47"/>
    </row>
    <row r="73" spans="1:9" ht="49.9" customHeight="1" x14ac:dyDescent="0.25">
      <c r="A73" s="623"/>
      <c r="B73" s="616" t="s">
        <v>403</v>
      </c>
      <c r="C73" s="195" t="s">
        <v>200</v>
      </c>
      <c r="D73" s="196">
        <v>753985000</v>
      </c>
      <c r="E73" s="197">
        <v>763985000</v>
      </c>
      <c r="F73" s="47"/>
      <c r="G73" s="47"/>
      <c r="H73" s="47"/>
    </row>
    <row r="74" spans="1:9" ht="49.9" customHeight="1" x14ac:dyDescent="0.25">
      <c r="A74" s="623"/>
      <c r="B74" s="616"/>
      <c r="C74" s="195" t="s">
        <v>404</v>
      </c>
      <c r="D74" s="196">
        <v>62855322</v>
      </c>
      <c r="E74" s="197">
        <v>62855322</v>
      </c>
      <c r="F74" s="47"/>
      <c r="G74" s="47"/>
      <c r="H74" s="47"/>
    </row>
    <row r="75" spans="1:9" ht="49.9" customHeight="1" x14ac:dyDescent="0.25">
      <c r="A75" s="623"/>
      <c r="B75" s="616" t="s">
        <v>409</v>
      </c>
      <c r="C75" s="195" t="s">
        <v>200</v>
      </c>
      <c r="D75" s="196">
        <v>1080590131</v>
      </c>
      <c r="E75" s="196">
        <v>1080590131</v>
      </c>
      <c r="F75" s="47"/>
      <c r="G75" s="47"/>
      <c r="H75" s="47"/>
    </row>
    <row r="76" spans="1:9" ht="49.9" customHeight="1" x14ac:dyDescent="0.25">
      <c r="A76" s="623"/>
      <c r="B76" s="616"/>
      <c r="C76" s="195" t="s">
        <v>406</v>
      </c>
      <c r="D76" s="196">
        <v>319199869</v>
      </c>
      <c r="E76" s="196">
        <v>319199869</v>
      </c>
      <c r="F76" s="47"/>
      <c r="G76" s="47"/>
      <c r="H76" s="47"/>
    </row>
    <row r="77" spans="1:9" ht="49.9" customHeight="1" x14ac:dyDescent="0.25">
      <c r="A77" s="623"/>
      <c r="B77" s="616" t="s">
        <v>407</v>
      </c>
      <c r="C77" s="195" t="s">
        <v>200</v>
      </c>
      <c r="D77" s="196">
        <v>536054131</v>
      </c>
      <c r="E77" s="197">
        <v>536054131</v>
      </c>
      <c r="F77" s="47"/>
      <c r="G77" s="47"/>
      <c r="H77" s="47"/>
    </row>
    <row r="78" spans="1:9" ht="49.9" customHeight="1" x14ac:dyDescent="0.25">
      <c r="A78" s="623"/>
      <c r="B78" s="616"/>
      <c r="C78" s="195" t="s">
        <v>408</v>
      </c>
      <c r="D78" s="196">
        <v>20000000</v>
      </c>
      <c r="E78" s="196">
        <v>20000000</v>
      </c>
      <c r="F78" s="47"/>
      <c r="G78" s="47"/>
      <c r="H78" s="47"/>
    </row>
    <row r="79" spans="1:9" ht="49.9" customHeight="1" x14ac:dyDescent="0.25">
      <c r="A79" s="623"/>
      <c r="B79" s="190" t="s">
        <v>410</v>
      </c>
      <c r="C79" s="195" t="s">
        <v>200</v>
      </c>
      <c r="D79" s="196">
        <v>263410000</v>
      </c>
      <c r="E79" s="196">
        <v>263410000</v>
      </c>
      <c r="F79" s="47"/>
      <c r="G79" s="47"/>
      <c r="H79" s="47"/>
    </row>
    <row r="80" spans="1:9" ht="49.9" customHeight="1" x14ac:dyDescent="0.25">
      <c r="A80" s="623"/>
      <c r="B80" s="190" t="s">
        <v>405</v>
      </c>
      <c r="C80" s="195" t="s">
        <v>406</v>
      </c>
      <c r="D80" s="196">
        <v>658814131</v>
      </c>
      <c r="E80" s="197">
        <v>658814131</v>
      </c>
      <c r="F80" s="47"/>
      <c r="G80" s="47"/>
      <c r="H80" s="47"/>
    </row>
    <row r="81" spans="1:8" ht="49.9" customHeight="1" x14ac:dyDescent="0.25">
      <c r="A81" s="623"/>
      <c r="B81" s="190" t="s">
        <v>402</v>
      </c>
      <c r="C81" s="195" t="s">
        <v>200</v>
      </c>
      <c r="D81" s="196">
        <v>450000000</v>
      </c>
      <c r="E81" s="197">
        <v>450000000</v>
      </c>
      <c r="F81" s="47"/>
      <c r="G81" s="47"/>
      <c r="H81" s="47"/>
    </row>
    <row r="82" spans="1:8" ht="49.9" customHeight="1" x14ac:dyDescent="0.25">
      <c r="A82" s="615" t="s">
        <v>138</v>
      </c>
      <c r="B82" s="190" t="s">
        <v>411</v>
      </c>
      <c r="C82" s="195" t="s">
        <v>412</v>
      </c>
      <c r="D82" s="196">
        <v>1564678000</v>
      </c>
      <c r="E82" s="197">
        <v>1564678000</v>
      </c>
      <c r="F82" s="197">
        <v>188232000</v>
      </c>
      <c r="G82" s="197">
        <v>188232000</v>
      </c>
      <c r="H82" s="197">
        <v>0</v>
      </c>
    </row>
    <row r="83" spans="1:8" ht="49.9" customHeight="1" x14ac:dyDescent="0.25">
      <c r="A83" s="615"/>
      <c r="B83" s="190" t="s">
        <v>403</v>
      </c>
      <c r="C83" s="195" t="s">
        <v>412</v>
      </c>
      <c r="D83" s="197">
        <v>1374057000</v>
      </c>
      <c r="E83" s="197">
        <v>1374057000</v>
      </c>
      <c r="F83" s="197">
        <v>582050000</v>
      </c>
      <c r="G83" s="197">
        <v>582050000</v>
      </c>
      <c r="H83" s="197">
        <v>0</v>
      </c>
    </row>
    <row r="84" spans="1:8" ht="49.9" customHeight="1" x14ac:dyDescent="0.25">
      <c r="A84" s="615"/>
      <c r="B84" s="616" t="s">
        <v>409</v>
      </c>
      <c r="C84" s="195" t="s">
        <v>412</v>
      </c>
      <c r="D84" s="196">
        <v>2007824000</v>
      </c>
      <c r="E84" s="196">
        <v>2007824000</v>
      </c>
      <c r="F84" s="196">
        <v>292843000</v>
      </c>
      <c r="G84" s="196">
        <v>292843000</v>
      </c>
      <c r="H84" s="197">
        <v>0</v>
      </c>
    </row>
    <row r="85" spans="1:8" ht="49.9" customHeight="1" x14ac:dyDescent="0.25">
      <c r="A85" s="615"/>
      <c r="B85" s="616"/>
      <c r="C85" s="195" t="s">
        <v>413</v>
      </c>
      <c r="D85" s="196">
        <v>792348000</v>
      </c>
      <c r="E85" s="196">
        <v>792348000</v>
      </c>
      <c r="F85" s="196">
        <v>115947000</v>
      </c>
      <c r="G85" s="196">
        <v>115947000</v>
      </c>
      <c r="H85" s="197">
        <v>0</v>
      </c>
    </row>
    <row r="86" spans="1:8" ht="49.9" customHeight="1" x14ac:dyDescent="0.25">
      <c r="A86" s="615"/>
      <c r="B86" s="616"/>
      <c r="C86" s="195" t="s">
        <v>414</v>
      </c>
      <c r="D86" s="196">
        <v>173604000</v>
      </c>
      <c r="E86" s="196">
        <v>173604000</v>
      </c>
      <c r="F86" s="196">
        <v>0</v>
      </c>
      <c r="G86" s="196">
        <v>0</v>
      </c>
      <c r="H86" s="197">
        <v>0</v>
      </c>
    </row>
    <row r="87" spans="1:8" ht="49.9" customHeight="1" x14ac:dyDescent="0.25">
      <c r="A87" s="615"/>
      <c r="B87" s="616" t="s">
        <v>407</v>
      </c>
      <c r="C87" s="195" t="s">
        <v>412</v>
      </c>
      <c r="D87" s="196">
        <v>1180481000</v>
      </c>
      <c r="E87" s="196">
        <v>1180481000</v>
      </c>
      <c r="F87" s="196">
        <v>740287000</v>
      </c>
      <c r="G87" s="196">
        <v>740287000</v>
      </c>
      <c r="H87" s="197">
        <v>0</v>
      </c>
    </row>
    <row r="88" spans="1:8" ht="49.9" customHeight="1" x14ac:dyDescent="0.25">
      <c r="A88" s="615"/>
      <c r="B88" s="616"/>
      <c r="C88" s="195" t="s">
        <v>414</v>
      </c>
      <c r="D88" s="196">
        <v>300000000</v>
      </c>
      <c r="E88" s="196">
        <v>300000000</v>
      </c>
      <c r="F88" s="196">
        <v>0</v>
      </c>
      <c r="G88" s="196">
        <v>0</v>
      </c>
      <c r="H88" s="197">
        <v>0</v>
      </c>
    </row>
    <row r="89" spans="1:8" ht="49.9" customHeight="1" x14ac:dyDescent="0.25">
      <c r="A89" s="615"/>
      <c r="B89" s="190" t="s">
        <v>410</v>
      </c>
      <c r="C89" s="195" t="s">
        <v>412</v>
      </c>
      <c r="D89" s="196">
        <v>689070000</v>
      </c>
      <c r="E89" s="196">
        <v>689070000</v>
      </c>
      <c r="F89" s="196">
        <v>34584000</v>
      </c>
      <c r="G89" s="196">
        <v>34584000</v>
      </c>
      <c r="H89" s="197">
        <v>0</v>
      </c>
    </row>
    <row r="90" spans="1:8" ht="49.9" customHeight="1" x14ac:dyDescent="0.25">
      <c r="A90" s="615"/>
      <c r="B90" s="616" t="s">
        <v>405</v>
      </c>
      <c r="C90" s="195" t="s">
        <v>413</v>
      </c>
      <c r="D90" s="196">
        <v>1277236000</v>
      </c>
      <c r="E90" s="197">
        <v>1277236000</v>
      </c>
      <c r="F90" s="197">
        <v>385283000</v>
      </c>
      <c r="G90" s="197">
        <v>385283000</v>
      </c>
      <c r="H90" s="197">
        <v>0</v>
      </c>
    </row>
    <row r="91" spans="1:8" ht="49.9" customHeight="1" x14ac:dyDescent="0.25">
      <c r="A91" s="615"/>
      <c r="B91" s="616"/>
      <c r="C91" s="195" t="s">
        <v>414</v>
      </c>
      <c r="D91" s="196">
        <v>16912000</v>
      </c>
      <c r="E91" s="197">
        <v>16912000</v>
      </c>
      <c r="F91" s="197">
        <v>0</v>
      </c>
      <c r="G91" s="197">
        <v>0</v>
      </c>
      <c r="H91" s="197">
        <v>0</v>
      </c>
    </row>
    <row r="92" spans="1:8" ht="49.9" customHeight="1" x14ac:dyDescent="0.25">
      <c r="A92" s="615"/>
      <c r="B92" s="190" t="s">
        <v>402</v>
      </c>
      <c r="C92" s="195" t="s">
        <v>412</v>
      </c>
      <c r="D92" s="196">
        <v>691670000</v>
      </c>
      <c r="E92" s="196">
        <v>691670000</v>
      </c>
      <c r="F92" s="197">
        <v>326043000</v>
      </c>
      <c r="G92" s="197">
        <v>326043000</v>
      </c>
      <c r="H92" s="197">
        <v>0</v>
      </c>
    </row>
    <row r="93" spans="1:8" ht="49.9" customHeight="1" x14ac:dyDescent="0.25">
      <c r="A93" s="615" t="s">
        <v>139</v>
      </c>
      <c r="B93" s="190" t="s">
        <v>411</v>
      </c>
      <c r="C93" s="195" t="s">
        <v>412</v>
      </c>
      <c r="D93" s="196">
        <v>1564678000</v>
      </c>
      <c r="E93" s="197">
        <v>1564678000</v>
      </c>
      <c r="F93" s="197">
        <v>537224000</v>
      </c>
      <c r="G93" s="197">
        <v>537224000</v>
      </c>
      <c r="H93" s="197">
        <v>0</v>
      </c>
    </row>
    <row r="94" spans="1:8" ht="49.9" customHeight="1" x14ac:dyDescent="0.25">
      <c r="A94" s="615"/>
      <c r="B94" s="190" t="s">
        <v>403</v>
      </c>
      <c r="C94" s="195" t="s">
        <v>412</v>
      </c>
      <c r="D94" s="197">
        <v>1374057000</v>
      </c>
      <c r="E94" s="197">
        <v>1374057000</v>
      </c>
      <c r="F94" s="197">
        <v>1121617000</v>
      </c>
      <c r="G94" s="197">
        <v>1121617000</v>
      </c>
      <c r="H94" s="197">
        <v>3498367</v>
      </c>
    </row>
    <row r="95" spans="1:8" ht="49.9" customHeight="1" x14ac:dyDescent="0.25">
      <c r="A95" s="615"/>
      <c r="B95" s="616" t="s">
        <v>409</v>
      </c>
      <c r="C95" s="195" t="s">
        <v>412</v>
      </c>
      <c r="D95" s="196">
        <v>2007824000</v>
      </c>
      <c r="E95" s="196">
        <v>2007824000</v>
      </c>
      <c r="F95" s="196">
        <v>1198459150</v>
      </c>
      <c r="G95" s="196">
        <v>1198459150</v>
      </c>
      <c r="H95" s="196">
        <v>34478553</v>
      </c>
    </row>
    <row r="96" spans="1:8" ht="49.9" customHeight="1" x14ac:dyDescent="0.25">
      <c r="A96" s="615"/>
      <c r="B96" s="616"/>
      <c r="C96" s="195" t="s">
        <v>413</v>
      </c>
      <c r="D96" s="196">
        <v>792348000</v>
      </c>
      <c r="E96" s="196">
        <v>792348000</v>
      </c>
      <c r="F96" s="196">
        <v>595485000</v>
      </c>
      <c r="G96" s="196">
        <v>595485000</v>
      </c>
      <c r="H96" s="196">
        <v>3931767</v>
      </c>
    </row>
    <row r="97" spans="1:8" ht="49.9" customHeight="1" x14ac:dyDescent="0.25">
      <c r="A97" s="615"/>
      <c r="B97" s="616"/>
      <c r="C97" s="195" t="s">
        <v>414</v>
      </c>
      <c r="D97" s="196">
        <v>173604000</v>
      </c>
      <c r="E97" s="196">
        <v>173604000</v>
      </c>
      <c r="F97" s="196">
        <v>0</v>
      </c>
      <c r="G97" s="196">
        <v>0</v>
      </c>
      <c r="H97" s="196">
        <v>0</v>
      </c>
    </row>
    <row r="98" spans="1:8" ht="49.9" customHeight="1" x14ac:dyDescent="0.25">
      <c r="A98" s="615"/>
      <c r="B98" s="616" t="s">
        <v>407</v>
      </c>
      <c r="C98" s="195" t="s">
        <v>412</v>
      </c>
      <c r="D98" s="196">
        <v>1180481000</v>
      </c>
      <c r="E98" s="196">
        <v>1180481000</v>
      </c>
      <c r="F98" s="196">
        <v>1001575000</v>
      </c>
      <c r="G98" s="196">
        <v>1001575000</v>
      </c>
      <c r="H98" s="196">
        <v>27208599</v>
      </c>
    </row>
    <row r="99" spans="1:8" ht="49.9" customHeight="1" x14ac:dyDescent="0.25">
      <c r="A99" s="615"/>
      <c r="B99" s="616"/>
      <c r="C99" s="195" t="s">
        <v>414</v>
      </c>
      <c r="D99" s="196">
        <v>300000000</v>
      </c>
      <c r="E99" s="196">
        <v>300000000</v>
      </c>
      <c r="F99" s="196">
        <v>0</v>
      </c>
      <c r="G99" s="196">
        <v>0</v>
      </c>
      <c r="H99" s="196">
        <v>0</v>
      </c>
    </row>
    <row r="100" spans="1:8" ht="49.9" customHeight="1" x14ac:dyDescent="0.25">
      <c r="A100" s="615"/>
      <c r="B100" s="190" t="s">
        <v>410</v>
      </c>
      <c r="C100" s="195" t="s">
        <v>412</v>
      </c>
      <c r="D100" s="196">
        <v>689070000</v>
      </c>
      <c r="E100" s="196">
        <v>689070000</v>
      </c>
      <c r="F100" s="196">
        <v>343006000</v>
      </c>
      <c r="G100" s="196">
        <v>343006000</v>
      </c>
      <c r="H100" s="196">
        <v>0</v>
      </c>
    </row>
    <row r="101" spans="1:8" ht="49.9" customHeight="1" x14ac:dyDescent="0.25">
      <c r="A101" s="615"/>
      <c r="B101" s="616" t="s">
        <v>405</v>
      </c>
      <c r="C101" s="195" t="s">
        <v>413</v>
      </c>
      <c r="D101" s="196">
        <v>1277236000</v>
      </c>
      <c r="E101" s="197">
        <v>1277236000</v>
      </c>
      <c r="F101" s="197">
        <v>1137979000</v>
      </c>
      <c r="G101" s="197">
        <v>1137979000</v>
      </c>
      <c r="H101" s="197">
        <v>2672200</v>
      </c>
    </row>
    <row r="102" spans="1:8" ht="49.9" customHeight="1" x14ac:dyDescent="0.25">
      <c r="A102" s="615"/>
      <c r="B102" s="616"/>
      <c r="C102" s="195" t="s">
        <v>414</v>
      </c>
      <c r="D102" s="196">
        <v>16912000</v>
      </c>
      <c r="E102" s="197">
        <v>16912000</v>
      </c>
      <c r="F102" s="197">
        <v>0</v>
      </c>
      <c r="G102" s="197">
        <v>0</v>
      </c>
      <c r="H102" s="197">
        <v>0</v>
      </c>
    </row>
    <row r="103" spans="1:8" ht="49.9" customHeight="1" x14ac:dyDescent="0.25">
      <c r="A103" s="615"/>
      <c r="B103" s="190" t="s">
        <v>402</v>
      </c>
      <c r="C103" s="195" t="s">
        <v>412</v>
      </c>
      <c r="D103" s="196">
        <v>691670000</v>
      </c>
      <c r="E103" s="196">
        <v>691670000</v>
      </c>
      <c r="F103" s="197">
        <v>415638000</v>
      </c>
      <c r="G103" s="197">
        <v>415638000</v>
      </c>
      <c r="H103" s="197">
        <v>13025300</v>
      </c>
    </row>
    <row r="104" spans="1:8" ht="49.9" customHeight="1" x14ac:dyDescent="0.25">
      <c r="A104" s="615" t="s">
        <v>140</v>
      </c>
      <c r="B104" s="190" t="s">
        <v>411</v>
      </c>
      <c r="C104" s="195" t="s">
        <v>412</v>
      </c>
      <c r="D104" s="196">
        <v>1564678000</v>
      </c>
      <c r="E104" s="197">
        <v>837335614</v>
      </c>
      <c r="F104" s="197">
        <v>664703857</v>
      </c>
      <c r="G104" s="197">
        <v>664703857</v>
      </c>
      <c r="H104" s="197">
        <v>41026232</v>
      </c>
    </row>
    <row r="105" spans="1:8" ht="49.9" customHeight="1" x14ac:dyDescent="0.25">
      <c r="A105" s="615"/>
      <c r="B105" s="190" t="s">
        <v>403</v>
      </c>
      <c r="C105" s="195" t="s">
        <v>412</v>
      </c>
      <c r="D105" s="197">
        <v>1374057000</v>
      </c>
      <c r="E105" s="197">
        <v>1262994000</v>
      </c>
      <c r="F105" s="197">
        <v>1215729000</v>
      </c>
      <c r="G105" s="197">
        <v>1215729000</v>
      </c>
      <c r="H105" s="197">
        <v>92283634</v>
      </c>
    </row>
    <row r="106" spans="1:8" ht="49.9" customHeight="1" x14ac:dyDescent="0.25">
      <c r="A106" s="615"/>
      <c r="B106" s="616" t="s">
        <v>409</v>
      </c>
      <c r="C106" s="195" t="s">
        <v>412</v>
      </c>
      <c r="D106" s="196">
        <v>2007824000</v>
      </c>
      <c r="E106" s="196">
        <v>1670091000</v>
      </c>
      <c r="F106" s="196">
        <v>1319795150</v>
      </c>
      <c r="G106" s="196">
        <v>1319795150</v>
      </c>
      <c r="H106" s="196">
        <v>76115753</v>
      </c>
    </row>
    <row r="107" spans="1:8" ht="49.9" customHeight="1" x14ac:dyDescent="0.25">
      <c r="A107" s="615"/>
      <c r="B107" s="616"/>
      <c r="C107" s="195" t="s">
        <v>413</v>
      </c>
      <c r="D107" s="196">
        <v>792348000</v>
      </c>
      <c r="E107" s="196">
        <v>792348000</v>
      </c>
      <c r="F107" s="196">
        <v>622989000</v>
      </c>
      <c r="G107" s="196">
        <v>622989000</v>
      </c>
      <c r="H107" s="196">
        <v>45443400</v>
      </c>
    </row>
    <row r="108" spans="1:8" ht="49.9" customHeight="1" x14ac:dyDescent="0.25">
      <c r="A108" s="615"/>
      <c r="B108" s="616"/>
      <c r="C108" s="195" t="s">
        <v>414</v>
      </c>
      <c r="D108" s="196">
        <v>173604000</v>
      </c>
      <c r="E108" s="196">
        <v>173604000</v>
      </c>
      <c r="F108" s="196">
        <v>0</v>
      </c>
      <c r="G108" s="196">
        <v>0</v>
      </c>
      <c r="H108" s="196">
        <v>0</v>
      </c>
    </row>
    <row r="109" spans="1:8" ht="49.9" customHeight="1" x14ac:dyDescent="0.25">
      <c r="A109" s="615"/>
      <c r="B109" s="616" t="s">
        <v>407</v>
      </c>
      <c r="C109" s="195" t="s">
        <v>412</v>
      </c>
      <c r="D109" s="196">
        <v>1180481000</v>
      </c>
      <c r="E109" s="196">
        <v>1153575000</v>
      </c>
      <c r="F109" s="196">
        <v>1001575000</v>
      </c>
      <c r="G109" s="196">
        <v>1001575000</v>
      </c>
      <c r="H109" s="196">
        <v>129841932</v>
      </c>
    </row>
    <row r="110" spans="1:8" ht="49.9" customHeight="1" x14ac:dyDescent="0.25">
      <c r="A110" s="615"/>
      <c r="B110" s="616"/>
      <c r="C110" s="195" t="s">
        <v>414</v>
      </c>
      <c r="D110" s="196">
        <v>300000000</v>
      </c>
      <c r="E110" s="196">
        <v>300000000</v>
      </c>
      <c r="F110" s="196">
        <v>0</v>
      </c>
      <c r="G110" s="196">
        <v>0</v>
      </c>
      <c r="H110" s="196">
        <v>0</v>
      </c>
    </row>
    <row r="111" spans="1:8" ht="49.9" customHeight="1" x14ac:dyDescent="0.25">
      <c r="A111" s="615"/>
      <c r="B111" s="190" t="s">
        <v>410</v>
      </c>
      <c r="C111" s="195" t="s">
        <v>412</v>
      </c>
      <c r="D111" s="196">
        <v>689070000</v>
      </c>
      <c r="E111" s="196">
        <v>483246000</v>
      </c>
      <c r="F111" s="196">
        <v>344744634</v>
      </c>
      <c r="G111" s="196">
        <v>344744634</v>
      </c>
      <c r="H111" s="196">
        <v>29463567</v>
      </c>
    </row>
    <row r="112" spans="1:8" ht="49.9" customHeight="1" x14ac:dyDescent="0.25">
      <c r="A112" s="615"/>
      <c r="B112" s="616" t="s">
        <v>405</v>
      </c>
      <c r="C112" s="195" t="s">
        <v>413</v>
      </c>
      <c r="D112" s="196">
        <v>1277236000</v>
      </c>
      <c r="E112" s="197">
        <v>1277236000</v>
      </c>
      <c r="F112" s="197">
        <v>1137979000</v>
      </c>
      <c r="G112" s="197">
        <v>1137979000</v>
      </c>
      <c r="H112" s="197">
        <v>52827934</v>
      </c>
    </row>
    <row r="113" spans="1:8" ht="49.9" customHeight="1" x14ac:dyDescent="0.25">
      <c r="A113" s="615"/>
      <c r="B113" s="616"/>
      <c r="C113" s="195" t="s">
        <v>414</v>
      </c>
      <c r="D113" s="196">
        <v>16912000</v>
      </c>
      <c r="E113" s="197">
        <v>16912000</v>
      </c>
      <c r="F113" s="197">
        <v>0</v>
      </c>
      <c r="G113" s="197">
        <v>0</v>
      </c>
      <c r="H113" s="197">
        <v>0</v>
      </c>
    </row>
    <row r="114" spans="1:8" ht="49.9" customHeight="1" x14ac:dyDescent="0.25">
      <c r="A114" s="615"/>
      <c r="B114" s="190" t="s">
        <v>402</v>
      </c>
      <c r="C114" s="195" t="s">
        <v>412</v>
      </c>
      <c r="D114" s="196">
        <v>691670000</v>
      </c>
      <c r="E114" s="196">
        <v>528678000</v>
      </c>
      <c r="F114" s="197">
        <v>516118000</v>
      </c>
      <c r="G114" s="197">
        <v>516118000</v>
      </c>
      <c r="H114" s="197">
        <v>54300600</v>
      </c>
    </row>
    <row r="115" spans="1:8" ht="49.9" customHeight="1" x14ac:dyDescent="0.25">
      <c r="A115" s="624" t="s">
        <v>141</v>
      </c>
      <c r="B115" s="190" t="s">
        <v>411</v>
      </c>
      <c r="C115" s="195" t="s">
        <v>412</v>
      </c>
      <c r="D115" s="214">
        <v>1564678000</v>
      </c>
      <c r="E115" s="215">
        <v>871335614</v>
      </c>
      <c r="F115" s="215">
        <v>664703857</v>
      </c>
      <c r="G115" s="215">
        <v>664703857</v>
      </c>
      <c r="H115" s="215">
        <v>118345946</v>
      </c>
    </row>
    <row r="116" spans="1:8" ht="49.9" customHeight="1" x14ac:dyDescent="0.25">
      <c r="A116" s="625"/>
      <c r="B116" s="190" t="s">
        <v>403</v>
      </c>
      <c r="C116" s="195" t="s">
        <v>412</v>
      </c>
      <c r="D116" s="215">
        <v>1374057000</v>
      </c>
      <c r="E116" s="215">
        <v>1262994000</v>
      </c>
      <c r="F116" s="215">
        <v>1215729000</v>
      </c>
      <c r="G116" s="215">
        <v>1215729000</v>
      </c>
      <c r="H116" s="215">
        <v>211528368</v>
      </c>
    </row>
    <row r="117" spans="1:8" ht="49.9" customHeight="1" x14ac:dyDescent="0.25">
      <c r="A117" s="625"/>
      <c r="B117" s="616" t="s">
        <v>409</v>
      </c>
      <c r="C117" s="195" t="s">
        <v>412</v>
      </c>
      <c r="D117" s="214">
        <v>2007824000</v>
      </c>
      <c r="E117" s="214">
        <v>1636091000</v>
      </c>
      <c r="F117" s="214">
        <v>1319795150</v>
      </c>
      <c r="G117" s="214">
        <v>1319795150</v>
      </c>
      <c r="H117" s="214">
        <v>267779765</v>
      </c>
    </row>
    <row r="118" spans="1:8" ht="49.9" customHeight="1" x14ac:dyDescent="0.25">
      <c r="A118" s="625"/>
      <c r="B118" s="616"/>
      <c r="C118" s="195" t="s">
        <v>413</v>
      </c>
      <c r="D118" s="214">
        <v>792348000</v>
      </c>
      <c r="E118" s="214">
        <v>792348000</v>
      </c>
      <c r="F118" s="214">
        <v>622989000</v>
      </c>
      <c r="G118" s="214">
        <v>622989000</v>
      </c>
      <c r="H118" s="214">
        <v>107635600</v>
      </c>
    </row>
    <row r="119" spans="1:8" ht="49.9" customHeight="1" x14ac:dyDescent="0.25">
      <c r="A119" s="625"/>
      <c r="B119" s="616"/>
      <c r="C119" s="195" t="s">
        <v>414</v>
      </c>
      <c r="D119" s="214">
        <v>173604000</v>
      </c>
      <c r="E119" s="214">
        <v>173604000</v>
      </c>
      <c r="F119" s="214">
        <v>0</v>
      </c>
      <c r="G119" s="214">
        <v>0</v>
      </c>
      <c r="H119" s="214">
        <v>0</v>
      </c>
    </row>
    <row r="120" spans="1:8" ht="49.9" customHeight="1" x14ac:dyDescent="0.25">
      <c r="A120" s="625"/>
      <c r="B120" s="616" t="s">
        <v>407</v>
      </c>
      <c r="C120" s="195" t="s">
        <v>412</v>
      </c>
      <c r="D120" s="214">
        <v>1180481000</v>
      </c>
      <c r="E120" s="214">
        <v>1153575000</v>
      </c>
      <c r="F120" s="214">
        <v>1001575000</v>
      </c>
      <c r="G120" s="214">
        <v>1001575000</v>
      </c>
      <c r="H120" s="214">
        <v>243619999</v>
      </c>
    </row>
    <row r="121" spans="1:8" ht="49.9" customHeight="1" x14ac:dyDescent="0.25">
      <c r="A121" s="625"/>
      <c r="B121" s="616"/>
      <c r="C121" s="195" t="s">
        <v>414</v>
      </c>
      <c r="D121" s="214">
        <v>300000000</v>
      </c>
      <c r="E121" s="214">
        <v>300000000</v>
      </c>
      <c r="F121" s="214">
        <v>0</v>
      </c>
      <c r="G121" s="214">
        <v>0</v>
      </c>
      <c r="H121" s="214">
        <v>0</v>
      </c>
    </row>
    <row r="122" spans="1:8" ht="49.9" customHeight="1" x14ac:dyDescent="0.25">
      <c r="A122" s="625"/>
      <c r="B122" s="190" t="s">
        <v>410</v>
      </c>
      <c r="C122" s="195" t="s">
        <v>412</v>
      </c>
      <c r="D122" s="214">
        <v>689070000</v>
      </c>
      <c r="E122" s="214">
        <v>483246000</v>
      </c>
      <c r="F122" s="214">
        <v>358986578</v>
      </c>
      <c r="G122" s="214">
        <v>358986578</v>
      </c>
      <c r="H122" s="214">
        <v>71775801</v>
      </c>
    </row>
    <row r="123" spans="1:8" ht="49.9" customHeight="1" x14ac:dyDescent="0.25">
      <c r="A123" s="625"/>
      <c r="B123" s="616" t="s">
        <v>405</v>
      </c>
      <c r="C123" s="195" t="s">
        <v>413</v>
      </c>
      <c r="D123" s="214">
        <v>1277236000</v>
      </c>
      <c r="E123" s="215">
        <v>1277236000</v>
      </c>
      <c r="F123" s="215">
        <v>1162045000</v>
      </c>
      <c r="G123" s="215">
        <v>1162045000</v>
      </c>
      <c r="H123" s="215">
        <v>164897501</v>
      </c>
    </row>
    <row r="124" spans="1:8" ht="49.9" customHeight="1" x14ac:dyDescent="0.25">
      <c r="A124" s="625"/>
      <c r="B124" s="616"/>
      <c r="C124" s="195" t="s">
        <v>414</v>
      </c>
      <c r="D124" s="214">
        <v>16912000</v>
      </c>
      <c r="E124" s="215">
        <v>16912000</v>
      </c>
      <c r="F124" s="215">
        <v>0</v>
      </c>
      <c r="G124" s="215">
        <v>0</v>
      </c>
      <c r="H124" s="215">
        <v>0</v>
      </c>
    </row>
    <row r="125" spans="1:8" ht="49.9" customHeight="1" x14ac:dyDescent="0.25">
      <c r="A125" s="626"/>
      <c r="B125" s="190" t="s">
        <v>402</v>
      </c>
      <c r="C125" s="195" t="s">
        <v>412</v>
      </c>
      <c r="D125" s="214">
        <v>691670000</v>
      </c>
      <c r="E125" s="214">
        <v>528678000</v>
      </c>
      <c r="F125" s="215">
        <v>516118000</v>
      </c>
      <c r="G125" s="215">
        <v>516118000</v>
      </c>
      <c r="H125" s="215">
        <v>104126700</v>
      </c>
    </row>
    <row r="126" spans="1:8" ht="49.9" customHeight="1" x14ac:dyDescent="0.25">
      <c r="A126" s="624" t="s">
        <v>142</v>
      </c>
      <c r="B126" s="190" t="s">
        <v>411</v>
      </c>
      <c r="C126" s="195" t="s">
        <v>412</v>
      </c>
      <c r="D126" s="214">
        <v>1564678000</v>
      </c>
      <c r="E126" s="215">
        <v>871335614</v>
      </c>
      <c r="F126" s="215">
        <v>871181753</v>
      </c>
      <c r="G126" s="215">
        <v>871181753</v>
      </c>
      <c r="H126" s="215">
        <v>208815171</v>
      </c>
    </row>
    <row r="127" spans="1:8" ht="49.9" customHeight="1" x14ac:dyDescent="0.25">
      <c r="A127" s="625"/>
      <c r="B127" s="190" t="s">
        <v>403</v>
      </c>
      <c r="C127" s="195" t="s">
        <v>412</v>
      </c>
      <c r="D127" s="215">
        <v>1374057000</v>
      </c>
      <c r="E127" s="215">
        <v>1262994000</v>
      </c>
      <c r="F127" s="215">
        <v>1215729000</v>
      </c>
      <c r="G127" s="215">
        <v>1215729000</v>
      </c>
      <c r="H127" s="215">
        <v>386596068</v>
      </c>
    </row>
    <row r="128" spans="1:8" ht="49.9" customHeight="1" x14ac:dyDescent="0.25">
      <c r="A128" s="625"/>
      <c r="B128" s="616" t="s">
        <v>409</v>
      </c>
      <c r="C128" s="195" t="s">
        <v>412</v>
      </c>
      <c r="D128" s="214">
        <v>2007824000</v>
      </c>
      <c r="E128" s="214">
        <v>1636091000</v>
      </c>
      <c r="F128" s="215">
        <v>1569526714</v>
      </c>
      <c r="G128" s="215">
        <v>1569526714</v>
      </c>
      <c r="H128" s="215">
        <v>483936563</v>
      </c>
    </row>
    <row r="129" spans="1:8" ht="49.9" customHeight="1" x14ac:dyDescent="0.25">
      <c r="A129" s="625"/>
      <c r="B129" s="616"/>
      <c r="C129" s="195" t="s">
        <v>413</v>
      </c>
      <c r="D129" s="214">
        <v>792348000</v>
      </c>
      <c r="E129" s="214">
        <v>792348000</v>
      </c>
      <c r="F129" s="215">
        <v>622989000</v>
      </c>
      <c r="G129" s="215">
        <v>622989000</v>
      </c>
      <c r="H129" s="215">
        <v>189768200</v>
      </c>
    </row>
    <row r="130" spans="1:8" ht="49.9" customHeight="1" x14ac:dyDescent="0.25">
      <c r="A130" s="625"/>
      <c r="B130" s="616"/>
      <c r="C130" s="195" t="s">
        <v>414</v>
      </c>
      <c r="D130" s="214">
        <v>173604000</v>
      </c>
      <c r="E130" s="214">
        <v>173604000</v>
      </c>
      <c r="F130" s="215">
        <v>0</v>
      </c>
      <c r="G130" s="215">
        <v>0</v>
      </c>
      <c r="H130" s="215">
        <v>0</v>
      </c>
    </row>
    <row r="131" spans="1:8" ht="49.9" customHeight="1" x14ac:dyDescent="0.25">
      <c r="A131" s="625"/>
      <c r="B131" s="616" t="s">
        <v>407</v>
      </c>
      <c r="C131" s="195" t="s">
        <v>412</v>
      </c>
      <c r="D131" s="214">
        <v>1180481000</v>
      </c>
      <c r="E131" s="214">
        <v>1153575000</v>
      </c>
      <c r="F131" s="215">
        <v>1151575000</v>
      </c>
      <c r="G131" s="215">
        <v>1151575000</v>
      </c>
      <c r="H131" s="215">
        <v>358671999</v>
      </c>
    </row>
    <row r="132" spans="1:8" ht="49.9" customHeight="1" x14ac:dyDescent="0.25">
      <c r="A132" s="625"/>
      <c r="B132" s="616"/>
      <c r="C132" s="195" t="s">
        <v>414</v>
      </c>
      <c r="D132" s="214">
        <v>300000000</v>
      </c>
      <c r="E132" s="214">
        <v>300000000</v>
      </c>
      <c r="F132" s="215">
        <v>0</v>
      </c>
      <c r="G132" s="215">
        <v>0</v>
      </c>
      <c r="H132" s="215">
        <v>0</v>
      </c>
    </row>
    <row r="133" spans="1:8" ht="49.9" customHeight="1" x14ac:dyDescent="0.25">
      <c r="A133" s="625"/>
      <c r="B133" s="190" t="s">
        <v>410</v>
      </c>
      <c r="C133" s="195" t="s">
        <v>412</v>
      </c>
      <c r="D133" s="214">
        <v>689070000</v>
      </c>
      <c r="E133" s="214">
        <v>483246000</v>
      </c>
      <c r="F133" s="215">
        <v>455766292</v>
      </c>
      <c r="G133" s="215">
        <v>455766292</v>
      </c>
      <c r="H133" s="215">
        <v>122385759</v>
      </c>
    </row>
    <row r="134" spans="1:8" ht="49.9" customHeight="1" x14ac:dyDescent="0.25">
      <c r="A134" s="625"/>
      <c r="B134" s="616" t="s">
        <v>405</v>
      </c>
      <c r="C134" s="195" t="s">
        <v>413</v>
      </c>
      <c r="D134" s="214">
        <v>1277236000</v>
      </c>
      <c r="E134" s="215">
        <v>1277236000</v>
      </c>
      <c r="F134" s="215">
        <v>1162045000</v>
      </c>
      <c r="G134" s="215">
        <v>1162045000</v>
      </c>
      <c r="H134" s="215">
        <v>318285901</v>
      </c>
    </row>
    <row r="135" spans="1:8" ht="49.9" customHeight="1" x14ac:dyDescent="0.25">
      <c r="A135" s="625"/>
      <c r="B135" s="616"/>
      <c r="C135" s="195" t="s">
        <v>414</v>
      </c>
      <c r="D135" s="214">
        <v>16912000</v>
      </c>
      <c r="E135" s="215">
        <v>16912000</v>
      </c>
      <c r="F135" s="215">
        <v>0</v>
      </c>
      <c r="G135" s="215">
        <v>0</v>
      </c>
      <c r="H135" s="215">
        <v>0</v>
      </c>
    </row>
    <row r="136" spans="1:8" ht="49.9" customHeight="1" x14ac:dyDescent="0.25">
      <c r="A136" s="626"/>
      <c r="B136" s="190" t="s">
        <v>402</v>
      </c>
      <c r="C136" s="195" t="s">
        <v>412</v>
      </c>
      <c r="D136" s="214">
        <v>691670000</v>
      </c>
      <c r="E136" s="214">
        <v>528678000</v>
      </c>
      <c r="F136" s="215">
        <v>516118000</v>
      </c>
      <c r="G136" s="215">
        <v>516118000</v>
      </c>
      <c r="H136" s="215">
        <v>163380167</v>
      </c>
    </row>
    <row r="137" spans="1:8" ht="49.9" customHeight="1" x14ac:dyDescent="0.25">
      <c r="A137" s="624" t="s">
        <v>130</v>
      </c>
      <c r="B137" s="218" t="s">
        <v>411</v>
      </c>
      <c r="C137" s="195" t="s">
        <v>412</v>
      </c>
      <c r="D137" s="214">
        <v>1564678000</v>
      </c>
      <c r="E137" s="215">
        <v>871335614</v>
      </c>
      <c r="F137" s="215">
        <v>871181753</v>
      </c>
      <c r="G137" s="215">
        <v>871181753</v>
      </c>
      <c r="H137" s="215">
        <v>283862781</v>
      </c>
    </row>
    <row r="138" spans="1:8" ht="49.9" customHeight="1" x14ac:dyDescent="0.25">
      <c r="A138" s="625"/>
      <c r="B138" s="218" t="s">
        <v>403</v>
      </c>
      <c r="C138" s="195" t="s">
        <v>412</v>
      </c>
      <c r="D138" s="215">
        <v>1374057000</v>
      </c>
      <c r="E138" s="215">
        <v>1262994000</v>
      </c>
      <c r="F138" s="215">
        <v>1215729000</v>
      </c>
      <c r="G138" s="215">
        <v>1240619000</v>
      </c>
      <c r="H138" s="215">
        <v>533879068</v>
      </c>
    </row>
    <row r="139" spans="1:8" ht="49.9" customHeight="1" x14ac:dyDescent="0.25">
      <c r="A139" s="625"/>
      <c r="B139" s="616" t="s">
        <v>409</v>
      </c>
      <c r="C139" s="195" t="s">
        <v>412</v>
      </c>
      <c r="D139" s="214">
        <v>2007824000</v>
      </c>
      <c r="E139" s="214">
        <v>1636091000</v>
      </c>
      <c r="F139" s="215">
        <v>1569526714</v>
      </c>
      <c r="G139" s="215">
        <v>1569526714</v>
      </c>
      <c r="H139" s="215">
        <v>619554113</v>
      </c>
    </row>
    <row r="140" spans="1:8" ht="49.9" customHeight="1" x14ac:dyDescent="0.25">
      <c r="A140" s="625"/>
      <c r="B140" s="616"/>
      <c r="C140" s="195" t="s">
        <v>413</v>
      </c>
      <c r="D140" s="214">
        <v>792348000</v>
      </c>
      <c r="E140" s="214">
        <v>792348000</v>
      </c>
      <c r="F140" s="215">
        <v>622989000</v>
      </c>
      <c r="G140" s="215">
        <v>622989000</v>
      </c>
      <c r="H140" s="215">
        <v>262045200</v>
      </c>
    </row>
    <row r="141" spans="1:8" ht="49.9" customHeight="1" x14ac:dyDescent="0.25">
      <c r="A141" s="625"/>
      <c r="B141" s="616"/>
      <c r="C141" s="195" t="s">
        <v>414</v>
      </c>
      <c r="D141" s="214">
        <v>173604000</v>
      </c>
      <c r="E141" s="214">
        <v>173604000</v>
      </c>
      <c r="F141" s="215">
        <v>0</v>
      </c>
      <c r="G141" s="215">
        <v>0</v>
      </c>
      <c r="H141" s="215">
        <v>0</v>
      </c>
    </row>
    <row r="142" spans="1:8" ht="49.9" customHeight="1" x14ac:dyDescent="0.25">
      <c r="A142" s="625"/>
      <c r="B142" s="616" t="s">
        <v>407</v>
      </c>
      <c r="C142" s="195" t="s">
        <v>412</v>
      </c>
      <c r="D142" s="214">
        <v>1180481000</v>
      </c>
      <c r="E142" s="214">
        <v>1153575000</v>
      </c>
      <c r="F142" s="215">
        <v>1151575000</v>
      </c>
      <c r="G142" s="215">
        <v>1151575000</v>
      </c>
      <c r="H142" s="215">
        <v>470285999</v>
      </c>
    </row>
    <row r="143" spans="1:8" ht="49.9" customHeight="1" x14ac:dyDescent="0.25">
      <c r="A143" s="625"/>
      <c r="B143" s="616"/>
      <c r="C143" s="195" t="s">
        <v>414</v>
      </c>
      <c r="D143" s="214">
        <v>300000000</v>
      </c>
      <c r="E143" s="214">
        <v>300000000</v>
      </c>
      <c r="F143" s="215">
        <v>0</v>
      </c>
      <c r="G143" s="215">
        <v>0</v>
      </c>
      <c r="H143" s="215">
        <v>0</v>
      </c>
    </row>
    <row r="144" spans="1:8" ht="49.9" customHeight="1" x14ac:dyDescent="0.25">
      <c r="A144" s="625"/>
      <c r="B144" s="218" t="s">
        <v>410</v>
      </c>
      <c r="C144" s="195" t="s">
        <v>412</v>
      </c>
      <c r="D144" s="214">
        <v>689070000</v>
      </c>
      <c r="E144" s="214">
        <v>483246000</v>
      </c>
      <c r="F144" s="215">
        <v>455766292</v>
      </c>
      <c r="G144" s="215">
        <v>455766292</v>
      </c>
      <c r="H144" s="215">
        <v>175150260</v>
      </c>
    </row>
    <row r="145" spans="1:8" ht="49.9" customHeight="1" x14ac:dyDescent="0.25">
      <c r="A145" s="625"/>
      <c r="B145" s="616" t="s">
        <v>405</v>
      </c>
      <c r="C145" s="195" t="s">
        <v>413</v>
      </c>
      <c r="D145" s="214">
        <v>1277236000</v>
      </c>
      <c r="E145" s="215">
        <v>1277236000</v>
      </c>
      <c r="F145" s="215">
        <v>1162045000</v>
      </c>
      <c r="G145" s="215">
        <v>1162045000</v>
      </c>
      <c r="H145" s="215">
        <v>452002301</v>
      </c>
    </row>
    <row r="146" spans="1:8" ht="49.9" customHeight="1" x14ac:dyDescent="0.25">
      <c r="A146" s="625"/>
      <c r="B146" s="616"/>
      <c r="C146" s="195" t="s">
        <v>414</v>
      </c>
      <c r="D146" s="214">
        <v>16912000</v>
      </c>
      <c r="E146" s="215">
        <v>16912000</v>
      </c>
      <c r="F146" s="215">
        <v>0</v>
      </c>
      <c r="G146" s="215">
        <v>0</v>
      </c>
      <c r="H146" s="215">
        <v>0</v>
      </c>
    </row>
    <row r="147" spans="1:8" ht="49.9" customHeight="1" x14ac:dyDescent="0.25">
      <c r="A147" s="626"/>
      <c r="B147" s="218" t="s">
        <v>402</v>
      </c>
      <c r="C147" s="195" t="s">
        <v>412</v>
      </c>
      <c r="D147" s="214">
        <v>691670000</v>
      </c>
      <c r="E147" s="214">
        <v>528678000</v>
      </c>
      <c r="F147" s="215">
        <v>516118000</v>
      </c>
      <c r="G147" s="215">
        <v>516118000</v>
      </c>
      <c r="H147" s="215">
        <v>222122167</v>
      </c>
    </row>
    <row r="148" spans="1:8" ht="51" customHeight="1" x14ac:dyDescent="0.25">
      <c r="A148" s="624" t="s">
        <v>131</v>
      </c>
      <c r="B148" s="244" t="s">
        <v>411</v>
      </c>
      <c r="C148" s="195" t="s">
        <v>412</v>
      </c>
      <c r="D148" s="214">
        <v>1564678000</v>
      </c>
      <c r="E148" s="215">
        <v>1598678000</v>
      </c>
      <c r="F148" s="215">
        <v>871181753</v>
      </c>
      <c r="G148" s="215">
        <v>871181753</v>
      </c>
      <c r="H148" s="215">
        <v>437562435</v>
      </c>
    </row>
    <row r="149" spans="1:8" ht="51" customHeight="1" x14ac:dyDescent="0.25">
      <c r="A149" s="625"/>
      <c r="B149" s="244" t="s">
        <v>403</v>
      </c>
      <c r="C149" s="195" t="s">
        <v>412</v>
      </c>
      <c r="D149" s="215">
        <v>1374057000</v>
      </c>
      <c r="E149" s="215">
        <v>1374057000</v>
      </c>
      <c r="F149" s="215">
        <v>1240619000</v>
      </c>
      <c r="G149" s="215">
        <v>1240619000</v>
      </c>
      <c r="H149" s="215">
        <v>676839068</v>
      </c>
    </row>
    <row r="150" spans="1:8" ht="51" customHeight="1" x14ac:dyDescent="0.25">
      <c r="A150" s="625"/>
      <c r="B150" s="616" t="s">
        <v>409</v>
      </c>
      <c r="C150" s="195" t="s">
        <v>412</v>
      </c>
      <c r="D150" s="214">
        <v>2007824000</v>
      </c>
      <c r="E150" s="214">
        <v>1948824000</v>
      </c>
      <c r="F150" s="215">
        <v>1569526714</v>
      </c>
      <c r="G150" s="215">
        <v>1569526714</v>
      </c>
      <c r="H150" s="215">
        <v>753836463</v>
      </c>
    </row>
    <row r="151" spans="1:8" ht="51" customHeight="1" x14ac:dyDescent="0.25">
      <c r="A151" s="625"/>
      <c r="B151" s="616"/>
      <c r="C151" s="195" t="s">
        <v>413</v>
      </c>
      <c r="D151" s="214">
        <v>792348000</v>
      </c>
      <c r="E151" s="214">
        <v>792348000</v>
      </c>
      <c r="F151" s="215">
        <v>622989000</v>
      </c>
      <c r="G151" s="215">
        <v>622989000</v>
      </c>
      <c r="H151" s="215">
        <v>334322200</v>
      </c>
    </row>
    <row r="152" spans="1:8" ht="51" customHeight="1" x14ac:dyDescent="0.25">
      <c r="A152" s="625"/>
      <c r="B152" s="616"/>
      <c r="C152" s="195" t="s">
        <v>414</v>
      </c>
      <c r="D152" s="214">
        <v>173604000</v>
      </c>
      <c r="E152" s="214">
        <v>173604000</v>
      </c>
      <c r="F152" s="215">
        <v>0</v>
      </c>
      <c r="G152" s="215">
        <v>0</v>
      </c>
      <c r="H152" s="215">
        <v>0</v>
      </c>
    </row>
    <row r="153" spans="1:8" ht="51" customHeight="1" x14ac:dyDescent="0.25">
      <c r="A153" s="625"/>
      <c r="B153" s="616" t="s">
        <v>407</v>
      </c>
      <c r="C153" s="195" t="s">
        <v>412</v>
      </c>
      <c r="D153" s="214">
        <v>1180481000</v>
      </c>
      <c r="E153" s="214">
        <v>1180481000</v>
      </c>
      <c r="F153" s="215">
        <v>1151575000</v>
      </c>
      <c r="G153" s="215">
        <v>1151575000</v>
      </c>
      <c r="H153" s="215">
        <v>581899999</v>
      </c>
    </row>
    <row r="154" spans="1:8" ht="51" customHeight="1" x14ac:dyDescent="0.25">
      <c r="A154" s="625"/>
      <c r="B154" s="616"/>
      <c r="C154" s="195" t="s">
        <v>414</v>
      </c>
      <c r="D154" s="214">
        <v>300000000</v>
      </c>
      <c r="E154" s="214">
        <v>300000000</v>
      </c>
      <c r="F154" s="215">
        <v>0</v>
      </c>
      <c r="G154" s="215">
        <v>0</v>
      </c>
      <c r="H154" s="215">
        <v>0</v>
      </c>
    </row>
    <row r="155" spans="1:8" ht="51" customHeight="1" x14ac:dyDescent="0.25">
      <c r="A155" s="625"/>
      <c r="B155" s="244" t="s">
        <v>410</v>
      </c>
      <c r="C155" s="195" t="s">
        <v>412</v>
      </c>
      <c r="D155" s="214">
        <v>689070000</v>
      </c>
      <c r="E155" s="214">
        <v>714070000</v>
      </c>
      <c r="F155" s="215">
        <v>492530292</v>
      </c>
      <c r="G155" s="215">
        <v>492530292</v>
      </c>
      <c r="H155" s="215">
        <v>214552860</v>
      </c>
    </row>
    <row r="156" spans="1:8" ht="51" customHeight="1" x14ac:dyDescent="0.25">
      <c r="A156" s="625"/>
      <c r="B156" s="616" t="s">
        <v>405</v>
      </c>
      <c r="C156" s="195" t="s">
        <v>413</v>
      </c>
      <c r="D156" s="214">
        <v>1277236000</v>
      </c>
      <c r="E156" s="215">
        <v>1277236000</v>
      </c>
      <c r="F156" s="215">
        <v>1162045000</v>
      </c>
      <c r="G156" s="215">
        <v>1162045000</v>
      </c>
      <c r="H156" s="215">
        <v>586299268</v>
      </c>
    </row>
    <row r="157" spans="1:8" ht="51" customHeight="1" x14ac:dyDescent="0.25">
      <c r="A157" s="625"/>
      <c r="B157" s="616"/>
      <c r="C157" s="195" t="s">
        <v>414</v>
      </c>
      <c r="D157" s="214">
        <v>16912000</v>
      </c>
      <c r="E157" s="215">
        <v>16912000</v>
      </c>
      <c r="F157" s="215">
        <v>0</v>
      </c>
      <c r="G157" s="215">
        <v>0</v>
      </c>
      <c r="H157" s="215">
        <v>0</v>
      </c>
    </row>
    <row r="158" spans="1:8" ht="51" customHeight="1" x14ac:dyDescent="0.25">
      <c r="A158" s="626"/>
      <c r="B158" s="244" t="s">
        <v>402</v>
      </c>
      <c r="C158" s="195" t="s">
        <v>412</v>
      </c>
      <c r="D158" s="214">
        <v>691670000</v>
      </c>
      <c r="E158" s="214">
        <v>691670000</v>
      </c>
      <c r="F158" s="215">
        <v>516118000</v>
      </c>
      <c r="G158" s="215">
        <v>516118000</v>
      </c>
      <c r="H158" s="215">
        <v>280864167</v>
      </c>
    </row>
    <row r="159" spans="1:8" ht="49.9" customHeight="1" x14ac:dyDescent="0.25">
      <c r="A159" s="624" t="s">
        <v>132</v>
      </c>
      <c r="B159" s="247" t="s">
        <v>411</v>
      </c>
      <c r="C159" s="195" t="s">
        <v>412</v>
      </c>
      <c r="D159" s="214">
        <v>1564678000</v>
      </c>
      <c r="E159" s="215">
        <v>1534521300</v>
      </c>
      <c r="F159" s="215">
        <v>898822087</v>
      </c>
      <c r="G159" s="215">
        <v>898822087</v>
      </c>
      <c r="H159" s="215">
        <v>529153691</v>
      </c>
    </row>
    <row r="160" spans="1:8" ht="49.9" customHeight="1" x14ac:dyDescent="0.25">
      <c r="A160" s="625"/>
      <c r="B160" s="247" t="s">
        <v>403</v>
      </c>
      <c r="C160" s="195" t="s">
        <v>412</v>
      </c>
      <c r="D160" s="215">
        <v>1374057000</v>
      </c>
      <c r="E160" s="215">
        <v>1389997314</v>
      </c>
      <c r="F160" s="215">
        <v>1256382667</v>
      </c>
      <c r="G160" s="215">
        <v>1256382667</v>
      </c>
      <c r="H160" s="215">
        <v>826270468</v>
      </c>
    </row>
    <row r="161" spans="1:8" ht="49.9" customHeight="1" x14ac:dyDescent="0.25">
      <c r="A161" s="625"/>
      <c r="B161" s="616" t="s">
        <v>409</v>
      </c>
      <c r="C161" s="195" t="s">
        <v>412</v>
      </c>
      <c r="D161" s="214">
        <v>2007824000</v>
      </c>
      <c r="E161" s="214">
        <v>1964948316</v>
      </c>
      <c r="F161" s="215">
        <v>1574880714</v>
      </c>
      <c r="G161" s="215">
        <v>1574880714</v>
      </c>
      <c r="H161" s="215">
        <v>928120702</v>
      </c>
    </row>
    <row r="162" spans="1:8" ht="49.9" customHeight="1" x14ac:dyDescent="0.25">
      <c r="A162" s="625"/>
      <c r="B162" s="616"/>
      <c r="C162" s="195" t="s">
        <v>413</v>
      </c>
      <c r="D162" s="214">
        <v>792348000</v>
      </c>
      <c r="E162" s="214">
        <v>792348000</v>
      </c>
      <c r="F162" s="215">
        <v>630861834</v>
      </c>
      <c r="G162" s="215">
        <v>630861834</v>
      </c>
      <c r="H162" s="215">
        <v>403161200</v>
      </c>
    </row>
    <row r="163" spans="1:8" ht="49.9" customHeight="1" x14ac:dyDescent="0.25">
      <c r="A163" s="625"/>
      <c r="B163" s="616"/>
      <c r="C163" s="195" t="s">
        <v>414</v>
      </c>
      <c r="D163" s="214">
        <v>173604000</v>
      </c>
      <c r="E163" s="214">
        <v>173604000</v>
      </c>
      <c r="F163" s="215">
        <v>0</v>
      </c>
      <c r="G163" s="215">
        <v>0</v>
      </c>
      <c r="H163" s="215">
        <v>0</v>
      </c>
    </row>
    <row r="164" spans="1:8" ht="49.9" customHeight="1" x14ac:dyDescent="0.25">
      <c r="A164" s="625"/>
      <c r="B164" s="616" t="s">
        <v>407</v>
      </c>
      <c r="C164" s="195" t="s">
        <v>412</v>
      </c>
      <c r="D164" s="214">
        <v>1180481000</v>
      </c>
      <c r="E164" s="214">
        <v>1287481000</v>
      </c>
      <c r="F164" s="215">
        <v>1151575000</v>
      </c>
      <c r="G164" s="215">
        <v>1151575000</v>
      </c>
      <c r="H164" s="215">
        <v>693513999</v>
      </c>
    </row>
    <row r="165" spans="1:8" ht="49.9" customHeight="1" x14ac:dyDescent="0.25">
      <c r="A165" s="625"/>
      <c r="B165" s="616"/>
      <c r="C165" s="195" t="s">
        <v>414</v>
      </c>
      <c r="D165" s="214">
        <v>300000000</v>
      </c>
      <c r="E165" s="214">
        <v>300000000</v>
      </c>
      <c r="F165" s="215">
        <v>0</v>
      </c>
      <c r="G165" s="215">
        <v>0</v>
      </c>
      <c r="H165" s="215">
        <v>0</v>
      </c>
    </row>
    <row r="166" spans="1:8" ht="49.9" customHeight="1" x14ac:dyDescent="0.25">
      <c r="A166" s="625"/>
      <c r="B166" s="247" t="s">
        <v>410</v>
      </c>
      <c r="C166" s="195" t="s">
        <v>412</v>
      </c>
      <c r="D166" s="214">
        <v>689070000</v>
      </c>
      <c r="E166" s="214">
        <v>749390000</v>
      </c>
      <c r="F166" s="215">
        <v>492530292</v>
      </c>
      <c r="G166" s="215">
        <v>492530292</v>
      </c>
      <c r="H166" s="215">
        <v>254011027</v>
      </c>
    </row>
    <row r="167" spans="1:8" ht="49.9" customHeight="1" x14ac:dyDescent="0.25">
      <c r="A167" s="625"/>
      <c r="B167" s="616" t="s">
        <v>405</v>
      </c>
      <c r="C167" s="195" t="s">
        <v>413</v>
      </c>
      <c r="D167" s="214">
        <v>1277236000</v>
      </c>
      <c r="E167" s="215">
        <v>1277236000</v>
      </c>
      <c r="F167" s="215">
        <v>1169728500</v>
      </c>
      <c r="G167" s="215">
        <v>1169728500</v>
      </c>
      <c r="H167" s="215">
        <v>730050201</v>
      </c>
    </row>
    <row r="168" spans="1:8" ht="49.9" customHeight="1" x14ac:dyDescent="0.25">
      <c r="A168" s="625"/>
      <c r="B168" s="616"/>
      <c r="C168" s="195" t="s">
        <v>414</v>
      </c>
      <c r="D168" s="214">
        <v>16912000</v>
      </c>
      <c r="E168" s="215">
        <v>16912000</v>
      </c>
      <c r="F168" s="215">
        <v>16912000</v>
      </c>
      <c r="G168" s="215">
        <v>16912000</v>
      </c>
      <c r="H168" s="215">
        <v>0</v>
      </c>
    </row>
    <row r="169" spans="1:8" ht="49.9" customHeight="1" x14ac:dyDescent="0.25">
      <c r="A169" s="626"/>
      <c r="B169" s="247" t="s">
        <v>402</v>
      </c>
      <c r="C169" s="195" t="s">
        <v>412</v>
      </c>
      <c r="D169" s="214">
        <v>691670000</v>
      </c>
      <c r="E169" s="214">
        <v>557942070</v>
      </c>
      <c r="F169" s="215">
        <v>516118000</v>
      </c>
      <c r="G169" s="215">
        <v>516118000</v>
      </c>
      <c r="H169" s="215">
        <v>339606167</v>
      </c>
    </row>
    <row r="170" spans="1:8" ht="16.5" customHeight="1" x14ac:dyDescent="0.25">
      <c r="A170" s="47" t="s">
        <v>133</v>
      </c>
      <c r="B170" s="47"/>
      <c r="C170" s="47"/>
      <c r="D170" s="47"/>
      <c r="E170" s="47"/>
      <c r="F170" s="47"/>
      <c r="G170" s="47"/>
      <c r="H170" s="47"/>
    </row>
    <row r="171" spans="1:8" ht="16.5" customHeight="1" x14ac:dyDescent="0.25">
      <c r="A171" s="47" t="s">
        <v>134</v>
      </c>
      <c r="B171" s="47"/>
      <c r="C171" s="47"/>
      <c r="D171" s="47"/>
      <c r="E171" s="47"/>
      <c r="F171" s="47"/>
      <c r="G171" s="47"/>
      <c r="H171" s="47"/>
    </row>
    <row r="172" spans="1:8" ht="16.5" customHeight="1" x14ac:dyDescent="0.25">
      <c r="A172" s="47" t="s">
        <v>135</v>
      </c>
      <c r="B172" s="47"/>
      <c r="C172" s="47"/>
      <c r="D172" s="47"/>
      <c r="E172" s="47"/>
      <c r="F172" s="47"/>
      <c r="G172" s="47"/>
      <c r="H172" s="47"/>
    </row>
    <row r="173" spans="1:8" ht="16.5" customHeight="1" x14ac:dyDescent="0.25"/>
    <row r="174" spans="1:8" ht="24.75" hidden="1" customHeight="1" x14ac:dyDescent="0.25">
      <c r="A174" s="608" t="s">
        <v>143</v>
      </c>
      <c r="B174" s="608"/>
      <c r="C174" s="608"/>
      <c r="D174" s="608"/>
      <c r="E174" s="608"/>
      <c r="F174" s="608"/>
      <c r="G174" s="608"/>
      <c r="H174" s="608"/>
    </row>
    <row r="175" spans="1:8" ht="25.5" hidden="1" customHeight="1" x14ac:dyDescent="0.25">
      <c r="A175" s="188" t="s">
        <v>62</v>
      </c>
      <c r="B175" s="46" t="s">
        <v>123</v>
      </c>
      <c r="C175" s="46" t="s">
        <v>124</v>
      </c>
      <c r="D175" s="46" t="s">
        <v>125</v>
      </c>
      <c r="E175" s="46" t="s">
        <v>126</v>
      </c>
      <c r="F175" s="46" t="s">
        <v>127</v>
      </c>
      <c r="G175" s="46" t="s">
        <v>128</v>
      </c>
      <c r="H175" s="46" t="s">
        <v>129</v>
      </c>
    </row>
    <row r="176" spans="1:8" ht="16.5" hidden="1" customHeight="1" x14ac:dyDescent="0.25">
      <c r="A176" s="47" t="s">
        <v>137</v>
      </c>
      <c r="B176" s="47"/>
      <c r="C176" s="47"/>
      <c r="D176" s="47"/>
      <c r="E176" s="47"/>
      <c r="F176" s="47"/>
      <c r="G176" s="47"/>
      <c r="H176" s="47" t="e">
        <f>G176/E176</f>
        <v>#DIV/0!</v>
      </c>
    </row>
    <row r="177" spans="1:8" ht="16.5" hidden="1" customHeight="1" x14ac:dyDescent="0.25">
      <c r="A177" s="47" t="s">
        <v>138</v>
      </c>
      <c r="B177" s="47"/>
      <c r="C177" s="47"/>
      <c r="D177" s="47"/>
      <c r="E177" s="47"/>
      <c r="F177" s="47"/>
      <c r="G177" s="47"/>
      <c r="H177" s="47" t="e">
        <f t="shared" ref="H177:H187" si="1">G177/E177</f>
        <v>#DIV/0!</v>
      </c>
    </row>
    <row r="178" spans="1:8" ht="16.5" hidden="1" customHeight="1" x14ac:dyDescent="0.25">
      <c r="A178" s="47" t="s">
        <v>139</v>
      </c>
      <c r="B178" s="47"/>
      <c r="C178" s="47"/>
      <c r="D178" s="47"/>
      <c r="E178" s="47"/>
      <c r="F178" s="47"/>
      <c r="G178" s="47"/>
      <c r="H178" s="47" t="e">
        <f t="shared" si="1"/>
        <v>#DIV/0!</v>
      </c>
    </row>
    <row r="179" spans="1:8" ht="16.5" hidden="1" customHeight="1" x14ac:dyDescent="0.25">
      <c r="A179" s="47" t="s">
        <v>140</v>
      </c>
      <c r="B179" s="47"/>
      <c r="C179" s="47"/>
      <c r="D179" s="47"/>
      <c r="E179" s="47"/>
      <c r="F179" s="47"/>
      <c r="G179" s="47"/>
      <c r="H179" s="47" t="e">
        <f t="shared" si="1"/>
        <v>#DIV/0!</v>
      </c>
    </row>
    <row r="180" spans="1:8" ht="16.5" hidden="1" customHeight="1" x14ac:dyDescent="0.25">
      <c r="A180" s="47" t="s">
        <v>141</v>
      </c>
      <c r="B180" s="47"/>
      <c r="C180" s="47"/>
      <c r="D180" s="47"/>
      <c r="E180" s="47"/>
      <c r="F180" s="47"/>
      <c r="G180" s="47"/>
      <c r="H180" s="47" t="e">
        <f t="shared" si="1"/>
        <v>#DIV/0!</v>
      </c>
    </row>
    <row r="181" spans="1:8" ht="16.5" hidden="1" customHeight="1" x14ac:dyDescent="0.25">
      <c r="A181" s="47" t="s">
        <v>142</v>
      </c>
      <c r="B181" s="47"/>
      <c r="C181" s="47"/>
      <c r="D181" s="47"/>
      <c r="E181" s="47"/>
      <c r="F181" s="47"/>
      <c r="G181" s="47"/>
      <c r="H181" s="47" t="e">
        <f t="shared" si="1"/>
        <v>#DIV/0!</v>
      </c>
    </row>
    <row r="182" spans="1:8" ht="16.5" hidden="1" customHeight="1" x14ac:dyDescent="0.25">
      <c r="A182" s="47" t="s">
        <v>130</v>
      </c>
      <c r="B182" s="47"/>
      <c r="C182" s="47"/>
      <c r="D182" s="47"/>
      <c r="E182" s="47"/>
      <c r="F182" s="47"/>
      <c r="G182" s="47"/>
      <c r="H182" s="47" t="e">
        <f t="shared" si="1"/>
        <v>#DIV/0!</v>
      </c>
    </row>
    <row r="183" spans="1:8" ht="16.5" hidden="1" customHeight="1" x14ac:dyDescent="0.25">
      <c r="A183" s="47" t="s">
        <v>131</v>
      </c>
      <c r="B183" s="47"/>
      <c r="C183" s="47"/>
      <c r="D183" s="47"/>
      <c r="E183" s="47"/>
      <c r="F183" s="47"/>
      <c r="G183" s="47"/>
      <c r="H183" s="47" t="e">
        <f t="shared" si="1"/>
        <v>#DIV/0!</v>
      </c>
    </row>
    <row r="184" spans="1:8" ht="16.5" hidden="1" customHeight="1" x14ac:dyDescent="0.25">
      <c r="A184" s="47" t="s">
        <v>132</v>
      </c>
      <c r="B184" s="47"/>
      <c r="C184" s="47"/>
      <c r="D184" s="47"/>
      <c r="E184" s="47"/>
      <c r="F184" s="47"/>
      <c r="G184" s="47"/>
      <c r="H184" s="47" t="e">
        <f t="shared" si="1"/>
        <v>#DIV/0!</v>
      </c>
    </row>
    <row r="185" spans="1:8" ht="16.5" hidden="1" customHeight="1" x14ac:dyDescent="0.25">
      <c r="A185" s="47" t="s">
        <v>133</v>
      </c>
      <c r="B185" s="47"/>
      <c r="C185" s="47"/>
      <c r="D185" s="47"/>
      <c r="E185" s="47"/>
      <c r="F185" s="47"/>
      <c r="G185" s="47"/>
      <c r="H185" s="47" t="e">
        <f t="shared" si="1"/>
        <v>#DIV/0!</v>
      </c>
    </row>
    <row r="186" spans="1:8" ht="16.5" hidden="1" customHeight="1" x14ac:dyDescent="0.25">
      <c r="A186" s="47" t="s">
        <v>134</v>
      </c>
      <c r="B186" s="47"/>
      <c r="C186" s="47"/>
      <c r="D186" s="47"/>
      <c r="E186" s="47"/>
      <c r="F186" s="47"/>
      <c r="G186" s="47"/>
      <c r="H186" s="47" t="e">
        <f t="shared" si="1"/>
        <v>#DIV/0!</v>
      </c>
    </row>
    <row r="187" spans="1:8" ht="16.5" hidden="1" customHeight="1" x14ac:dyDescent="0.25">
      <c r="A187" s="47" t="s">
        <v>135</v>
      </c>
      <c r="B187" s="47"/>
      <c r="C187" s="47"/>
      <c r="D187" s="47"/>
      <c r="E187" s="47"/>
      <c r="F187" s="47"/>
      <c r="G187" s="47"/>
      <c r="H187" s="47" t="e">
        <f t="shared" si="1"/>
        <v>#DIV/0!</v>
      </c>
    </row>
    <row r="188" spans="1:8" ht="16.5" hidden="1" customHeight="1" x14ac:dyDescent="0.25"/>
    <row r="189" spans="1:8" ht="27.75" hidden="1" customHeight="1" x14ac:dyDescent="0.25">
      <c r="A189" s="608" t="s">
        <v>144</v>
      </c>
      <c r="B189" s="608"/>
      <c r="C189" s="608"/>
      <c r="D189" s="608"/>
      <c r="E189" s="608"/>
      <c r="F189" s="608"/>
      <c r="G189" s="608"/>
      <c r="H189" s="608"/>
    </row>
    <row r="190" spans="1:8" ht="25.5" hidden="1" customHeight="1" x14ac:dyDescent="0.25">
      <c r="A190" s="188" t="s">
        <v>63</v>
      </c>
      <c r="B190" s="46" t="s">
        <v>123</v>
      </c>
      <c r="C190" s="46" t="s">
        <v>124</v>
      </c>
      <c r="D190" s="46" t="s">
        <v>125</v>
      </c>
      <c r="E190" s="46" t="s">
        <v>126</v>
      </c>
      <c r="F190" s="46" t="s">
        <v>127</v>
      </c>
      <c r="G190" s="46" t="s">
        <v>128</v>
      </c>
      <c r="H190" s="46" t="s">
        <v>129</v>
      </c>
    </row>
    <row r="191" spans="1:8" ht="16.5" hidden="1" customHeight="1" x14ac:dyDescent="0.25">
      <c r="A191" s="47" t="s">
        <v>137</v>
      </c>
      <c r="B191" s="47"/>
      <c r="C191" s="47"/>
      <c r="D191" s="47"/>
      <c r="E191" s="47"/>
      <c r="F191" s="47"/>
      <c r="G191" s="47"/>
      <c r="H191" s="47" t="e">
        <f>G191/E191</f>
        <v>#DIV/0!</v>
      </c>
    </row>
    <row r="192" spans="1:8" ht="16.5" hidden="1" customHeight="1" x14ac:dyDescent="0.25">
      <c r="A192" s="47" t="s">
        <v>138</v>
      </c>
      <c r="B192" s="47"/>
      <c r="C192" s="47"/>
      <c r="D192" s="47"/>
      <c r="E192" s="47"/>
      <c r="F192" s="47"/>
      <c r="G192" s="47"/>
      <c r="H192" s="47" t="e">
        <f t="shared" ref="H192:H202" si="2">G192/E192</f>
        <v>#DIV/0!</v>
      </c>
    </row>
    <row r="193" spans="1:8" ht="16.5" hidden="1" customHeight="1" x14ac:dyDescent="0.25">
      <c r="A193" s="47" t="s">
        <v>139</v>
      </c>
      <c r="B193" s="47"/>
      <c r="C193" s="47"/>
      <c r="D193" s="47"/>
      <c r="E193" s="47"/>
      <c r="F193" s="47"/>
      <c r="G193" s="47"/>
      <c r="H193" s="47" t="e">
        <f t="shared" si="2"/>
        <v>#DIV/0!</v>
      </c>
    </row>
    <row r="194" spans="1:8" ht="16.5" hidden="1" customHeight="1" x14ac:dyDescent="0.25">
      <c r="A194" s="47" t="s">
        <v>140</v>
      </c>
      <c r="B194" s="47"/>
      <c r="C194" s="47"/>
      <c r="D194" s="47"/>
      <c r="E194" s="47"/>
      <c r="F194" s="47"/>
      <c r="G194" s="47"/>
      <c r="H194" s="47" t="e">
        <f t="shared" si="2"/>
        <v>#DIV/0!</v>
      </c>
    </row>
    <row r="195" spans="1:8" ht="16.5" hidden="1" customHeight="1" x14ac:dyDescent="0.25">
      <c r="A195" s="47" t="s">
        <v>141</v>
      </c>
      <c r="B195" s="47"/>
      <c r="C195" s="47"/>
      <c r="D195" s="47"/>
      <c r="E195" s="47"/>
      <c r="F195" s="47"/>
      <c r="G195" s="47"/>
      <c r="H195" s="47" t="e">
        <f t="shared" si="2"/>
        <v>#DIV/0!</v>
      </c>
    </row>
    <row r="196" spans="1:8" ht="16.5" hidden="1" customHeight="1" x14ac:dyDescent="0.25">
      <c r="A196" s="47" t="s">
        <v>142</v>
      </c>
      <c r="B196" s="47"/>
      <c r="C196" s="47"/>
      <c r="D196" s="47"/>
      <c r="E196" s="47"/>
      <c r="F196" s="47"/>
      <c r="G196" s="47"/>
      <c r="H196" s="47" t="e">
        <f t="shared" si="2"/>
        <v>#DIV/0!</v>
      </c>
    </row>
    <row r="197" spans="1:8" ht="16.5" hidden="1" customHeight="1" x14ac:dyDescent="0.25">
      <c r="A197" s="47" t="s">
        <v>130</v>
      </c>
      <c r="B197" s="47"/>
      <c r="C197" s="47"/>
      <c r="D197" s="47"/>
      <c r="E197" s="47"/>
      <c r="F197" s="47"/>
      <c r="G197" s="47"/>
      <c r="H197" s="47" t="e">
        <f t="shared" si="2"/>
        <v>#DIV/0!</v>
      </c>
    </row>
    <row r="198" spans="1:8" ht="16.5" hidden="1" customHeight="1" x14ac:dyDescent="0.25">
      <c r="A198" s="47" t="s">
        <v>131</v>
      </c>
      <c r="B198" s="47"/>
      <c r="C198" s="47"/>
      <c r="D198" s="47"/>
      <c r="E198" s="47"/>
      <c r="F198" s="47"/>
      <c r="G198" s="47"/>
      <c r="H198" s="47" t="e">
        <f t="shared" si="2"/>
        <v>#DIV/0!</v>
      </c>
    </row>
    <row r="199" spans="1:8" ht="16.5" hidden="1" customHeight="1" x14ac:dyDescent="0.25">
      <c r="A199" s="47" t="s">
        <v>132</v>
      </c>
      <c r="B199" s="47"/>
      <c r="C199" s="47"/>
      <c r="D199" s="47"/>
      <c r="E199" s="47"/>
      <c r="F199" s="47"/>
      <c r="G199" s="47"/>
      <c r="H199" s="47" t="e">
        <f t="shared" si="2"/>
        <v>#DIV/0!</v>
      </c>
    </row>
    <row r="200" spans="1:8" ht="16.5" hidden="1" customHeight="1" x14ac:dyDescent="0.25">
      <c r="A200" s="47" t="s">
        <v>133</v>
      </c>
      <c r="B200" s="47"/>
      <c r="C200" s="47"/>
      <c r="D200" s="47"/>
      <c r="E200" s="47"/>
      <c r="F200" s="47"/>
      <c r="G200" s="47"/>
      <c r="H200" s="47" t="e">
        <f t="shared" si="2"/>
        <v>#DIV/0!</v>
      </c>
    </row>
    <row r="201" spans="1:8" ht="16.5" hidden="1" customHeight="1" x14ac:dyDescent="0.25">
      <c r="A201" s="47" t="s">
        <v>134</v>
      </c>
      <c r="B201" s="47"/>
      <c r="C201" s="47"/>
      <c r="D201" s="47"/>
      <c r="E201" s="47"/>
      <c r="F201" s="47"/>
      <c r="G201" s="47"/>
      <c r="H201" s="47" t="e">
        <f t="shared" si="2"/>
        <v>#DIV/0!</v>
      </c>
    </row>
    <row r="202" spans="1:8" ht="16.5" hidden="1" customHeight="1" x14ac:dyDescent="0.25">
      <c r="A202" s="47" t="s">
        <v>135</v>
      </c>
      <c r="B202" s="47"/>
      <c r="C202" s="47"/>
      <c r="D202" s="47"/>
      <c r="E202" s="47"/>
      <c r="F202" s="47"/>
      <c r="G202" s="47"/>
      <c r="H202" s="47" t="e">
        <f t="shared" si="2"/>
        <v>#DIV/0!</v>
      </c>
    </row>
    <row r="203" spans="1:8" ht="16.5" hidden="1" customHeight="1" x14ac:dyDescent="0.25"/>
    <row r="204" spans="1:8" ht="23.25" hidden="1" customHeight="1" x14ac:dyDescent="0.25">
      <c r="A204" s="608" t="s">
        <v>145</v>
      </c>
      <c r="B204" s="608"/>
      <c r="C204" s="608"/>
      <c r="D204" s="608"/>
      <c r="E204" s="608"/>
      <c r="F204" s="608"/>
      <c r="G204" s="608"/>
      <c r="H204" s="608"/>
    </row>
    <row r="205" spans="1:8" ht="25.5" hidden="1" customHeight="1" x14ac:dyDescent="0.25">
      <c r="A205" s="188" t="s">
        <v>64</v>
      </c>
      <c r="B205" s="46" t="s">
        <v>123</v>
      </c>
      <c r="C205" s="46" t="s">
        <v>124</v>
      </c>
      <c r="D205" s="46" t="s">
        <v>125</v>
      </c>
      <c r="E205" s="46" t="s">
        <v>126</v>
      </c>
      <c r="F205" s="46" t="s">
        <v>127</v>
      </c>
      <c r="G205" s="46" t="s">
        <v>128</v>
      </c>
      <c r="H205" s="46" t="s">
        <v>129</v>
      </c>
    </row>
    <row r="206" spans="1:8" ht="16.5" hidden="1" customHeight="1" x14ac:dyDescent="0.25">
      <c r="A206" s="47" t="s">
        <v>137</v>
      </c>
      <c r="B206" s="47"/>
      <c r="C206" s="47"/>
      <c r="D206" s="47"/>
      <c r="E206" s="47"/>
      <c r="F206" s="47"/>
      <c r="G206" s="47"/>
      <c r="H206" s="47" t="e">
        <f>G206/E206</f>
        <v>#DIV/0!</v>
      </c>
    </row>
    <row r="207" spans="1:8" ht="16.5" hidden="1" customHeight="1" x14ac:dyDescent="0.25">
      <c r="A207" s="47" t="s">
        <v>138</v>
      </c>
      <c r="B207" s="47"/>
      <c r="C207" s="47"/>
      <c r="D207" s="47"/>
      <c r="E207" s="47"/>
      <c r="F207" s="47"/>
      <c r="G207" s="47"/>
      <c r="H207" s="47" t="e">
        <f t="shared" ref="H207:H217" si="3">G207/E207</f>
        <v>#DIV/0!</v>
      </c>
    </row>
    <row r="208" spans="1:8" ht="16.5" hidden="1" customHeight="1" x14ac:dyDescent="0.25">
      <c r="A208" s="47" t="s">
        <v>139</v>
      </c>
      <c r="B208" s="47"/>
      <c r="C208" s="47"/>
      <c r="D208" s="47"/>
      <c r="E208" s="47"/>
      <c r="F208" s="47"/>
      <c r="G208" s="47"/>
      <c r="H208" s="47" t="e">
        <f t="shared" si="3"/>
        <v>#DIV/0!</v>
      </c>
    </row>
    <row r="209" spans="1:12" ht="16.5" hidden="1" customHeight="1" x14ac:dyDescent="0.25">
      <c r="A209" s="47" t="s">
        <v>140</v>
      </c>
      <c r="B209" s="47"/>
      <c r="C209" s="47"/>
      <c r="D209" s="47"/>
      <c r="E209" s="47"/>
      <c r="F209" s="47"/>
      <c r="G209" s="47"/>
      <c r="H209" s="47" t="e">
        <f t="shared" si="3"/>
        <v>#DIV/0!</v>
      </c>
    </row>
    <row r="210" spans="1:12" ht="16.5" hidden="1" customHeight="1" x14ac:dyDescent="0.25">
      <c r="A210" s="47" t="s">
        <v>141</v>
      </c>
      <c r="B210" s="47"/>
      <c r="C210" s="47"/>
      <c r="D210" s="47"/>
      <c r="E210" s="47"/>
      <c r="F210" s="47"/>
      <c r="G210" s="47"/>
      <c r="H210" s="47" t="e">
        <f t="shared" si="3"/>
        <v>#DIV/0!</v>
      </c>
    </row>
    <row r="211" spans="1:12" ht="16.5" hidden="1" customHeight="1" x14ac:dyDescent="0.25">
      <c r="A211" s="47" t="s">
        <v>142</v>
      </c>
      <c r="B211" s="47"/>
      <c r="C211" s="47"/>
      <c r="D211" s="47"/>
      <c r="E211" s="47"/>
      <c r="F211" s="47"/>
      <c r="G211" s="47"/>
      <c r="H211" s="47" t="e">
        <f t="shared" si="3"/>
        <v>#DIV/0!</v>
      </c>
    </row>
    <row r="212" spans="1:12" ht="16.5" hidden="1" customHeight="1" x14ac:dyDescent="0.25">
      <c r="A212" s="47" t="s">
        <v>130</v>
      </c>
      <c r="B212" s="47"/>
      <c r="C212" s="47"/>
      <c r="D212" s="47"/>
      <c r="E212" s="47"/>
      <c r="F212" s="47"/>
      <c r="G212" s="47"/>
      <c r="H212" s="47" t="e">
        <f t="shared" si="3"/>
        <v>#DIV/0!</v>
      </c>
    </row>
    <row r="213" spans="1:12" ht="16.5" hidden="1" customHeight="1" x14ac:dyDescent="0.25">
      <c r="A213" s="47" t="s">
        <v>131</v>
      </c>
      <c r="B213" s="47"/>
      <c r="C213" s="47"/>
      <c r="D213" s="47"/>
      <c r="E213" s="47"/>
      <c r="F213" s="47"/>
      <c r="G213" s="47"/>
      <c r="H213" s="47" t="e">
        <f t="shared" si="3"/>
        <v>#DIV/0!</v>
      </c>
    </row>
    <row r="214" spans="1:12" ht="16.5" hidden="1" customHeight="1" x14ac:dyDescent="0.25">
      <c r="A214" s="47" t="s">
        <v>132</v>
      </c>
      <c r="B214" s="47"/>
      <c r="C214" s="47"/>
      <c r="D214" s="47"/>
      <c r="E214" s="47"/>
      <c r="F214" s="47"/>
      <c r="G214" s="47"/>
      <c r="H214" s="47" t="e">
        <f t="shared" si="3"/>
        <v>#DIV/0!</v>
      </c>
    </row>
    <row r="215" spans="1:12" ht="16.5" hidden="1" customHeight="1" x14ac:dyDescent="0.25">
      <c r="A215" s="47" t="s">
        <v>133</v>
      </c>
      <c r="B215" s="47"/>
      <c r="C215" s="47"/>
      <c r="D215" s="47"/>
      <c r="E215" s="47"/>
      <c r="F215" s="47"/>
      <c r="G215" s="47"/>
      <c r="H215" s="47" t="e">
        <f t="shared" si="3"/>
        <v>#DIV/0!</v>
      </c>
    </row>
    <row r="216" spans="1:12" ht="16.5" hidden="1" customHeight="1" x14ac:dyDescent="0.25">
      <c r="A216" s="47" t="s">
        <v>134</v>
      </c>
      <c r="B216" s="47"/>
      <c r="C216" s="47"/>
      <c r="D216" s="47"/>
      <c r="E216" s="47"/>
      <c r="F216" s="47"/>
      <c r="G216" s="47"/>
      <c r="H216" s="47" t="e">
        <f t="shared" si="3"/>
        <v>#DIV/0!</v>
      </c>
    </row>
    <row r="217" spans="1:12" ht="16.5" hidden="1" customHeight="1" x14ac:dyDescent="0.25">
      <c r="A217" s="47" t="s">
        <v>135</v>
      </c>
      <c r="B217" s="47"/>
      <c r="C217" s="47"/>
      <c r="D217" s="47"/>
      <c r="E217" s="47"/>
      <c r="F217" s="47"/>
      <c r="G217" s="47"/>
      <c r="H217" s="47" t="e">
        <f t="shared" si="3"/>
        <v>#DIV/0!</v>
      </c>
    </row>
    <row r="218" spans="1:12" ht="16.5" customHeight="1" x14ac:dyDescent="0.25"/>
    <row r="219" spans="1:12" s="52" customFormat="1" ht="31.15" customHeight="1" x14ac:dyDescent="0.25">
      <c r="A219" s="627" t="s">
        <v>146</v>
      </c>
      <c r="B219" s="628"/>
      <c r="C219" s="628"/>
      <c r="D219" s="628"/>
      <c r="E219" s="628"/>
      <c r="F219" s="628"/>
      <c r="G219" s="628"/>
      <c r="H219" s="628"/>
      <c r="I219" s="628"/>
      <c r="J219" s="628"/>
      <c r="K219" s="628"/>
      <c r="L219" s="629"/>
    </row>
    <row r="220" spans="1:12" s="52" customFormat="1" ht="44.25" customHeight="1" x14ac:dyDescent="0.25">
      <c r="A220" s="188" t="s">
        <v>49</v>
      </c>
      <c r="B220" s="46" t="s">
        <v>147</v>
      </c>
      <c r="C220" s="46" t="s">
        <v>148</v>
      </c>
      <c r="D220" s="46" t="s">
        <v>149</v>
      </c>
      <c r="E220" s="46" t="s">
        <v>150</v>
      </c>
      <c r="F220" s="46" t="s">
        <v>151</v>
      </c>
      <c r="G220" s="46" t="s">
        <v>152</v>
      </c>
      <c r="H220" s="46" t="s">
        <v>153</v>
      </c>
      <c r="I220" s="253" t="s">
        <v>154</v>
      </c>
      <c r="J220" s="46" t="s">
        <v>155</v>
      </c>
      <c r="K220" s="46" t="s">
        <v>156</v>
      </c>
      <c r="L220" s="46" t="s">
        <v>157</v>
      </c>
    </row>
    <row r="221" spans="1:12" s="199" customFormat="1" ht="49.9" customHeight="1" outlineLevel="1" x14ac:dyDescent="0.25">
      <c r="A221" s="616" t="s">
        <v>130</v>
      </c>
      <c r="B221" s="616" t="s">
        <v>415</v>
      </c>
      <c r="C221" s="616" t="s">
        <v>416</v>
      </c>
      <c r="D221" s="616" t="s">
        <v>417</v>
      </c>
      <c r="E221" s="616" t="s">
        <v>418</v>
      </c>
      <c r="F221" s="630">
        <v>0.45</v>
      </c>
      <c r="G221" s="190" t="s">
        <v>327</v>
      </c>
      <c r="H221" s="198">
        <v>1</v>
      </c>
      <c r="I221" s="254">
        <v>0</v>
      </c>
      <c r="J221" s="190">
        <v>0</v>
      </c>
      <c r="K221" s="190" t="e">
        <f>J221/I221</f>
        <v>#DIV/0!</v>
      </c>
      <c r="L221" s="190" t="s">
        <v>419</v>
      </c>
    </row>
    <row r="222" spans="1:12" s="199" customFormat="1" ht="49.9" customHeight="1" outlineLevel="1" x14ac:dyDescent="0.25">
      <c r="A222" s="616"/>
      <c r="B222" s="616"/>
      <c r="C222" s="616"/>
      <c r="D222" s="616"/>
      <c r="E222" s="616"/>
      <c r="F222" s="630"/>
      <c r="G222" s="190" t="s">
        <v>370</v>
      </c>
      <c r="H222" s="200">
        <v>4</v>
      </c>
      <c r="I222" s="254">
        <v>0</v>
      </c>
      <c r="J222" s="190">
        <v>0</v>
      </c>
      <c r="K222" s="190" t="e">
        <f>J222/I222</f>
        <v>#DIV/0!</v>
      </c>
      <c r="L222" s="190" t="s">
        <v>420</v>
      </c>
    </row>
    <row r="223" spans="1:12" s="199" customFormat="1" ht="49.9" customHeight="1" outlineLevel="1" x14ac:dyDescent="0.25">
      <c r="A223" s="616"/>
      <c r="B223" s="616"/>
      <c r="C223" s="616"/>
      <c r="D223" s="616"/>
      <c r="E223" s="616"/>
      <c r="F223" s="630"/>
      <c r="G223" s="190" t="s">
        <v>371</v>
      </c>
      <c r="H223" s="200">
        <v>1</v>
      </c>
      <c r="I223" s="254">
        <v>0</v>
      </c>
      <c r="J223" s="190">
        <v>0</v>
      </c>
      <c r="K223" s="190" t="e">
        <f>J223/I223</f>
        <v>#DIV/0!</v>
      </c>
      <c r="L223" s="190" t="s">
        <v>421</v>
      </c>
    </row>
    <row r="224" spans="1:12" s="199" customFormat="1" ht="49.9" customHeight="1" outlineLevel="1" x14ac:dyDescent="0.25">
      <c r="A224" s="616"/>
      <c r="B224" s="190" t="s">
        <v>422</v>
      </c>
      <c r="C224" s="190" t="s">
        <v>423</v>
      </c>
      <c r="D224" s="190" t="s">
        <v>424</v>
      </c>
      <c r="E224" s="190" t="s">
        <v>272</v>
      </c>
      <c r="F224" s="198">
        <v>0.15</v>
      </c>
      <c r="G224" s="190" t="s">
        <v>274</v>
      </c>
      <c r="H224" s="201">
        <v>426</v>
      </c>
      <c r="I224" s="254">
        <v>0</v>
      </c>
      <c r="J224" s="190">
        <v>0</v>
      </c>
      <c r="K224" s="190" t="e">
        <f t="shared" ref="K224:K254" si="4">J224/I224</f>
        <v>#DIV/0!</v>
      </c>
      <c r="L224" s="190" t="s">
        <v>425</v>
      </c>
    </row>
    <row r="225" spans="1:12" s="199" customFormat="1" ht="49.9" customHeight="1" outlineLevel="1" x14ac:dyDescent="0.25">
      <c r="A225" s="616"/>
      <c r="B225" s="190" t="s">
        <v>426</v>
      </c>
      <c r="C225" s="190" t="s">
        <v>427</v>
      </c>
      <c r="D225" s="190" t="s">
        <v>428</v>
      </c>
      <c r="E225" s="190" t="s">
        <v>272</v>
      </c>
      <c r="F225" s="198">
        <v>0.15</v>
      </c>
      <c r="G225" s="190" t="s">
        <v>275</v>
      </c>
      <c r="H225" s="198">
        <v>1</v>
      </c>
      <c r="I225" s="254">
        <v>0</v>
      </c>
      <c r="J225" s="190">
        <v>0</v>
      </c>
      <c r="K225" s="190" t="e">
        <f t="shared" si="4"/>
        <v>#DIV/0!</v>
      </c>
      <c r="L225" s="190" t="s">
        <v>429</v>
      </c>
    </row>
    <row r="226" spans="1:12" s="199" customFormat="1" ht="49.9" customHeight="1" outlineLevel="1" x14ac:dyDescent="0.25">
      <c r="A226" s="616"/>
      <c r="B226" s="616" t="s">
        <v>430</v>
      </c>
      <c r="C226" s="616" t="s">
        <v>431</v>
      </c>
      <c r="D226" s="616" t="s">
        <v>432</v>
      </c>
      <c r="E226" s="616" t="s">
        <v>418</v>
      </c>
      <c r="F226" s="630">
        <v>0.25</v>
      </c>
      <c r="G226" s="190" t="s">
        <v>270</v>
      </c>
      <c r="H226" s="201">
        <v>234</v>
      </c>
      <c r="I226" s="254">
        <v>0</v>
      </c>
      <c r="J226" s="190">
        <v>0</v>
      </c>
      <c r="K226" s="190" t="e">
        <f>J226/I226</f>
        <v>#DIV/0!</v>
      </c>
      <c r="L226" s="190" t="s">
        <v>433</v>
      </c>
    </row>
    <row r="227" spans="1:12" s="199" customFormat="1" ht="49.9" customHeight="1" outlineLevel="1" x14ac:dyDescent="0.25">
      <c r="A227" s="616"/>
      <c r="B227" s="616"/>
      <c r="C227" s="616"/>
      <c r="D227" s="616"/>
      <c r="E227" s="616"/>
      <c r="F227" s="630"/>
      <c r="G227" s="190" t="s">
        <v>359</v>
      </c>
      <c r="H227" s="198">
        <v>1</v>
      </c>
      <c r="I227" s="254">
        <v>0</v>
      </c>
      <c r="J227" s="190">
        <v>0</v>
      </c>
      <c r="K227" s="190" t="e">
        <f>J227/I227</f>
        <v>#DIV/0!</v>
      </c>
      <c r="L227" s="190" t="s">
        <v>434</v>
      </c>
    </row>
    <row r="228" spans="1:12" s="203" customFormat="1" ht="49.9" customHeight="1" outlineLevel="1" x14ac:dyDescent="0.2">
      <c r="A228" s="583" t="s">
        <v>131</v>
      </c>
      <c r="B228" s="616" t="s">
        <v>415</v>
      </c>
      <c r="C228" s="616" t="s">
        <v>416</v>
      </c>
      <c r="D228" s="616" t="s">
        <v>417</v>
      </c>
      <c r="E228" s="616" t="s">
        <v>418</v>
      </c>
      <c r="F228" s="630">
        <v>0.45</v>
      </c>
      <c r="G228" s="190" t="s">
        <v>327</v>
      </c>
      <c r="H228" s="198">
        <v>1</v>
      </c>
      <c r="I228" s="255">
        <v>0</v>
      </c>
      <c r="J228" s="186">
        <v>0</v>
      </c>
      <c r="K228" s="190" t="e">
        <f>J228/I228</f>
        <v>#DIV/0!</v>
      </c>
      <c r="L228" s="202" t="s">
        <v>435</v>
      </c>
    </row>
    <row r="229" spans="1:12" s="203" customFormat="1" ht="49.9" customHeight="1" outlineLevel="1" x14ac:dyDescent="0.2">
      <c r="A229" s="583"/>
      <c r="B229" s="616"/>
      <c r="C229" s="616"/>
      <c r="D229" s="616"/>
      <c r="E229" s="616"/>
      <c r="F229" s="630"/>
      <c r="G229" s="190" t="s">
        <v>370</v>
      </c>
      <c r="H229" s="200">
        <v>4</v>
      </c>
      <c r="I229" s="255">
        <v>0</v>
      </c>
      <c r="J229" s="186">
        <v>0</v>
      </c>
      <c r="K229" s="190" t="e">
        <f>J229/I229</f>
        <v>#DIV/0!</v>
      </c>
      <c r="L229" s="202" t="s">
        <v>436</v>
      </c>
    </row>
    <row r="230" spans="1:12" s="203" customFormat="1" ht="49.9" customHeight="1" outlineLevel="1" x14ac:dyDescent="0.2">
      <c r="A230" s="583"/>
      <c r="B230" s="616"/>
      <c r="C230" s="616"/>
      <c r="D230" s="616"/>
      <c r="E230" s="616"/>
      <c r="F230" s="630"/>
      <c r="G230" s="190" t="s">
        <v>371</v>
      </c>
      <c r="H230" s="200">
        <v>1</v>
      </c>
      <c r="I230" s="255">
        <v>0</v>
      </c>
      <c r="J230" s="186">
        <v>0</v>
      </c>
      <c r="K230" s="190" t="e">
        <f>J230/I230</f>
        <v>#DIV/0!</v>
      </c>
      <c r="L230" s="202" t="s">
        <v>437</v>
      </c>
    </row>
    <row r="231" spans="1:12" s="203" customFormat="1" ht="49.9" customHeight="1" outlineLevel="1" x14ac:dyDescent="0.2">
      <c r="A231" s="583"/>
      <c r="B231" s="190" t="s">
        <v>422</v>
      </c>
      <c r="C231" s="190" t="s">
        <v>423</v>
      </c>
      <c r="D231" s="190" t="s">
        <v>424</v>
      </c>
      <c r="E231" s="190" t="s">
        <v>272</v>
      </c>
      <c r="F231" s="198">
        <v>0.15</v>
      </c>
      <c r="G231" s="190" t="s">
        <v>274</v>
      </c>
      <c r="H231" s="201">
        <v>426</v>
      </c>
      <c r="I231" s="255">
        <v>0</v>
      </c>
      <c r="J231" s="186">
        <v>0</v>
      </c>
      <c r="K231" s="190" t="e">
        <f t="shared" si="4"/>
        <v>#DIV/0!</v>
      </c>
      <c r="L231" s="202" t="s">
        <v>438</v>
      </c>
    </row>
    <row r="232" spans="1:12" s="203" customFormat="1" ht="49.9" customHeight="1" outlineLevel="1" x14ac:dyDescent="0.2">
      <c r="A232" s="583"/>
      <c r="B232" s="190" t="s">
        <v>426</v>
      </c>
      <c r="C232" s="190" t="s">
        <v>427</v>
      </c>
      <c r="D232" s="190" t="s">
        <v>428</v>
      </c>
      <c r="E232" s="190" t="s">
        <v>272</v>
      </c>
      <c r="F232" s="198">
        <v>0.15</v>
      </c>
      <c r="G232" s="190" t="s">
        <v>275</v>
      </c>
      <c r="H232" s="198">
        <v>1</v>
      </c>
      <c r="I232" s="255">
        <v>0</v>
      </c>
      <c r="J232" s="186">
        <v>0</v>
      </c>
      <c r="K232" s="190" t="e">
        <f t="shared" si="4"/>
        <v>#DIV/0!</v>
      </c>
      <c r="L232" s="202" t="s">
        <v>439</v>
      </c>
    </row>
    <row r="233" spans="1:12" s="203" customFormat="1" ht="49.9" customHeight="1" outlineLevel="1" x14ac:dyDescent="0.2">
      <c r="A233" s="583"/>
      <c r="B233" s="616" t="s">
        <v>430</v>
      </c>
      <c r="C233" s="616" t="s">
        <v>431</v>
      </c>
      <c r="D233" s="616" t="s">
        <v>432</v>
      </c>
      <c r="E233" s="616" t="s">
        <v>418</v>
      </c>
      <c r="F233" s="630">
        <v>0.25</v>
      </c>
      <c r="G233" s="190" t="s">
        <v>270</v>
      </c>
      <c r="H233" s="201">
        <v>234</v>
      </c>
      <c r="I233" s="255">
        <v>0</v>
      </c>
      <c r="J233" s="186">
        <v>0</v>
      </c>
      <c r="K233" s="190" t="e">
        <f>J233/I233</f>
        <v>#DIV/0!</v>
      </c>
      <c r="L233" s="202" t="s">
        <v>440</v>
      </c>
    </row>
    <row r="234" spans="1:12" s="203" customFormat="1" ht="49.9" customHeight="1" outlineLevel="1" x14ac:dyDescent="0.2">
      <c r="A234" s="583"/>
      <c r="B234" s="616"/>
      <c r="C234" s="616"/>
      <c r="D234" s="616"/>
      <c r="E234" s="616"/>
      <c r="F234" s="630"/>
      <c r="G234" s="190" t="s">
        <v>359</v>
      </c>
      <c r="H234" s="198">
        <v>1</v>
      </c>
      <c r="I234" s="255">
        <v>0</v>
      </c>
      <c r="J234" s="186">
        <v>0</v>
      </c>
      <c r="K234" s="190" t="e">
        <f>J234/I234</f>
        <v>#DIV/0!</v>
      </c>
      <c r="L234" s="202" t="s">
        <v>441</v>
      </c>
    </row>
    <row r="235" spans="1:12" s="203" customFormat="1" ht="49.9" customHeight="1" outlineLevel="1" x14ac:dyDescent="0.2">
      <c r="A235" s="583" t="s">
        <v>132</v>
      </c>
      <c r="B235" s="616" t="s">
        <v>415</v>
      </c>
      <c r="C235" s="616" t="s">
        <v>416</v>
      </c>
      <c r="D235" s="616" t="s">
        <v>417</v>
      </c>
      <c r="E235" s="616" t="s">
        <v>418</v>
      </c>
      <c r="F235" s="630">
        <v>0.45</v>
      </c>
      <c r="G235" s="190" t="s">
        <v>327</v>
      </c>
      <c r="H235" s="198">
        <v>1</v>
      </c>
      <c r="I235" s="255">
        <v>0</v>
      </c>
      <c r="J235" s="186">
        <v>0</v>
      </c>
      <c r="K235" s="190" t="e">
        <f>J235/I235</f>
        <v>#DIV/0!</v>
      </c>
      <c r="L235" s="202" t="s">
        <v>442</v>
      </c>
    </row>
    <row r="236" spans="1:12" s="203" customFormat="1" ht="49.9" customHeight="1" outlineLevel="1" x14ac:dyDescent="0.2">
      <c r="A236" s="583"/>
      <c r="B236" s="616"/>
      <c r="C236" s="616"/>
      <c r="D236" s="616"/>
      <c r="E236" s="616"/>
      <c r="F236" s="630"/>
      <c r="G236" s="190" t="s">
        <v>370</v>
      </c>
      <c r="H236" s="200">
        <v>4</v>
      </c>
      <c r="I236" s="255">
        <v>0</v>
      </c>
      <c r="J236" s="186">
        <v>0</v>
      </c>
      <c r="K236" s="190" t="e">
        <f>J236/I236</f>
        <v>#DIV/0!</v>
      </c>
      <c r="L236" s="202" t="s">
        <v>443</v>
      </c>
    </row>
    <row r="237" spans="1:12" s="203" customFormat="1" ht="49.9" customHeight="1" outlineLevel="1" x14ac:dyDescent="0.2">
      <c r="A237" s="583"/>
      <c r="B237" s="616"/>
      <c r="C237" s="616"/>
      <c r="D237" s="616"/>
      <c r="E237" s="616"/>
      <c r="F237" s="630"/>
      <c r="G237" s="190" t="s">
        <v>371</v>
      </c>
      <c r="H237" s="200">
        <v>1</v>
      </c>
      <c r="I237" s="255">
        <v>0</v>
      </c>
      <c r="J237" s="186">
        <v>0</v>
      </c>
      <c r="K237" s="190" t="e">
        <f>J237/I237</f>
        <v>#DIV/0!</v>
      </c>
      <c r="L237" s="202" t="s">
        <v>444</v>
      </c>
    </row>
    <row r="238" spans="1:12" s="203" customFormat="1" ht="49.9" customHeight="1" outlineLevel="1" x14ac:dyDescent="0.2">
      <c r="A238" s="583"/>
      <c r="B238" s="190" t="s">
        <v>422</v>
      </c>
      <c r="C238" s="190" t="s">
        <v>423</v>
      </c>
      <c r="D238" s="190" t="s">
        <v>424</v>
      </c>
      <c r="E238" s="190" t="s">
        <v>272</v>
      </c>
      <c r="F238" s="198">
        <v>0.15</v>
      </c>
      <c r="G238" s="190" t="s">
        <v>274</v>
      </c>
      <c r="H238" s="201">
        <v>426</v>
      </c>
      <c r="I238" s="255">
        <v>0</v>
      </c>
      <c r="J238" s="186">
        <v>0</v>
      </c>
      <c r="K238" s="190" t="e">
        <f t="shared" si="4"/>
        <v>#DIV/0!</v>
      </c>
      <c r="L238" s="202" t="s">
        <v>445</v>
      </c>
    </row>
    <row r="239" spans="1:12" s="203" customFormat="1" ht="49.9" customHeight="1" outlineLevel="1" x14ac:dyDescent="0.2">
      <c r="A239" s="583"/>
      <c r="B239" s="190" t="s">
        <v>426</v>
      </c>
      <c r="C239" s="190" t="s">
        <v>427</v>
      </c>
      <c r="D239" s="190" t="s">
        <v>428</v>
      </c>
      <c r="E239" s="190" t="s">
        <v>272</v>
      </c>
      <c r="F239" s="198">
        <v>0.15</v>
      </c>
      <c r="G239" s="190" t="s">
        <v>275</v>
      </c>
      <c r="H239" s="198">
        <v>1</v>
      </c>
      <c r="I239" s="255">
        <v>0</v>
      </c>
      <c r="J239" s="186">
        <v>0</v>
      </c>
      <c r="K239" s="190" t="e">
        <f t="shared" si="4"/>
        <v>#DIV/0!</v>
      </c>
      <c r="L239" s="202" t="s">
        <v>446</v>
      </c>
    </row>
    <row r="240" spans="1:12" s="203" customFormat="1" ht="49.9" customHeight="1" outlineLevel="1" x14ac:dyDescent="0.2">
      <c r="A240" s="583"/>
      <c r="B240" s="616" t="s">
        <v>430</v>
      </c>
      <c r="C240" s="616" t="s">
        <v>431</v>
      </c>
      <c r="D240" s="616" t="s">
        <v>432</v>
      </c>
      <c r="E240" s="616" t="s">
        <v>418</v>
      </c>
      <c r="F240" s="630">
        <v>0.25</v>
      </c>
      <c r="G240" s="190" t="s">
        <v>270</v>
      </c>
      <c r="H240" s="201">
        <v>234</v>
      </c>
      <c r="I240" s="255">
        <v>0</v>
      </c>
      <c r="J240" s="186">
        <v>0</v>
      </c>
      <c r="K240" s="190" t="e">
        <f>J240/I240</f>
        <v>#DIV/0!</v>
      </c>
      <c r="L240" s="202" t="s">
        <v>447</v>
      </c>
    </row>
    <row r="241" spans="1:12" s="203" customFormat="1" ht="49.9" customHeight="1" outlineLevel="1" x14ac:dyDescent="0.2">
      <c r="A241" s="583"/>
      <c r="B241" s="616"/>
      <c r="C241" s="616"/>
      <c r="D241" s="616"/>
      <c r="E241" s="616"/>
      <c r="F241" s="630"/>
      <c r="G241" s="190" t="s">
        <v>359</v>
      </c>
      <c r="H241" s="198">
        <v>1</v>
      </c>
      <c r="I241" s="255">
        <v>0</v>
      </c>
      <c r="J241" s="186">
        <v>0</v>
      </c>
      <c r="K241" s="190" t="e">
        <f>J241/I241</f>
        <v>#DIV/0!</v>
      </c>
      <c r="L241" s="202" t="s">
        <v>448</v>
      </c>
    </row>
    <row r="242" spans="1:12" s="203" customFormat="1" ht="49.9" customHeight="1" outlineLevel="1" x14ac:dyDescent="0.2">
      <c r="A242" s="583" t="s">
        <v>133</v>
      </c>
      <c r="B242" s="616" t="s">
        <v>415</v>
      </c>
      <c r="C242" s="616" t="s">
        <v>416</v>
      </c>
      <c r="D242" s="616" t="s">
        <v>417</v>
      </c>
      <c r="E242" s="616" t="s">
        <v>418</v>
      </c>
      <c r="F242" s="630">
        <v>0.45</v>
      </c>
      <c r="G242" s="190" t="s">
        <v>327</v>
      </c>
      <c r="H242" s="198">
        <v>1</v>
      </c>
      <c r="I242" s="255">
        <v>0</v>
      </c>
      <c r="J242" s="186">
        <v>0</v>
      </c>
      <c r="K242" s="190" t="e">
        <f>J242/I242</f>
        <v>#DIV/0!</v>
      </c>
      <c r="L242" s="202" t="s">
        <v>477</v>
      </c>
    </row>
    <row r="243" spans="1:12" s="203" customFormat="1" ht="49.9" customHeight="1" outlineLevel="1" x14ac:dyDescent="0.2">
      <c r="A243" s="583"/>
      <c r="B243" s="616"/>
      <c r="C243" s="616"/>
      <c r="D243" s="616"/>
      <c r="E243" s="616"/>
      <c r="F243" s="630"/>
      <c r="G243" s="190" t="s">
        <v>370</v>
      </c>
      <c r="H243" s="200">
        <v>4</v>
      </c>
      <c r="I243" s="255">
        <v>0</v>
      </c>
      <c r="J243" s="186">
        <v>0</v>
      </c>
      <c r="K243" s="190" t="e">
        <f>J243/I243</f>
        <v>#DIV/0!</v>
      </c>
      <c r="L243" s="202" t="s">
        <v>478</v>
      </c>
    </row>
    <row r="244" spans="1:12" s="203" customFormat="1" ht="49.9" customHeight="1" outlineLevel="1" x14ac:dyDescent="0.2">
      <c r="A244" s="583"/>
      <c r="B244" s="616"/>
      <c r="C244" s="616"/>
      <c r="D244" s="616"/>
      <c r="E244" s="616"/>
      <c r="F244" s="630"/>
      <c r="G244" s="190" t="s">
        <v>371</v>
      </c>
      <c r="H244" s="200">
        <v>1</v>
      </c>
      <c r="I244" s="255">
        <v>0</v>
      </c>
      <c r="J244" s="186">
        <v>0</v>
      </c>
      <c r="K244" s="190" t="e">
        <f>J244/I244</f>
        <v>#DIV/0!</v>
      </c>
      <c r="L244" s="202" t="s">
        <v>479</v>
      </c>
    </row>
    <row r="245" spans="1:12" s="203" customFormat="1" ht="49.9" customHeight="1" outlineLevel="1" x14ac:dyDescent="0.2">
      <c r="A245" s="583"/>
      <c r="B245" s="190" t="s">
        <v>422</v>
      </c>
      <c r="C245" s="190" t="s">
        <v>423</v>
      </c>
      <c r="D245" s="190" t="s">
        <v>424</v>
      </c>
      <c r="E245" s="190" t="s">
        <v>272</v>
      </c>
      <c r="F245" s="198">
        <v>0.15</v>
      </c>
      <c r="G245" s="190" t="s">
        <v>274</v>
      </c>
      <c r="H245" s="201">
        <v>426</v>
      </c>
      <c r="I245" s="255">
        <v>0</v>
      </c>
      <c r="J245" s="186">
        <v>0</v>
      </c>
      <c r="K245" s="190" t="e">
        <f t="shared" si="4"/>
        <v>#DIV/0!</v>
      </c>
      <c r="L245" s="202" t="s">
        <v>480</v>
      </c>
    </row>
    <row r="246" spans="1:12" s="203" customFormat="1" ht="49.9" customHeight="1" outlineLevel="1" x14ac:dyDescent="0.2">
      <c r="A246" s="583"/>
      <c r="B246" s="190" t="s">
        <v>426</v>
      </c>
      <c r="C246" s="190" t="s">
        <v>427</v>
      </c>
      <c r="D246" s="190" t="s">
        <v>428</v>
      </c>
      <c r="E246" s="190" t="s">
        <v>272</v>
      </c>
      <c r="F246" s="198">
        <v>0.15</v>
      </c>
      <c r="G246" s="190" t="s">
        <v>275</v>
      </c>
      <c r="H246" s="198">
        <v>1</v>
      </c>
      <c r="I246" s="255">
        <v>0</v>
      </c>
      <c r="J246" s="186">
        <v>0</v>
      </c>
      <c r="K246" s="190" t="e">
        <f t="shared" si="4"/>
        <v>#DIV/0!</v>
      </c>
      <c r="L246" s="202" t="s">
        <v>481</v>
      </c>
    </row>
    <row r="247" spans="1:12" s="203" customFormat="1" ht="49.9" customHeight="1" outlineLevel="1" x14ac:dyDescent="0.2">
      <c r="A247" s="583"/>
      <c r="B247" s="616" t="s">
        <v>430</v>
      </c>
      <c r="C247" s="616" t="s">
        <v>431</v>
      </c>
      <c r="D247" s="616" t="s">
        <v>432</v>
      </c>
      <c r="E247" s="616" t="s">
        <v>418</v>
      </c>
      <c r="F247" s="630">
        <v>0.25</v>
      </c>
      <c r="G247" s="190" t="s">
        <v>270</v>
      </c>
      <c r="H247" s="201">
        <v>234</v>
      </c>
      <c r="I247" s="255">
        <v>0</v>
      </c>
      <c r="J247" s="186">
        <v>0</v>
      </c>
      <c r="K247" s="190" t="e">
        <f t="shared" si="4"/>
        <v>#DIV/0!</v>
      </c>
      <c r="L247" s="202" t="s">
        <v>482</v>
      </c>
    </row>
    <row r="248" spans="1:12" s="203" customFormat="1" ht="49.9" customHeight="1" outlineLevel="1" x14ac:dyDescent="0.2">
      <c r="A248" s="583"/>
      <c r="B248" s="616"/>
      <c r="C248" s="616"/>
      <c r="D248" s="616"/>
      <c r="E248" s="616"/>
      <c r="F248" s="630"/>
      <c r="G248" s="190" t="s">
        <v>359</v>
      </c>
      <c r="H248" s="198">
        <v>1</v>
      </c>
      <c r="I248" s="255">
        <v>0</v>
      </c>
      <c r="J248" s="186">
        <v>0</v>
      </c>
      <c r="K248" s="190" t="e">
        <f t="shared" si="4"/>
        <v>#DIV/0!</v>
      </c>
      <c r="L248" s="202" t="s">
        <v>483</v>
      </c>
    </row>
    <row r="249" spans="1:12" s="203" customFormat="1" ht="49.9" customHeight="1" outlineLevel="1" x14ac:dyDescent="0.2">
      <c r="A249" s="583" t="s">
        <v>134</v>
      </c>
      <c r="B249" s="616" t="s">
        <v>415</v>
      </c>
      <c r="C249" s="616" t="s">
        <v>416</v>
      </c>
      <c r="D249" s="616" t="s">
        <v>417</v>
      </c>
      <c r="E249" s="616" t="s">
        <v>418</v>
      </c>
      <c r="F249" s="630">
        <v>0.45</v>
      </c>
      <c r="G249" s="190" t="s">
        <v>327</v>
      </c>
      <c r="H249" s="198">
        <v>1</v>
      </c>
      <c r="I249" s="255">
        <v>0</v>
      </c>
      <c r="J249" s="186">
        <v>0</v>
      </c>
      <c r="K249" s="190" t="e">
        <f t="shared" si="4"/>
        <v>#DIV/0!</v>
      </c>
      <c r="L249" s="202" t="s">
        <v>449</v>
      </c>
    </row>
    <row r="250" spans="1:12" s="203" customFormat="1" ht="49.9" customHeight="1" outlineLevel="1" x14ac:dyDescent="0.2">
      <c r="A250" s="583"/>
      <c r="B250" s="616"/>
      <c r="C250" s="616"/>
      <c r="D250" s="616"/>
      <c r="E250" s="616"/>
      <c r="F250" s="630"/>
      <c r="G250" s="190" t="s">
        <v>370</v>
      </c>
      <c r="H250" s="204">
        <v>4</v>
      </c>
      <c r="I250" s="255">
        <v>0</v>
      </c>
      <c r="J250" s="186">
        <v>0</v>
      </c>
      <c r="K250" s="190" t="e">
        <f t="shared" si="4"/>
        <v>#DIV/0!</v>
      </c>
      <c r="L250" s="202" t="s">
        <v>450</v>
      </c>
    </row>
    <row r="251" spans="1:12" s="203" customFormat="1" ht="49.9" customHeight="1" outlineLevel="1" x14ac:dyDescent="0.2">
      <c r="A251" s="583"/>
      <c r="B251" s="616"/>
      <c r="C251" s="616"/>
      <c r="D251" s="616"/>
      <c r="E251" s="616"/>
      <c r="F251" s="630"/>
      <c r="G251" s="190" t="s">
        <v>371</v>
      </c>
      <c r="H251" s="198">
        <v>1</v>
      </c>
      <c r="I251" s="255">
        <v>0</v>
      </c>
      <c r="J251" s="186">
        <v>0</v>
      </c>
      <c r="K251" s="190" t="e">
        <f t="shared" si="4"/>
        <v>#DIV/0!</v>
      </c>
      <c r="L251" s="202" t="s">
        <v>451</v>
      </c>
    </row>
    <row r="252" spans="1:12" s="203" customFormat="1" ht="49.9" customHeight="1" outlineLevel="1" x14ac:dyDescent="0.2">
      <c r="A252" s="583"/>
      <c r="B252" s="190" t="s">
        <v>422</v>
      </c>
      <c r="C252" s="190" t="s">
        <v>423</v>
      </c>
      <c r="D252" s="190" t="s">
        <v>424</v>
      </c>
      <c r="E252" s="190" t="s">
        <v>272</v>
      </c>
      <c r="F252" s="198">
        <v>0.15</v>
      </c>
      <c r="G252" s="190" t="s">
        <v>274</v>
      </c>
      <c r="H252" s="204">
        <v>426</v>
      </c>
      <c r="I252" s="255">
        <v>0</v>
      </c>
      <c r="J252" s="186">
        <v>0</v>
      </c>
      <c r="K252" s="190" t="e">
        <f t="shared" si="4"/>
        <v>#DIV/0!</v>
      </c>
      <c r="L252" s="202" t="s">
        <v>452</v>
      </c>
    </row>
    <row r="253" spans="1:12" s="203" customFormat="1" ht="49.9" customHeight="1" outlineLevel="1" x14ac:dyDescent="0.2">
      <c r="A253" s="583"/>
      <c r="B253" s="190" t="s">
        <v>426</v>
      </c>
      <c r="C253" s="190" t="s">
        <v>427</v>
      </c>
      <c r="D253" s="190" t="s">
        <v>428</v>
      </c>
      <c r="E253" s="190" t="s">
        <v>272</v>
      </c>
      <c r="F253" s="198">
        <v>0.15</v>
      </c>
      <c r="G253" s="190" t="s">
        <v>275</v>
      </c>
      <c r="H253" s="198">
        <v>1</v>
      </c>
      <c r="I253" s="255">
        <v>0</v>
      </c>
      <c r="J253" s="186">
        <v>0</v>
      </c>
      <c r="K253" s="190" t="e">
        <f t="shared" si="4"/>
        <v>#DIV/0!</v>
      </c>
      <c r="L253" s="202" t="s">
        <v>453</v>
      </c>
    </row>
    <row r="254" spans="1:12" s="203" customFormat="1" ht="49.9" customHeight="1" outlineLevel="1" x14ac:dyDescent="0.2">
      <c r="A254" s="583"/>
      <c r="B254" s="616" t="s">
        <v>430</v>
      </c>
      <c r="C254" s="616" t="s">
        <v>431</v>
      </c>
      <c r="D254" s="616" t="s">
        <v>432</v>
      </c>
      <c r="E254" s="616" t="s">
        <v>418</v>
      </c>
      <c r="F254" s="630">
        <v>0.25</v>
      </c>
      <c r="G254" s="190" t="s">
        <v>270</v>
      </c>
      <c r="H254" s="204">
        <v>234</v>
      </c>
      <c r="I254" s="255">
        <v>0</v>
      </c>
      <c r="J254" s="186">
        <v>0</v>
      </c>
      <c r="K254" s="190" t="e">
        <f t="shared" si="4"/>
        <v>#DIV/0!</v>
      </c>
      <c r="L254" s="202" t="s">
        <v>454</v>
      </c>
    </row>
    <row r="255" spans="1:12" s="203" customFormat="1" ht="49.9" customHeight="1" outlineLevel="1" x14ac:dyDescent="0.2">
      <c r="A255" s="583"/>
      <c r="B255" s="616"/>
      <c r="C255" s="616"/>
      <c r="D255" s="616"/>
      <c r="E255" s="616"/>
      <c r="F255" s="630"/>
      <c r="G255" s="190" t="s">
        <v>359</v>
      </c>
      <c r="H255" s="198">
        <v>1</v>
      </c>
      <c r="I255" s="255">
        <v>0</v>
      </c>
      <c r="J255" s="186">
        <v>0</v>
      </c>
      <c r="K255" s="190" t="e">
        <f>J255/I255</f>
        <v>#DIV/0!</v>
      </c>
      <c r="L255" s="202" t="s">
        <v>455</v>
      </c>
    </row>
    <row r="256" spans="1:12" s="203" customFormat="1" ht="55.15" customHeight="1" outlineLevel="1" x14ac:dyDescent="0.2">
      <c r="A256" s="612" t="s">
        <v>135</v>
      </c>
      <c r="B256" s="616" t="s">
        <v>415</v>
      </c>
      <c r="C256" s="616" t="s">
        <v>416</v>
      </c>
      <c r="D256" s="616" t="s">
        <v>417</v>
      </c>
      <c r="E256" s="616" t="s">
        <v>418</v>
      </c>
      <c r="F256" s="630">
        <v>0.45</v>
      </c>
      <c r="G256" s="190" t="s">
        <v>327</v>
      </c>
      <c r="H256" s="198">
        <v>1</v>
      </c>
      <c r="I256" s="255">
        <v>0</v>
      </c>
      <c r="J256" s="186">
        <v>0</v>
      </c>
      <c r="K256" s="190" t="e">
        <f t="shared" ref="K256:K261" si="5">J256/I256</f>
        <v>#DIV/0!</v>
      </c>
      <c r="L256" s="202" t="s">
        <v>456</v>
      </c>
    </row>
    <row r="257" spans="1:13" s="203" customFormat="1" ht="55.15" customHeight="1" outlineLevel="1" x14ac:dyDescent="0.2">
      <c r="A257" s="613"/>
      <c r="B257" s="616"/>
      <c r="C257" s="616"/>
      <c r="D257" s="616"/>
      <c r="E257" s="616"/>
      <c r="F257" s="630"/>
      <c r="G257" s="190" t="s">
        <v>370</v>
      </c>
      <c r="H257" s="204">
        <v>4</v>
      </c>
      <c r="I257" s="255">
        <v>0</v>
      </c>
      <c r="J257" s="186">
        <v>0</v>
      </c>
      <c r="K257" s="190" t="e">
        <f t="shared" si="5"/>
        <v>#DIV/0!</v>
      </c>
      <c r="L257" s="202" t="s">
        <v>457</v>
      </c>
    </row>
    <row r="258" spans="1:13" s="203" customFormat="1" ht="55.15" customHeight="1" outlineLevel="1" x14ac:dyDescent="0.2">
      <c r="A258" s="613"/>
      <c r="B258" s="616"/>
      <c r="C258" s="616"/>
      <c r="D258" s="616"/>
      <c r="E258" s="616"/>
      <c r="F258" s="630"/>
      <c r="G258" s="190" t="s">
        <v>371</v>
      </c>
      <c r="H258" s="198">
        <v>1</v>
      </c>
      <c r="I258" s="255">
        <v>0</v>
      </c>
      <c r="J258" s="186">
        <v>0</v>
      </c>
      <c r="K258" s="190" t="e">
        <f t="shared" si="5"/>
        <v>#DIV/0!</v>
      </c>
      <c r="L258" s="202" t="s">
        <v>458</v>
      </c>
    </row>
    <row r="259" spans="1:13" s="203" customFormat="1" ht="55.15" customHeight="1" outlineLevel="1" x14ac:dyDescent="0.2">
      <c r="A259" s="613"/>
      <c r="B259" s="190" t="s">
        <v>422</v>
      </c>
      <c r="C259" s="190" t="s">
        <v>423</v>
      </c>
      <c r="D259" s="190" t="s">
        <v>424</v>
      </c>
      <c r="E259" s="190" t="s">
        <v>272</v>
      </c>
      <c r="F259" s="198">
        <v>0.15</v>
      </c>
      <c r="G259" s="190" t="s">
        <v>274</v>
      </c>
      <c r="H259" s="204">
        <v>491</v>
      </c>
      <c r="I259" s="255">
        <v>0</v>
      </c>
      <c r="J259" s="186">
        <v>0</v>
      </c>
      <c r="K259" s="190" t="e">
        <f t="shared" si="5"/>
        <v>#DIV/0!</v>
      </c>
      <c r="L259" s="202" t="s">
        <v>459</v>
      </c>
    </row>
    <row r="260" spans="1:13" s="203" customFormat="1" ht="55.15" customHeight="1" outlineLevel="1" x14ac:dyDescent="0.2">
      <c r="A260" s="613"/>
      <c r="B260" s="190" t="s">
        <v>426</v>
      </c>
      <c r="C260" s="190" t="s">
        <v>427</v>
      </c>
      <c r="D260" s="190" t="s">
        <v>428</v>
      </c>
      <c r="E260" s="190" t="s">
        <v>272</v>
      </c>
      <c r="F260" s="198">
        <v>0.15</v>
      </c>
      <c r="G260" s="190" t="s">
        <v>275</v>
      </c>
      <c r="H260" s="198">
        <v>1</v>
      </c>
      <c r="I260" s="255">
        <v>0</v>
      </c>
      <c r="J260" s="186">
        <v>0</v>
      </c>
      <c r="K260" s="190" t="e">
        <f t="shared" si="5"/>
        <v>#DIV/0!</v>
      </c>
      <c r="L260" s="202" t="s">
        <v>460</v>
      </c>
    </row>
    <row r="261" spans="1:13" s="203" customFormat="1" ht="55.15" customHeight="1" outlineLevel="1" x14ac:dyDescent="0.2">
      <c r="A261" s="613"/>
      <c r="B261" s="616" t="s">
        <v>430</v>
      </c>
      <c r="C261" s="616" t="s">
        <v>431</v>
      </c>
      <c r="D261" s="616" t="s">
        <v>432</v>
      </c>
      <c r="E261" s="616" t="s">
        <v>418</v>
      </c>
      <c r="F261" s="630">
        <v>0.25</v>
      </c>
      <c r="G261" s="190" t="s">
        <v>270</v>
      </c>
      <c r="H261" s="204">
        <v>1292</v>
      </c>
      <c r="I261" s="255">
        <v>0</v>
      </c>
      <c r="J261" s="186">
        <v>0</v>
      </c>
      <c r="K261" s="190" t="e">
        <f t="shared" si="5"/>
        <v>#DIV/0!</v>
      </c>
      <c r="L261" s="202" t="s">
        <v>461</v>
      </c>
    </row>
    <row r="262" spans="1:13" s="203" customFormat="1" ht="55.15" customHeight="1" outlineLevel="1" x14ac:dyDescent="0.2">
      <c r="A262" s="614"/>
      <c r="B262" s="616"/>
      <c r="C262" s="616"/>
      <c r="D262" s="616"/>
      <c r="E262" s="616"/>
      <c r="F262" s="630"/>
      <c r="G262" s="190" t="s">
        <v>359</v>
      </c>
      <c r="H262" s="198">
        <v>1</v>
      </c>
      <c r="I262" s="255">
        <v>0</v>
      </c>
      <c r="J262" s="186">
        <v>0</v>
      </c>
      <c r="K262" s="190" t="e">
        <f>J262/I262</f>
        <v>#DIV/0!</v>
      </c>
      <c r="L262" s="202" t="s">
        <v>462</v>
      </c>
    </row>
    <row r="264" spans="1:13" ht="19.899999999999999" customHeight="1" x14ac:dyDescent="0.25">
      <c r="A264" s="627" t="s">
        <v>204</v>
      </c>
      <c r="B264" s="628"/>
      <c r="C264" s="628"/>
      <c r="D264" s="628"/>
      <c r="E264" s="628"/>
      <c r="F264" s="628"/>
      <c r="G264" s="628"/>
      <c r="H264" s="628"/>
      <c r="I264" s="628"/>
      <c r="J264" s="628"/>
      <c r="K264" s="628"/>
      <c r="L264" s="629"/>
    </row>
    <row r="265" spans="1:13" ht="44.25" customHeight="1" x14ac:dyDescent="0.25">
      <c r="A265" s="188" t="s">
        <v>50</v>
      </c>
      <c r="B265" s="46" t="s">
        <v>147</v>
      </c>
      <c r="C265" s="46" t="s">
        <v>148</v>
      </c>
      <c r="D265" s="46" t="s">
        <v>149</v>
      </c>
      <c r="E265" s="46" t="s">
        <v>150</v>
      </c>
      <c r="F265" s="46" t="s">
        <v>158</v>
      </c>
      <c r="G265" s="46" t="s">
        <v>152</v>
      </c>
      <c r="H265" s="46" t="s">
        <v>159</v>
      </c>
      <c r="I265" s="253" t="s">
        <v>154</v>
      </c>
      <c r="J265" s="46" t="s">
        <v>155</v>
      </c>
      <c r="K265" s="46" t="s">
        <v>156</v>
      </c>
      <c r="L265" s="46" t="s">
        <v>157</v>
      </c>
    </row>
    <row r="266" spans="1:13" ht="49.9" customHeight="1" x14ac:dyDescent="0.25">
      <c r="A266" s="624" t="s">
        <v>137</v>
      </c>
      <c r="B266" s="616" t="s">
        <v>415</v>
      </c>
      <c r="C266" s="616" t="s">
        <v>416</v>
      </c>
      <c r="D266" s="616" t="s">
        <v>417</v>
      </c>
      <c r="E266" s="616" t="s">
        <v>418</v>
      </c>
      <c r="F266" s="630">
        <v>0.45</v>
      </c>
      <c r="G266" s="190" t="s">
        <v>327</v>
      </c>
      <c r="H266" s="198">
        <v>1</v>
      </c>
      <c r="I266" s="255">
        <v>0</v>
      </c>
      <c r="J266" s="186">
        <v>0</v>
      </c>
      <c r="K266" s="190" t="e">
        <f>J266/I266</f>
        <v>#DIV/0!</v>
      </c>
      <c r="L266" s="205" t="s">
        <v>456</v>
      </c>
      <c r="M266" s="206"/>
    </row>
    <row r="267" spans="1:13" ht="49.9" customHeight="1" x14ac:dyDescent="0.25">
      <c r="A267" s="625"/>
      <c r="B267" s="616"/>
      <c r="C267" s="616"/>
      <c r="D267" s="616"/>
      <c r="E267" s="616"/>
      <c r="F267" s="630"/>
      <c r="G267" s="190" t="s">
        <v>370</v>
      </c>
      <c r="H267" s="204">
        <v>8</v>
      </c>
      <c r="I267" s="255">
        <v>0</v>
      </c>
      <c r="J267" s="186">
        <v>0</v>
      </c>
      <c r="K267" s="190" t="e">
        <f t="shared" ref="K267:K271" si="6">J267/I267</f>
        <v>#DIV/0!</v>
      </c>
      <c r="L267" s="205" t="s">
        <v>457</v>
      </c>
      <c r="M267" s="206"/>
    </row>
    <row r="268" spans="1:13" ht="49.9" customHeight="1" x14ac:dyDescent="0.25">
      <c r="A268" s="625"/>
      <c r="B268" s="616"/>
      <c r="C268" s="616"/>
      <c r="D268" s="616"/>
      <c r="E268" s="616"/>
      <c r="F268" s="630"/>
      <c r="G268" s="190" t="s">
        <v>371</v>
      </c>
      <c r="H268" s="204">
        <v>2</v>
      </c>
      <c r="I268" s="255">
        <v>0</v>
      </c>
      <c r="J268" s="186">
        <v>0</v>
      </c>
      <c r="K268" s="190" t="e">
        <f t="shared" si="6"/>
        <v>#DIV/0!</v>
      </c>
      <c r="L268" s="205" t="s">
        <v>458</v>
      </c>
      <c r="M268" s="206"/>
    </row>
    <row r="269" spans="1:13" ht="49.9" customHeight="1" x14ac:dyDescent="0.25">
      <c r="A269" s="625"/>
      <c r="B269" s="190" t="s">
        <v>422</v>
      </c>
      <c r="C269" s="190" t="s">
        <v>423</v>
      </c>
      <c r="D269" s="190" t="s">
        <v>424</v>
      </c>
      <c r="E269" s="190" t="s">
        <v>272</v>
      </c>
      <c r="F269" s="198">
        <v>0.15</v>
      </c>
      <c r="G269" s="190" t="s">
        <v>274</v>
      </c>
      <c r="H269" s="204">
        <v>893</v>
      </c>
      <c r="I269" s="255">
        <v>0</v>
      </c>
      <c r="J269" s="186">
        <v>0</v>
      </c>
      <c r="K269" s="190" t="e">
        <f t="shared" si="6"/>
        <v>#DIV/0!</v>
      </c>
      <c r="L269" s="205" t="s">
        <v>459</v>
      </c>
      <c r="M269" s="206"/>
    </row>
    <row r="270" spans="1:13" ht="49.9" customHeight="1" x14ac:dyDescent="0.25">
      <c r="A270" s="625"/>
      <c r="B270" s="190" t="s">
        <v>426</v>
      </c>
      <c r="C270" s="190" t="s">
        <v>427</v>
      </c>
      <c r="D270" s="190" t="s">
        <v>428</v>
      </c>
      <c r="E270" s="190" t="s">
        <v>272</v>
      </c>
      <c r="F270" s="198">
        <v>0.15</v>
      </c>
      <c r="G270" s="190" t="s">
        <v>275</v>
      </c>
      <c r="H270" s="198">
        <v>1</v>
      </c>
      <c r="I270" s="255">
        <v>0</v>
      </c>
      <c r="J270" s="186">
        <v>0</v>
      </c>
      <c r="K270" s="190" t="e">
        <f t="shared" si="6"/>
        <v>#DIV/0!</v>
      </c>
      <c r="L270" s="205" t="s">
        <v>460</v>
      </c>
      <c r="M270" s="206"/>
    </row>
    <row r="271" spans="1:13" ht="49.9" customHeight="1" x14ac:dyDescent="0.25">
      <c r="A271" s="625"/>
      <c r="B271" s="616" t="s">
        <v>430</v>
      </c>
      <c r="C271" s="616" t="s">
        <v>431</v>
      </c>
      <c r="D271" s="616" t="s">
        <v>432</v>
      </c>
      <c r="E271" s="616" t="s">
        <v>418</v>
      </c>
      <c r="F271" s="630">
        <v>0.25</v>
      </c>
      <c r="G271" s="190" t="s">
        <v>270</v>
      </c>
      <c r="H271" s="204">
        <v>759</v>
      </c>
      <c r="I271" s="255">
        <v>0</v>
      </c>
      <c r="J271" s="186">
        <v>0</v>
      </c>
      <c r="K271" s="190" t="e">
        <f t="shared" si="6"/>
        <v>#DIV/0!</v>
      </c>
      <c r="L271" s="205" t="s">
        <v>461</v>
      </c>
      <c r="M271" s="206"/>
    </row>
    <row r="272" spans="1:13" ht="49.9" customHeight="1" x14ac:dyDescent="0.25">
      <c r="A272" s="626"/>
      <c r="B272" s="616"/>
      <c r="C272" s="616"/>
      <c r="D272" s="616"/>
      <c r="E272" s="616"/>
      <c r="F272" s="630"/>
      <c r="G272" s="190" t="s">
        <v>359</v>
      </c>
      <c r="H272" s="198">
        <v>1</v>
      </c>
      <c r="I272" s="255">
        <v>0</v>
      </c>
      <c r="J272" s="186">
        <v>0</v>
      </c>
      <c r="K272" s="190" t="e">
        <f>J272/I272</f>
        <v>#DIV/0!</v>
      </c>
      <c r="L272" s="205" t="s">
        <v>462</v>
      </c>
      <c r="M272" s="206"/>
    </row>
    <row r="273" spans="1:12" ht="49.9" customHeight="1" x14ac:dyDescent="0.25">
      <c r="A273" s="624" t="s">
        <v>138</v>
      </c>
      <c r="B273" s="616" t="s">
        <v>415</v>
      </c>
      <c r="C273" s="616" t="s">
        <v>416</v>
      </c>
      <c r="D273" s="616" t="s">
        <v>417</v>
      </c>
      <c r="E273" s="616" t="s">
        <v>418</v>
      </c>
      <c r="F273" s="630">
        <v>0.45</v>
      </c>
      <c r="G273" s="190" t="s">
        <v>327</v>
      </c>
      <c r="H273" s="198">
        <v>1</v>
      </c>
      <c r="I273" s="255">
        <v>0</v>
      </c>
      <c r="J273" s="186">
        <v>0</v>
      </c>
      <c r="K273" s="190" t="e">
        <f>J273/I273</f>
        <v>#DIV/0!</v>
      </c>
      <c r="L273" s="207" t="s">
        <v>463</v>
      </c>
    </row>
    <row r="274" spans="1:12" ht="49.9" customHeight="1" x14ac:dyDescent="0.25">
      <c r="A274" s="625"/>
      <c r="B274" s="616"/>
      <c r="C274" s="616"/>
      <c r="D274" s="616"/>
      <c r="E274" s="616"/>
      <c r="F274" s="630"/>
      <c r="G274" s="190" t="s">
        <v>370</v>
      </c>
      <c r="H274" s="204">
        <v>8</v>
      </c>
      <c r="I274" s="255">
        <v>0</v>
      </c>
      <c r="J274" s="186">
        <v>0</v>
      </c>
      <c r="K274" s="190" t="e">
        <f t="shared" ref="K274:K278" si="7">J274/I274</f>
        <v>#DIV/0!</v>
      </c>
      <c r="L274" s="207" t="s">
        <v>464</v>
      </c>
    </row>
    <row r="275" spans="1:12" ht="49.9" customHeight="1" x14ac:dyDescent="0.25">
      <c r="A275" s="625"/>
      <c r="B275" s="616"/>
      <c r="C275" s="616"/>
      <c r="D275" s="616"/>
      <c r="E275" s="616"/>
      <c r="F275" s="630"/>
      <c r="G275" s="190" t="s">
        <v>371</v>
      </c>
      <c r="H275" s="204">
        <v>2</v>
      </c>
      <c r="I275" s="255">
        <v>0</v>
      </c>
      <c r="J275" s="186">
        <v>0</v>
      </c>
      <c r="K275" s="190" t="e">
        <f t="shared" si="7"/>
        <v>#DIV/0!</v>
      </c>
      <c r="L275" s="207" t="s">
        <v>465</v>
      </c>
    </row>
    <row r="276" spans="1:12" ht="49.9" customHeight="1" x14ac:dyDescent="0.25">
      <c r="A276" s="625"/>
      <c r="B276" s="190" t="s">
        <v>422</v>
      </c>
      <c r="C276" s="190" t="s">
        <v>423</v>
      </c>
      <c r="D276" s="190" t="s">
        <v>424</v>
      </c>
      <c r="E276" s="190" t="s">
        <v>272</v>
      </c>
      <c r="F276" s="198">
        <v>0.15</v>
      </c>
      <c r="G276" s="190" t="s">
        <v>274</v>
      </c>
      <c r="H276" s="204">
        <v>893</v>
      </c>
      <c r="I276" s="255">
        <v>0</v>
      </c>
      <c r="J276" s="186">
        <v>0</v>
      </c>
      <c r="K276" s="190" t="e">
        <f t="shared" si="7"/>
        <v>#DIV/0!</v>
      </c>
      <c r="L276" s="207" t="s">
        <v>466</v>
      </c>
    </row>
    <row r="277" spans="1:12" ht="49.9" customHeight="1" x14ac:dyDescent="0.25">
      <c r="A277" s="625"/>
      <c r="B277" s="190" t="s">
        <v>426</v>
      </c>
      <c r="C277" s="190" t="s">
        <v>427</v>
      </c>
      <c r="D277" s="190" t="s">
        <v>428</v>
      </c>
      <c r="E277" s="190" t="s">
        <v>272</v>
      </c>
      <c r="F277" s="198">
        <v>0.15</v>
      </c>
      <c r="G277" s="190" t="s">
        <v>275</v>
      </c>
      <c r="H277" s="198">
        <v>1</v>
      </c>
      <c r="I277" s="255">
        <v>0</v>
      </c>
      <c r="J277" s="186">
        <v>0</v>
      </c>
      <c r="K277" s="190" t="e">
        <f t="shared" si="7"/>
        <v>#DIV/0!</v>
      </c>
      <c r="L277" s="207" t="s">
        <v>467</v>
      </c>
    </row>
    <row r="278" spans="1:12" ht="49.9" customHeight="1" x14ac:dyDescent="0.25">
      <c r="A278" s="625"/>
      <c r="B278" s="616" t="s">
        <v>430</v>
      </c>
      <c r="C278" s="616" t="s">
        <v>431</v>
      </c>
      <c r="D278" s="616" t="s">
        <v>432</v>
      </c>
      <c r="E278" s="616" t="s">
        <v>418</v>
      </c>
      <c r="F278" s="630">
        <v>0.25</v>
      </c>
      <c r="G278" s="190" t="s">
        <v>270</v>
      </c>
      <c r="H278" s="204">
        <v>759</v>
      </c>
      <c r="I278" s="255">
        <v>0</v>
      </c>
      <c r="J278" s="186">
        <v>0</v>
      </c>
      <c r="K278" s="190" t="e">
        <f t="shared" si="7"/>
        <v>#DIV/0!</v>
      </c>
      <c r="L278" s="207" t="s">
        <v>468</v>
      </c>
    </row>
    <row r="279" spans="1:12" ht="49.9" customHeight="1" x14ac:dyDescent="0.25">
      <c r="A279" s="626"/>
      <c r="B279" s="616"/>
      <c r="C279" s="616"/>
      <c r="D279" s="616"/>
      <c r="E279" s="616"/>
      <c r="F279" s="630"/>
      <c r="G279" s="190" t="s">
        <v>359</v>
      </c>
      <c r="H279" s="198">
        <v>1</v>
      </c>
      <c r="I279" s="255">
        <v>0</v>
      </c>
      <c r="J279" s="186">
        <v>0</v>
      </c>
      <c r="K279" s="190" t="e">
        <f>J279/I279</f>
        <v>#DIV/0!</v>
      </c>
      <c r="L279" s="207" t="s">
        <v>469</v>
      </c>
    </row>
    <row r="280" spans="1:12" ht="49.9" customHeight="1" x14ac:dyDescent="0.25">
      <c r="A280" s="624" t="s">
        <v>139</v>
      </c>
      <c r="B280" s="616" t="s">
        <v>415</v>
      </c>
      <c r="C280" s="616" t="s">
        <v>416</v>
      </c>
      <c r="D280" s="616" t="s">
        <v>417</v>
      </c>
      <c r="E280" s="616" t="s">
        <v>418</v>
      </c>
      <c r="F280" s="630">
        <v>0.45</v>
      </c>
      <c r="G280" s="190" t="s">
        <v>327</v>
      </c>
      <c r="H280" s="198">
        <v>1</v>
      </c>
      <c r="I280" s="255">
        <v>0</v>
      </c>
      <c r="J280" s="186">
        <v>0</v>
      </c>
      <c r="K280" s="190" t="e">
        <f>J280/I280</f>
        <v>#DIV/0!</v>
      </c>
      <c r="L280" s="207" t="s">
        <v>470</v>
      </c>
    </row>
    <row r="281" spans="1:12" ht="49.9" customHeight="1" x14ac:dyDescent="0.25">
      <c r="A281" s="625"/>
      <c r="B281" s="616"/>
      <c r="C281" s="616"/>
      <c r="D281" s="616"/>
      <c r="E281" s="616"/>
      <c r="F281" s="630"/>
      <c r="G281" s="190" t="s">
        <v>370</v>
      </c>
      <c r="H281" s="204">
        <v>8</v>
      </c>
      <c r="I281" s="255">
        <v>0</v>
      </c>
      <c r="J281" s="186">
        <v>0</v>
      </c>
      <c r="K281" s="190" t="e">
        <f t="shared" ref="K281:K285" si="8">J281/I281</f>
        <v>#DIV/0!</v>
      </c>
      <c r="L281" s="207" t="s">
        <v>471</v>
      </c>
    </row>
    <row r="282" spans="1:12" ht="49.9" customHeight="1" x14ac:dyDescent="0.25">
      <c r="A282" s="625"/>
      <c r="B282" s="616"/>
      <c r="C282" s="616"/>
      <c r="D282" s="616"/>
      <c r="E282" s="616"/>
      <c r="F282" s="630"/>
      <c r="G282" s="190" t="s">
        <v>371</v>
      </c>
      <c r="H282" s="204">
        <v>2</v>
      </c>
      <c r="I282" s="255">
        <v>0</v>
      </c>
      <c r="J282" s="186">
        <v>0</v>
      </c>
      <c r="K282" s="190" t="e">
        <f t="shared" si="8"/>
        <v>#DIV/0!</v>
      </c>
      <c r="L282" s="207" t="s">
        <v>472</v>
      </c>
    </row>
    <row r="283" spans="1:12" ht="49.9" customHeight="1" x14ac:dyDescent="0.25">
      <c r="A283" s="625"/>
      <c r="B283" s="190" t="s">
        <v>422</v>
      </c>
      <c r="C283" s="190" t="s">
        <v>423</v>
      </c>
      <c r="D283" s="190" t="s">
        <v>424</v>
      </c>
      <c r="E283" s="190" t="s">
        <v>272</v>
      </c>
      <c r="F283" s="198">
        <v>0.15</v>
      </c>
      <c r="G283" s="190" t="s">
        <v>274</v>
      </c>
      <c r="H283" s="204">
        <v>893</v>
      </c>
      <c r="I283" s="255">
        <v>0</v>
      </c>
      <c r="J283" s="186">
        <v>0</v>
      </c>
      <c r="K283" s="190" t="e">
        <f t="shared" si="8"/>
        <v>#DIV/0!</v>
      </c>
      <c r="L283" s="207" t="s">
        <v>473</v>
      </c>
    </row>
    <row r="284" spans="1:12" ht="49.9" customHeight="1" x14ac:dyDescent="0.25">
      <c r="A284" s="625"/>
      <c r="B284" s="190" t="s">
        <v>426</v>
      </c>
      <c r="C284" s="190" t="s">
        <v>427</v>
      </c>
      <c r="D284" s="190" t="s">
        <v>428</v>
      </c>
      <c r="E284" s="190" t="s">
        <v>272</v>
      </c>
      <c r="F284" s="198">
        <v>0.15</v>
      </c>
      <c r="G284" s="190" t="s">
        <v>275</v>
      </c>
      <c r="H284" s="198">
        <v>1</v>
      </c>
      <c r="I284" s="255">
        <v>0</v>
      </c>
      <c r="J284" s="186">
        <v>0</v>
      </c>
      <c r="K284" s="190" t="e">
        <f t="shared" si="8"/>
        <v>#DIV/0!</v>
      </c>
      <c r="L284" s="207" t="s">
        <v>474</v>
      </c>
    </row>
    <row r="285" spans="1:12" ht="49.9" customHeight="1" x14ac:dyDescent="0.25">
      <c r="A285" s="625"/>
      <c r="B285" s="616" t="s">
        <v>430</v>
      </c>
      <c r="C285" s="616" t="s">
        <v>431</v>
      </c>
      <c r="D285" s="616" t="s">
        <v>432</v>
      </c>
      <c r="E285" s="616" t="s">
        <v>418</v>
      </c>
      <c r="F285" s="630">
        <v>0.25</v>
      </c>
      <c r="G285" s="190" t="s">
        <v>270</v>
      </c>
      <c r="H285" s="204">
        <v>4707</v>
      </c>
      <c r="I285" s="255">
        <v>0</v>
      </c>
      <c r="J285" s="186">
        <v>0</v>
      </c>
      <c r="K285" s="190" t="e">
        <f t="shared" si="8"/>
        <v>#DIV/0!</v>
      </c>
      <c r="L285" s="207" t="s">
        <v>475</v>
      </c>
    </row>
    <row r="286" spans="1:12" ht="49.9" customHeight="1" x14ac:dyDescent="0.25">
      <c r="A286" s="626"/>
      <c r="B286" s="616"/>
      <c r="C286" s="616"/>
      <c r="D286" s="616"/>
      <c r="E286" s="616"/>
      <c r="F286" s="630"/>
      <c r="G286" s="190" t="s">
        <v>359</v>
      </c>
      <c r="H286" s="198">
        <v>1</v>
      </c>
      <c r="I286" s="255">
        <v>0</v>
      </c>
      <c r="J286" s="186">
        <v>0</v>
      </c>
      <c r="K286" s="190" t="e">
        <f>J286/I286</f>
        <v>#DIV/0!</v>
      </c>
      <c r="L286" s="207" t="s">
        <v>476</v>
      </c>
    </row>
    <row r="287" spans="1:12" ht="49.9" customHeight="1" x14ac:dyDescent="0.25">
      <c r="A287" s="624" t="s">
        <v>140</v>
      </c>
      <c r="B287" s="616" t="s">
        <v>415</v>
      </c>
      <c r="C287" s="616" t="s">
        <v>416</v>
      </c>
      <c r="D287" s="616" t="s">
        <v>417</v>
      </c>
      <c r="E287" s="616" t="s">
        <v>418</v>
      </c>
      <c r="F287" s="630">
        <v>0.45</v>
      </c>
      <c r="G287" s="190" t="s">
        <v>327</v>
      </c>
      <c r="H287" s="198">
        <v>1</v>
      </c>
      <c r="I287" s="255">
        <v>0</v>
      </c>
      <c r="J287" s="186">
        <v>0</v>
      </c>
      <c r="K287" s="190" t="e">
        <f>J287/I287</f>
        <v>#DIV/0!</v>
      </c>
      <c r="L287" s="208" t="s">
        <v>477</v>
      </c>
    </row>
    <row r="288" spans="1:12" ht="49.9" customHeight="1" x14ac:dyDescent="0.25">
      <c r="A288" s="625"/>
      <c r="B288" s="616"/>
      <c r="C288" s="616"/>
      <c r="D288" s="616"/>
      <c r="E288" s="616"/>
      <c r="F288" s="630"/>
      <c r="G288" s="190" t="s">
        <v>370</v>
      </c>
      <c r="H288" s="204">
        <v>6</v>
      </c>
      <c r="I288" s="255">
        <v>0</v>
      </c>
      <c r="J288" s="186">
        <v>0</v>
      </c>
      <c r="K288" s="190" t="e">
        <f t="shared" ref="K288:K292" si="9">J288/I288</f>
        <v>#DIV/0!</v>
      </c>
      <c r="L288" s="208" t="s">
        <v>478</v>
      </c>
    </row>
    <row r="289" spans="1:12" ht="49.9" customHeight="1" x14ac:dyDescent="0.25">
      <c r="A289" s="625"/>
      <c r="B289" s="616"/>
      <c r="C289" s="616"/>
      <c r="D289" s="616"/>
      <c r="E289" s="616"/>
      <c r="F289" s="630"/>
      <c r="G289" s="190" t="s">
        <v>371</v>
      </c>
      <c r="H289" s="204">
        <v>1</v>
      </c>
      <c r="I289" s="255">
        <v>0</v>
      </c>
      <c r="J289" s="186">
        <v>0</v>
      </c>
      <c r="K289" s="190" t="e">
        <f t="shared" si="9"/>
        <v>#DIV/0!</v>
      </c>
      <c r="L289" s="208" t="s">
        <v>479</v>
      </c>
    </row>
    <row r="290" spans="1:12" ht="49.9" customHeight="1" x14ac:dyDescent="0.25">
      <c r="A290" s="625"/>
      <c r="B290" s="190" t="s">
        <v>422</v>
      </c>
      <c r="C290" s="190" t="s">
        <v>423</v>
      </c>
      <c r="D290" s="190" t="s">
        <v>424</v>
      </c>
      <c r="E290" s="190" t="s">
        <v>272</v>
      </c>
      <c r="F290" s="198">
        <v>0.15</v>
      </c>
      <c r="G290" s="190" t="s">
        <v>274</v>
      </c>
      <c r="H290" s="204">
        <v>705</v>
      </c>
      <c r="I290" s="255">
        <v>0</v>
      </c>
      <c r="J290" s="186">
        <v>0</v>
      </c>
      <c r="K290" s="190" t="e">
        <f t="shared" si="9"/>
        <v>#DIV/0!</v>
      </c>
      <c r="L290" s="208" t="s">
        <v>480</v>
      </c>
    </row>
    <row r="291" spans="1:12" ht="49.9" customHeight="1" x14ac:dyDescent="0.25">
      <c r="A291" s="625"/>
      <c r="B291" s="190" t="s">
        <v>426</v>
      </c>
      <c r="C291" s="190" t="s">
        <v>427</v>
      </c>
      <c r="D291" s="190" t="s">
        <v>428</v>
      </c>
      <c r="E291" s="190" t="s">
        <v>272</v>
      </c>
      <c r="F291" s="198">
        <v>0.15</v>
      </c>
      <c r="G291" s="190" t="s">
        <v>275</v>
      </c>
      <c r="H291" s="198">
        <v>1</v>
      </c>
      <c r="I291" s="255">
        <v>0</v>
      </c>
      <c r="J291" s="186">
        <v>0</v>
      </c>
      <c r="K291" s="190" t="e">
        <f t="shared" si="9"/>
        <v>#DIV/0!</v>
      </c>
      <c r="L291" s="208" t="s">
        <v>481</v>
      </c>
    </row>
    <row r="292" spans="1:12" ht="49.9" customHeight="1" x14ac:dyDescent="0.25">
      <c r="A292" s="625"/>
      <c r="B292" s="616" t="s">
        <v>430</v>
      </c>
      <c r="C292" s="616" t="s">
        <v>431</v>
      </c>
      <c r="D292" s="616" t="s">
        <v>432</v>
      </c>
      <c r="E292" s="616" t="s">
        <v>418</v>
      </c>
      <c r="F292" s="630">
        <v>0.25</v>
      </c>
      <c r="G292" s="190" t="s">
        <v>270</v>
      </c>
      <c r="H292" s="204">
        <v>4707</v>
      </c>
      <c r="I292" s="255">
        <v>0</v>
      </c>
      <c r="J292" s="186">
        <v>0</v>
      </c>
      <c r="K292" s="190" t="e">
        <f t="shared" si="9"/>
        <v>#DIV/0!</v>
      </c>
      <c r="L292" s="208" t="s">
        <v>482</v>
      </c>
    </row>
    <row r="293" spans="1:12" ht="49.9" customHeight="1" x14ac:dyDescent="0.25">
      <c r="A293" s="626"/>
      <c r="B293" s="616"/>
      <c r="C293" s="616"/>
      <c r="D293" s="616"/>
      <c r="E293" s="616"/>
      <c r="F293" s="630"/>
      <c r="G293" s="190" t="s">
        <v>359</v>
      </c>
      <c r="H293" s="198">
        <v>1</v>
      </c>
      <c r="I293" s="255">
        <v>0</v>
      </c>
      <c r="J293" s="186">
        <v>0</v>
      </c>
      <c r="K293" s="190" t="e">
        <f>J293/I293</f>
        <v>#DIV/0!</v>
      </c>
      <c r="L293" s="208" t="s">
        <v>483</v>
      </c>
    </row>
    <row r="294" spans="1:12" ht="49.9" customHeight="1" x14ac:dyDescent="0.25">
      <c r="A294" s="624" t="s">
        <v>141</v>
      </c>
      <c r="B294" s="616" t="s">
        <v>415</v>
      </c>
      <c r="C294" s="616" t="s">
        <v>416</v>
      </c>
      <c r="D294" s="616" t="s">
        <v>417</v>
      </c>
      <c r="E294" s="616" t="s">
        <v>418</v>
      </c>
      <c r="F294" s="630">
        <v>0.45</v>
      </c>
      <c r="G294" s="190" t="s">
        <v>327</v>
      </c>
      <c r="H294" s="223">
        <f>+INVERSIÓN!BD10</f>
        <v>1</v>
      </c>
      <c r="I294" s="255">
        <v>0</v>
      </c>
      <c r="J294" s="186">
        <v>0</v>
      </c>
      <c r="K294" s="47" t="e">
        <f t="shared" ref="K294:K307" si="10">J294/I294</f>
        <v>#DIV/0!</v>
      </c>
      <c r="L294" s="208" t="s">
        <v>506</v>
      </c>
    </row>
    <row r="295" spans="1:12" ht="49.9" customHeight="1" x14ac:dyDescent="0.25">
      <c r="A295" s="625"/>
      <c r="B295" s="616"/>
      <c r="C295" s="616"/>
      <c r="D295" s="616"/>
      <c r="E295" s="616"/>
      <c r="F295" s="630"/>
      <c r="G295" s="190" t="s">
        <v>370</v>
      </c>
      <c r="H295" s="222">
        <f>+INVERSIÓN!BD17</f>
        <v>7.9999999999999991</v>
      </c>
      <c r="I295" s="255">
        <v>0</v>
      </c>
      <c r="J295" s="186">
        <v>0</v>
      </c>
      <c r="K295" s="47" t="e">
        <f t="shared" si="10"/>
        <v>#DIV/0!</v>
      </c>
      <c r="L295" s="208" t="s">
        <v>507</v>
      </c>
    </row>
    <row r="296" spans="1:12" ht="49.9" customHeight="1" x14ac:dyDescent="0.25">
      <c r="A296" s="625"/>
      <c r="B296" s="616"/>
      <c r="C296" s="616"/>
      <c r="D296" s="616"/>
      <c r="E296" s="616"/>
      <c r="F296" s="630"/>
      <c r="G296" s="190" t="s">
        <v>371</v>
      </c>
      <c r="H296" s="222">
        <f>+INVERSIÓN!BD24</f>
        <v>1.9999999999999998</v>
      </c>
      <c r="I296" s="255">
        <v>0</v>
      </c>
      <c r="J296" s="186">
        <v>0</v>
      </c>
      <c r="K296" s="47" t="e">
        <f t="shared" si="10"/>
        <v>#DIV/0!</v>
      </c>
      <c r="L296" s="208" t="s">
        <v>508</v>
      </c>
    </row>
    <row r="297" spans="1:12" ht="49.9" customHeight="1" x14ac:dyDescent="0.25">
      <c r="A297" s="625"/>
      <c r="B297" s="190" t="s">
        <v>422</v>
      </c>
      <c r="C297" s="190" t="s">
        <v>423</v>
      </c>
      <c r="D297" s="190" t="s">
        <v>424</v>
      </c>
      <c r="E297" s="190" t="s">
        <v>272</v>
      </c>
      <c r="F297" s="198">
        <v>0.15</v>
      </c>
      <c r="G297" s="190" t="s">
        <v>274</v>
      </c>
      <c r="H297" s="222">
        <f>+INVERSIÓN!BD31</f>
        <v>893</v>
      </c>
      <c r="I297" s="255">
        <v>0</v>
      </c>
      <c r="J297" s="186">
        <v>0</v>
      </c>
      <c r="K297" s="47" t="e">
        <f t="shared" si="10"/>
        <v>#DIV/0!</v>
      </c>
      <c r="L297" s="208" t="s">
        <v>509</v>
      </c>
    </row>
    <row r="298" spans="1:12" ht="49.9" customHeight="1" x14ac:dyDescent="0.25">
      <c r="A298" s="625"/>
      <c r="B298" s="190" t="s">
        <v>426</v>
      </c>
      <c r="C298" s="190" t="s">
        <v>427</v>
      </c>
      <c r="D298" s="190" t="s">
        <v>428</v>
      </c>
      <c r="E298" s="190" t="s">
        <v>272</v>
      </c>
      <c r="F298" s="198">
        <v>0.15</v>
      </c>
      <c r="G298" s="190" t="s">
        <v>275</v>
      </c>
      <c r="H298" s="223">
        <f>+INVERSIÓN!BD38</f>
        <v>1</v>
      </c>
      <c r="I298" s="255">
        <v>0</v>
      </c>
      <c r="J298" s="186">
        <v>0</v>
      </c>
      <c r="K298" s="47" t="e">
        <f t="shared" si="10"/>
        <v>#DIV/0!</v>
      </c>
      <c r="L298" s="208" t="s">
        <v>510</v>
      </c>
    </row>
    <row r="299" spans="1:12" ht="49.9" customHeight="1" x14ac:dyDescent="0.25">
      <c r="A299" s="625"/>
      <c r="B299" s="616" t="s">
        <v>430</v>
      </c>
      <c r="C299" s="616" t="s">
        <v>431</v>
      </c>
      <c r="D299" s="616" t="s">
        <v>432</v>
      </c>
      <c r="E299" s="616" t="s">
        <v>418</v>
      </c>
      <c r="F299" s="630">
        <v>0.25</v>
      </c>
      <c r="G299" s="190" t="s">
        <v>270</v>
      </c>
      <c r="H299" s="222">
        <f>+INVERSIÓN!BD45</f>
        <v>4707</v>
      </c>
      <c r="I299" s="255">
        <v>0</v>
      </c>
      <c r="J299" s="186">
        <v>0</v>
      </c>
      <c r="K299" s="47" t="e">
        <f t="shared" si="10"/>
        <v>#DIV/0!</v>
      </c>
      <c r="L299" s="208" t="s">
        <v>511</v>
      </c>
    </row>
    <row r="300" spans="1:12" ht="49.9" customHeight="1" x14ac:dyDescent="0.25">
      <c r="A300" s="626"/>
      <c r="B300" s="616"/>
      <c r="C300" s="616"/>
      <c r="D300" s="616"/>
      <c r="E300" s="616"/>
      <c r="F300" s="630"/>
      <c r="G300" s="190" t="s">
        <v>359</v>
      </c>
      <c r="H300" s="223">
        <f>+INVERSIÓN!BD52</f>
        <v>1</v>
      </c>
      <c r="I300" s="255">
        <v>0</v>
      </c>
      <c r="J300" s="186">
        <v>0</v>
      </c>
      <c r="K300" s="47" t="e">
        <f t="shared" si="10"/>
        <v>#DIV/0!</v>
      </c>
      <c r="L300" s="208" t="s">
        <v>512</v>
      </c>
    </row>
    <row r="301" spans="1:12" ht="49.9" customHeight="1" x14ac:dyDescent="0.25">
      <c r="A301" s="624" t="s">
        <v>142</v>
      </c>
      <c r="B301" s="616" t="s">
        <v>415</v>
      </c>
      <c r="C301" s="616" t="s">
        <v>416</v>
      </c>
      <c r="D301" s="616" t="s">
        <v>417</v>
      </c>
      <c r="E301" s="616" t="s">
        <v>418</v>
      </c>
      <c r="F301" s="630">
        <v>0.45</v>
      </c>
      <c r="G301" s="190" t="s">
        <v>327</v>
      </c>
      <c r="H301" s="223">
        <f>+INVERSIÓN!BD10</f>
        <v>1</v>
      </c>
      <c r="I301" s="255">
        <v>0</v>
      </c>
      <c r="J301" s="186">
        <v>0</v>
      </c>
      <c r="K301" s="47" t="e">
        <f t="shared" si="10"/>
        <v>#DIV/0!</v>
      </c>
      <c r="L301" s="208" t="s">
        <v>519</v>
      </c>
    </row>
    <row r="302" spans="1:12" ht="49.9" customHeight="1" x14ac:dyDescent="0.25">
      <c r="A302" s="625"/>
      <c r="B302" s="616"/>
      <c r="C302" s="616"/>
      <c r="D302" s="616"/>
      <c r="E302" s="616"/>
      <c r="F302" s="630"/>
      <c r="G302" s="190" t="s">
        <v>370</v>
      </c>
      <c r="H302" s="222">
        <f>+INVERSIÓN!BD17</f>
        <v>7.9999999999999991</v>
      </c>
      <c r="I302" s="255">
        <v>0</v>
      </c>
      <c r="J302" s="186">
        <v>0</v>
      </c>
      <c r="K302" s="47" t="e">
        <f t="shared" si="10"/>
        <v>#DIV/0!</v>
      </c>
      <c r="L302" s="208" t="s">
        <v>398</v>
      </c>
    </row>
    <row r="303" spans="1:12" ht="49.9" customHeight="1" x14ac:dyDescent="0.25">
      <c r="A303" s="625"/>
      <c r="B303" s="616"/>
      <c r="C303" s="616"/>
      <c r="D303" s="616"/>
      <c r="E303" s="616"/>
      <c r="F303" s="630"/>
      <c r="G303" s="190" t="s">
        <v>371</v>
      </c>
      <c r="H303" s="222">
        <f>+INVERSIÓN!BD24</f>
        <v>1.9999999999999998</v>
      </c>
      <c r="I303" s="255">
        <v>0</v>
      </c>
      <c r="J303" s="186">
        <v>0</v>
      </c>
      <c r="K303" s="47" t="e">
        <f t="shared" si="10"/>
        <v>#DIV/0!</v>
      </c>
      <c r="L303" s="208" t="s">
        <v>520</v>
      </c>
    </row>
    <row r="304" spans="1:12" ht="49.9" customHeight="1" x14ac:dyDescent="0.25">
      <c r="A304" s="625"/>
      <c r="B304" s="190" t="s">
        <v>422</v>
      </c>
      <c r="C304" s="190" t="s">
        <v>423</v>
      </c>
      <c r="D304" s="190" t="s">
        <v>424</v>
      </c>
      <c r="E304" s="190" t="s">
        <v>272</v>
      </c>
      <c r="F304" s="198">
        <v>0.15</v>
      </c>
      <c r="G304" s="190" t="s">
        <v>274</v>
      </c>
      <c r="H304" s="222">
        <f>+INVERSIÓN!BD31</f>
        <v>893</v>
      </c>
      <c r="I304" s="255">
        <v>0</v>
      </c>
      <c r="J304" s="186">
        <v>0</v>
      </c>
      <c r="K304" s="47" t="e">
        <f t="shared" si="10"/>
        <v>#DIV/0!</v>
      </c>
      <c r="L304" s="208" t="s">
        <v>521</v>
      </c>
    </row>
    <row r="305" spans="1:14" ht="49.9" customHeight="1" x14ac:dyDescent="0.25">
      <c r="A305" s="625"/>
      <c r="B305" s="190" t="s">
        <v>426</v>
      </c>
      <c r="C305" s="190" t="s">
        <v>427</v>
      </c>
      <c r="D305" s="190" t="s">
        <v>428</v>
      </c>
      <c r="E305" s="190" t="s">
        <v>272</v>
      </c>
      <c r="F305" s="198">
        <v>0.15</v>
      </c>
      <c r="G305" s="190" t="s">
        <v>275</v>
      </c>
      <c r="H305" s="223">
        <f>+INVERSIÓN!BD38</f>
        <v>1</v>
      </c>
      <c r="I305" s="255">
        <v>0</v>
      </c>
      <c r="J305" s="186">
        <v>0</v>
      </c>
      <c r="K305" s="47" t="e">
        <f t="shared" si="10"/>
        <v>#DIV/0!</v>
      </c>
      <c r="L305" s="208" t="s">
        <v>522</v>
      </c>
    </row>
    <row r="306" spans="1:14" ht="49.9" customHeight="1" x14ac:dyDescent="0.25">
      <c r="A306" s="625"/>
      <c r="B306" s="616" t="s">
        <v>430</v>
      </c>
      <c r="C306" s="616" t="s">
        <v>431</v>
      </c>
      <c r="D306" s="616" t="s">
        <v>432</v>
      </c>
      <c r="E306" s="616" t="s">
        <v>418</v>
      </c>
      <c r="F306" s="630">
        <v>0.25</v>
      </c>
      <c r="G306" s="190" t="s">
        <v>270</v>
      </c>
      <c r="H306" s="222">
        <f>+INVERSIÓN!BD45</f>
        <v>4707</v>
      </c>
      <c r="I306" s="255">
        <v>0</v>
      </c>
      <c r="J306" s="186">
        <v>0</v>
      </c>
      <c r="K306" s="47" t="e">
        <f t="shared" si="10"/>
        <v>#DIV/0!</v>
      </c>
      <c r="L306" s="208" t="s">
        <v>523</v>
      </c>
    </row>
    <row r="307" spans="1:14" ht="49.9" customHeight="1" x14ac:dyDescent="0.25">
      <c r="A307" s="626"/>
      <c r="B307" s="616"/>
      <c r="C307" s="616"/>
      <c r="D307" s="616"/>
      <c r="E307" s="616"/>
      <c r="F307" s="630"/>
      <c r="G307" s="190" t="s">
        <v>359</v>
      </c>
      <c r="H307" s="223">
        <f>+INVERSIÓN!BD52</f>
        <v>1</v>
      </c>
      <c r="I307" s="255">
        <v>0</v>
      </c>
      <c r="J307" s="186">
        <v>0</v>
      </c>
      <c r="K307" s="47" t="e">
        <f t="shared" si="10"/>
        <v>#DIV/0!</v>
      </c>
      <c r="L307" s="208" t="s">
        <v>524</v>
      </c>
    </row>
    <row r="308" spans="1:14" ht="49.9" customHeight="1" x14ac:dyDescent="0.25">
      <c r="A308" s="623" t="s">
        <v>130</v>
      </c>
      <c r="B308" s="616" t="s">
        <v>415</v>
      </c>
      <c r="C308" s="616" t="s">
        <v>416</v>
      </c>
      <c r="D308" s="616" t="s">
        <v>417</v>
      </c>
      <c r="E308" s="616" t="s">
        <v>418</v>
      </c>
      <c r="F308" s="630">
        <v>0.45</v>
      </c>
      <c r="G308" s="218" t="s">
        <v>327</v>
      </c>
      <c r="H308" s="223">
        <f>+INVERSIÓN!BD10</f>
        <v>1</v>
      </c>
      <c r="I308" s="255">
        <v>0</v>
      </c>
      <c r="J308" s="217">
        <v>0</v>
      </c>
      <c r="K308" s="47" t="e">
        <f t="shared" ref="K308:K314" si="11">J308/I308</f>
        <v>#DIV/0!</v>
      </c>
      <c r="L308" s="225" t="s">
        <v>532</v>
      </c>
      <c r="N308" s="224"/>
    </row>
    <row r="309" spans="1:14" ht="49.9" customHeight="1" x14ac:dyDescent="0.25">
      <c r="A309" s="623"/>
      <c r="B309" s="616"/>
      <c r="C309" s="616"/>
      <c r="D309" s="616"/>
      <c r="E309" s="616"/>
      <c r="F309" s="630"/>
      <c r="G309" s="218" t="s">
        <v>370</v>
      </c>
      <c r="H309" s="222">
        <f>+INVERSIÓN!BD17</f>
        <v>7.9999999999999991</v>
      </c>
      <c r="I309" s="255">
        <v>0</v>
      </c>
      <c r="J309" s="217">
        <v>0</v>
      </c>
      <c r="K309" s="47" t="e">
        <f t="shared" si="11"/>
        <v>#DIV/0!</v>
      </c>
      <c r="L309" s="225" t="s">
        <v>533</v>
      </c>
      <c r="N309" s="224"/>
    </row>
    <row r="310" spans="1:14" ht="49.9" customHeight="1" x14ac:dyDescent="0.25">
      <c r="A310" s="623"/>
      <c r="B310" s="616"/>
      <c r="C310" s="616"/>
      <c r="D310" s="616"/>
      <c r="E310" s="616"/>
      <c r="F310" s="630"/>
      <c r="G310" s="218" t="s">
        <v>371</v>
      </c>
      <c r="H310" s="222">
        <f>+INVERSIÓN!BD24</f>
        <v>1.9999999999999998</v>
      </c>
      <c r="I310" s="255">
        <v>0</v>
      </c>
      <c r="J310" s="217">
        <v>0</v>
      </c>
      <c r="K310" s="47" t="e">
        <f t="shared" si="11"/>
        <v>#DIV/0!</v>
      </c>
      <c r="L310" s="225" t="s">
        <v>534</v>
      </c>
      <c r="N310" s="224"/>
    </row>
    <row r="311" spans="1:14" ht="49.9" customHeight="1" x14ac:dyDescent="0.25">
      <c r="A311" s="623"/>
      <c r="B311" s="218" t="s">
        <v>422</v>
      </c>
      <c r="C311" s="218" t="s">
        <v>423</v>
      </c>
      <c r="D311" s="218" t="s">
        <v>424</v>
      </c>
      <c r="E311" s="218" t="s">
        <v>272</v>
      </c>
      <c r="F311" s="219">
        <v>0.15</v>
      </c>
      <c r="G311" s="218" t="s">
        <v>274</v>
      </c>
      <c r="H311" s="222">
        <f>+INVERSIÓN!BD31</f>
        <v>893</v>
      </c>
      <c r="I311" s="255">
        <v>0</v>
      </c>
      <c r="J311" s="217">
        <v>0</v>
      </c>
      <c r="K311" s="47" t="e">
        <f t="shared" si="11"/>
        <v>#DIV/0!</v>
      </c>
      <c r="L311" s="225" t="s">
        <v>538</v>
      </c>
      <c r="N311" s="224"/>
    </row>
    <row r="312" spans="1:14" ht="49.9" customHeight="1" x14ac:dyDescent="0.25">
      <c r="A312" s="623"/>
      <c r="B312" s="218" t="s">
        <v>426</v>
      </c>
      <c r="C312" s="218" t="s">
        <v>427</v>
      </c>
      <c r="D312" s="218" t="s">
        <v>428</v>
      </c>
      <c r="E312" s="218" t="s">
        <v>272</v>
      </c>
      <c r="F312" s="219">
        <v>0.15</v>
      </c>
      <c r="G312" s="218" t="s">
        <v>275</v>
      </c>
      <c r="H312" s="223">
        <f>+INVERSIÓN!BD38</f>
        <v>1</v>
      </c>
      <c r="I312" s="255">
        <v>0</v>
      </c>
      <c r="J312" s="217">
        <v>0</v>
      </c>
      <c r="K312" s="47" t="e">
        <f t="shared" si="11"/>
        <v>#DIV/0!</v>
      </c>
      <c r="L312" s="225" t="s">
        <v>535</v>
      </c>
      <c r="N312" s="224"/>
    </row>
    <row r="313" spans="1:14" ht="49.9" customHeight="1" x14ac:dyDescent="0.25">
      <c r="A313" s="623"/>
      <c r="B313" s="616" t="s">
        <v>430</v>
      </c>
      <c r="C313" s="616" t="s">
        <v>431</v>
      </c>
      <c r="D313" s="616" t="s">
        <v>432</v>
      </c>
      <c r="E313" s="616" t="s">
        <v>418</v>
      </c>
      <c r="F313" s="630">
        <v>0.25</v>
      </c>
      <c r="G313" s="218" t="s">
        <v>270</v>
      </c>
      <c r="H313" s="222">
        <f>+INVERSIÓN!BD45</f>
        <v>4707</v>
      </c>
      <c r="I313" s="255">
        <v>0</v>
      </c>
      <c r="J313" s="217">
        <v>0</v>
      </c>
      <c r="K313" s="47" t="e">
        <f t="shared" si="11"/>
        <v>#DIV/0!</v>
      </c>
      <c r="L313" s="225" t="s">
        <v>536</v>
      </c>
      <c r="N313" s="224"/>
    </row>
    <row r="314" spans="1:14" ht="49.9" customHeight="1" x14ac:dyDescent="0.25">
      <c r="A314" s="623"/>
      <c r="B314" s="616"/>
      <c r="C314" s="616"/>
      <c r="D314" s="616"/>
      <c r="E314" s="616"/>
      <c r="F314" s="630"/>
      <c r="G314" s="218" t="s">
        <v>359</v>
      </c>
      <c r="H314" s="223">
        <f>+INVERSIÓN!BD52</f>
        <v>1</v>
      </c>
      <c r="I314" s="255">
        <v>0</v>
      </c>
      <c r="J314" s="217">
        <v>0</v>
      </c>
      <c r="K314" s="47" t="e">
        <f t="shared" si="11"/>
        <v>#DIV/0!</v>
      </c>
      <c r="L314" s="225" t="s">
        <v>537</v>
      </c>
      <c r="N314" s="224"/>
    </row>
    <row r="315" spans="1:14" ht="49.9" customHeight="1" x14ac:dyDescent="0.25">
      <c r="A315" s="624" t="s">
        <v>131</v>
      </c>
      <c r="B315" s="616" t="s">
        <v>415</v>
      </c>
      <c r="C315" s="616" t="s">
        <v>416</v>
      </c>
      <c r="D315" s="616" t="s">
        <v>417</v>
      </c>
      <c r="E315" s="616" t="s">
        <v>418</v>
      </c>
      <c r="F315" s="630">
        <v>0.45</v>
      </c>
      <c r="G315" s="244" t="s">
        <v>327</v>
      </c>
      <c r="H315" s="223">
        <f>+INVERSIÓN!BD10</f>
        <v>1</v>
      </c>
      <c r="I315" s="255">
        <v>0</v>
      </c>
      <c r="J315" s="243">
        <v>0</v>
      </c>
      <c r="K315" s="47" t="e">
        <f t="shared" ref="K315:K321" si="12">J315/I315</f>
        <v>#DIV/0!</v>
      </c>
      <c r="L315" s="208" t="s">
        <v>544</v>
      </c>
    </row>
    <row r="316" spans="1:14" ht="49.9" customHeight="1" x14ac:dyDescent="0.25">
      <c r="A316" s="625"/>
      <c r="B316" s="616"/>
      <c r="C316" s="616"/>
      <c r="D316" s="616"/>
      <c r="E316" s="616"/>
      <c r="F316" s="630"/>
      <c r="G316" s="244" t="s">
        <v>370</v>
      </c>
      <c r="H316" s="222">
        <f>+INVERSIÓN!BD17</f>
        <v>7.9999999999999991</v>
      </c>
      <c r="I316" s="255">
        <v>0</v>
      </c>
      <c r="J316" s="243">
        <v>0</v>
      </c>
      <c r="K316" s="47" t="e">
        <f t="shared" si="12"/>
        <v>#DIV/0!</v>
      </c>
      <c r="L316" s="208" t="s">
        <v>543</v>
      </c>
    </row>
    <row r="317" spans="1:14" ht="49.9" customHeight="1" x14ac:dyDescent="0.25">
      <c r="A317" s="625"/>
      <c r="B317" s="616"/>
      <c r="C317" s="616"/>
      <c r="D317" s="616"/>
      <c r="E317" s="616"/>
      <c r="F317" s="630"/>
      <c r="G317" s="244" t="s">
        <v>371</v>
      </c>
      <c r="H317" s="222">
        <f>+INVERSIÓN!BD24</f>
        <v>1.9999999999999998</v>
      </c>
      <c r="I317" s="255">
        <v>0</v>
      </c>
      <c r="J317" s="243">
        <v>0</v>
      </c>
      <c r="K317" s="47" t="e">
        <f t="shared" si="12"/>
        <v>#DIV/0!</v>
      </c>
      <c r="L317" s="208" t="s">
        <v>545</v>
      </c>
    </row>
    <row r="318" spans="1:14" ht="49.9" customHeight="1" x14ac:dyDescent="0.25">
      <c r="A318" s="625"/>
      <c r="B318" s="244" t="s">
        <v>422</v>
      </c>
      <c r="C318" s="244" t="s">
        <v>423</v>
      </c>
      <c r="D318" s="244" t="s">
        <v>424</v>
      </c>
      <c r="E318" s="244" t="s">
        <v>272</v>
      </c>
      <c r="F318" s="245">
        <v>0.15</v>
      </c>
      <c r="G318" s="244" t="s">
        <v>274</v>
      </c>
      <c r="H318" s="222">
        <f>+INVERSIÓN!BD31</f>
        <v>893</v>
      </c>
      <c r="I318" s="255">
        <v>0</v>
      </c>
      <c r="J318" s="243">
        <v>0</v>
      </c>
      <c r="K318" s="47" t="e">
        <f t="shared" si="12"/>
        <v>#DIV/0!</v>
      </c>
      <c r="L318" s="208" t="s">
        <v>541</v>
      </c>
    </row>
    <row r="319" spans="1:14" ht="49.9" customHeight="1" x14ac:dyDescent="0.25">
      <c r="A319" s="625"/>
      <c r="B319" s="244" t="s">
        <v>426</v>
      </c>
      <c r="C319" s="244" t="s">
        <v>427</v>
      </c>
      <c r="D319" s="244" t="s">
        <v>428</v>
      </c>
      <c r="E319" s="244" t="s">
        <v>272</v>
      </c>
      <c r="F319" s="245">
        <v>0.15</v>
      </c>
      <c r="G319" s="244" t="s">
        <v>275</v>
      </c>
      <c r="H319" s="223">
        <f>+INVERSIÓN!BD38</f>
        <v>1</v>
      </c>
      <c r="I319" s="255">
        <v>0</v>
      </c>
      <c r="J319" s="243">
        <v>0</v>
      </c>
      <c r="K319" s="47" t="e">
        <f t="shared" si="12"/>
        <v>#DIV/0!</v>
      </c>
      <c r="L319" s="208" t="s">
        <v>542</v>
      </c>
    </row>
    <row r="320" spans="1:14" ht="49.9" customHeight="1" x14ac:dyDescent="0.25">
      <c r="A320" s="625"/>
      <c r="B320" s="616" t="s">
        <v>430</v>
      </c>
      <c r="C320" s="616" t="s">
        <v>431</v>
      </c>
      <c r="D320" s="616" t="s">
        <v>432</v>
      </c>
      <c r="E320" s="616" t="s">
        <v>418</v>
      </c>
      <c r="F320" s="630">
        <v>0.25</v>
      </c>
      <c r="G320" s="244" t="s">
        <v>270</v>
      </c>
      <c r="H320" s="222">
        <f>+INVERSIÓN!BD45</f>
        <v>4707</v>
      </c>
      <c r="I320" s="255">
        <v>0</v>
      </c>
      <c r="J320" s="243">
        <v>0</v>
      </c>
      <c r="K320" s="47" t="e">
        <f t="shared" si="12"/>
        <v>#DIV/0!</v>
      </c>
      <c r="L320" s="208" t="s">
        <v>540</v>
      </c>
    </row>
    <row r="321" spans="1:14" ht="49.9" customHeight="1" x14ac:dyDescent="0.25">
      <c r="A321" s="626"/>
      <c r="B321" s="616"/>
      <c r="C321" s="616"/>
      <c r="D321" s="616"/>
      <c r="E321" s="616"/>
      <c r="F321" s="630"/>
      <c r="G321" s="244" t="s">
        <v>359</v>
      </c>
      <c r="H321" s="223">
        <f>+INVERSIÓN!BD52</f>
        <v>1</v>
      </c>
      <c r="I321" s="255">
        <v>0</v>
      </c>
      <c r="J321" s="243">
        <v>0</v>
      </c>
      <c r="K321" s="47" t="e">
        <f t="shared" si="12"/>
        <v>#DIV/0!</v>
      </c>
      <c r="L321" s="208" t="s">
        <v>546</v>
      </c>
    </row>
    <row r="322" spans="1:14" ht="49.9" customHeight="1" x14ac:dyDescent="0.25">
      <c r="A322" s="624" t="s">
        <v>132</v>
      </c>
      <c r="B322" s="616" t="s">
        <v>415</v>
      </c>
      <c r="C322" s="616" t="s">
        <v>416</v>
      </c>
      <c r="D322" s="616" t="s">
        <v>417</v>
      </c>
      <c r="E322" s="616" t="s">
        <v>418</v>
      </c>
      <c r="F322" s="630">
        <v>0.45</v>
      </c>
      <c r="G322" s="247" t="s">
        <v>327</v>
      </c>
      <c r="H322" s="246">
        <f>+INVERSIÓN!BD10</f>
        <v>1</v>
      </c>
      <c r="I322" s="256">
        <v>0</v>
      </c>
      <c r="J322" s="47">
        <v>0</v>
      </c>
      <c r="K322" s="47" t="e">
        <f t="shared" ref="K322:K331" si="13">J322/I322</f>
        <v>#DIV/0!</v>
      </c>
      <c r="L322" s="261" t="s">
        <v>579</v>
      </c>
      <c r="N322" s="260"/>
    </row>
    <row r="323" spans="1:14" ht="49.9" customHeight="1" x14ac:dyDescent="0.25">
      <c r="A323" s="625"/>
      <c r="B323" s="616"/>
      <c r="C323" s="616"/>
      <c r="D323" s="616"/>
      <c r="E323" s="616"/>
      <c r="F323" s="630"/>
      <c r="G323" s="247" t="s">
        <v>370</v>
      </c>
      <c r="H323" s="222">
        <f>+INVERSIÓN!BD17</f>
        <v>7.9999999999999991</v>
      </c>
      <c r="I323" s="256">
        <v>0</v>
      </c>
      <c r="J323" s="47">
        <v>0</v>
      </c>
      <c r="K323" s="47" t="e">
        <f t="shared" si="13"/>
        <v>#DIV/0!</v>
      </c>
      <c r="L323" s="261" t="s">
        <v>567</v>
      </c>
      <c r="N323" s="260"/>
    </row>
    <row r="324" spans="1:14" ht="49.9" customHeight="1" x14ac:dyDescent="0.25">
      <c r="A324" s="625"/>
      <c r="B324" s="616"/>
      <c r="C324" s="616"/>
      <c r="D324" s="616"/>
      <c r="E324" s="616"/>
      <c r="F324" s="630"/>
      <c r="G324" s="247" t="s">
        <v>371</v>
      </c>
      <c r="H324" s="222">
        <f>+INVERSIÓN!BD24</f>
        <v>1.9999999999999998</v>
      </c>
      <c r="I324" s="256">
        <v>0</v>
      </c>
      <c r="J324" s="47">
        <v>0</v>
      </c>
      <c r="K324" s="47" t="e">
        <f t="shared" si="13"/>
        <v>#DIV/0!</v>
      </c>
      <c r="L324" s="261" t="s">
        <v>571</v>
      </c>
      <c r="N324" s="260"/>
    </row>
    <row r="325" spans="1:14" ht="49.9" customHeight="1" x14ac:dyDescent="0.25">
      <c r="A325" s="625"/>
      <c r="B325" s="247" t="s">
        <v>422</v>
      </c>
      <c r="C325" s="247" t="s">
        <v>423</v>
      </c>
      <c r="D325" s="247" t="s">
        <v>424</v>
      </c>
      <c r="E325" s="247" t="s">
        <v>272</v>
      </c>
      <c r="F325" s="246">
        <v>0.15</v>
      </c>
      <c r="G325" s="247" t="s">
        <v>274</v>
      </c>
      <c r="H325" s="222">
        <f>+INVERSIÓN!BD31</f>
        <v>893</v>
      </c>
      <c r="I325" s="256">
        <v>0</v>
      </c>
      <c r="J325" s="47">
        <v>0</v>
      </c>
      <c r="K325" s="47" t="e">
        <f t="shared" si="13"/>
        <v>#DIV/0!</v>
      </c>
      <c r="L325" s="261" t="s">
        <v>557</v>
      </c>
      <c r="N325" s="260"/>
    </row>
    <row r="326" spans="1:14" ht="49.9" customHeight="1" x14ac:dyDescent="0.25">
      <c r="A326" s="625"/>
      <c r="B326" s="247" t="s">
        <v>426</v>
      </c>
      <c r="C326" s="247" t="s">
        <v>427</v>
      </c>
      <c r="D326" s="247" t="s">
        <v>428</v>
      </c>
      <c r="E326" s="247" t="s">
        <v>272</v>
      </c>
      <c r="F326" s="246">
        <v>0.15</v>
      </c>
      <c r="G326" s="247" t="s">
        <v>275</v>
      </c>
      <c r="H326" s="223">
        <f>+INVERSIÓN!BD38</f>
        <v>1</v>
      </c>
      <c r="I326" s="256">
        <v>0</v>
      </c>
      <c r="J326" s="47">
        <v>0</v>
      </c>
      <c r="K326" s="47" t="e">
        <f t="shared" si="13"/>
        <v>#DIV/0!</v>
      </c>
      <c r="L326" s="261" t="s">
        <v>561</v>
      </c>
      <c r="N326" s="260"/>
    </row>
    <row r="327" spans="1:14" ht="49.9" customHeight="1" x14ac:dyDescent="0.25">
      <c r="A327" s="625"/>
      <c r="B327" s="616" t="s">
        <v>430</v>
      </c>
      <c r="C327" s="616" t="s">
        <v>431</v>
      </c>
      <c r="D327" s="616" t="s">
        <v>432</v>
      </c>
      <c r="E327" s="616" t="s">
        <v>418</v>
      </c>
      <c r="F327" s="630">
        <v>0.25</v>
      </c>
      <c r="G327" s="247" t="s">
        <v>270</v>
      </c>
      <c r="H327" s="222">
        <f>+INVERSIÓN!BD45</f>
        <v>4707</v>
      </c>
      <c r="I327" s="256">
        <v>0</v>
      </c>
      <c r="J327" s="47">
        <v>0</v>
      </c>
      <c r="K327" s="47" t="e">
        <f t="shared" si="13"/>
        <v>#DIV/0!</v>
      </c>
      <c r="L327" s="261" t="s">
        <v>551</v>
      </c>
      <c r="N327" s="260"/>
    </row>
    <row r="328" spans="1:14" ht="49.9" customHeight="1" x14ac:dyDescent="0.25">
      <c r="A328" s="626"/>
      <c r="B328" s="616"/>
      <c r="C328" s="616"/>
      <c r="D328" s="616"/>
      <c r="E328" s="616"/>
      <c r="F328" s="630"/>
      <c r="G328" s="247" t="s">
        <v>359</v>
      </c>
      <c r="H328" s="223">
        <f>+INVERSIÓN!BD52</f>
        <v>1</v>
      </c>
      <c r="I328" s="256">
        <v>0</v>
      </c>
      <c r="J328" s="47">
        <v>0</v>
      </c>
      <c r="K328" s="47" t="e">
        <f t="shared" si="13"/>
        <v>#DIV/0!</v>
      </c>
      <c r="L328" s="261" t="s">
        <v>591</v>
      </c>
      <c r="N328" s="260"/>
    </row>
    <row r="329" spans="1:14" x14ac:dyDescent="0.25">
      <c r="A329" s="47" t="s">
        <v>133</v>
      </c>
      <c r="B329" s="47"/>
      <c r="C329" s="47"/>
      <c r="D329" s="47"/>
      <c r="E329" s="47"/>
      <c r="F329" s="47"/>
      <c r="G329" s="47"/>
      <c r="H329" s="47"/>
      <c r="I329" s="256"/>
      <c r="J329" s="47"/>
      <c r="K329" s="47" t="e">
        <f t="shared" si="13"/>
        <v>#DIV/0!</v>
      </c>
      <c r="L329" s="47"/>
    </row>
    <row r="330" spans="1:14" x14ac:dyDescent="0.25">
      <c r="A330" s="47" t="s">
        <v>134</v>
      </c>
      <c r="B330" s="47"/>
      <c r="C330" s="47"/>
      <c r="D330" s="47"/>
      <c r="E330" s="47"/>
      <c r="F330" s="47"/>
      <c r="G330" s="47"/>
      <c r="H330" s="47"/>
      <c r="I330" s="256"/>
      <c r="J330" s="47"/>
      <c r="K330" s="47" t="e">
        <f t="shared" si="13"/>
        <v>#DIV/0!</v>
      </c>
      <c r="L330" s="47"/>
    </row>
    <row r="331" spans="1:14" x14ac:dyDescent="0.25">
      <c r="A331" s="47" t="s">
        <v>135</v>
      </c>
      <c r="B331" s="47"/>
      <c r="C331" s="47"/>
      <c r="D331" s="47"/>
      <c r="E331" s="47"/>
      <c r="F331" s="47"/>
      <c r="G331" s="47"/>
      <c r="H331" s="47"/>
      <c r="I331" s="256"/>
      <c r="J331" s="47"/>
      <c r="K331" s="47" t="e">
        <f t="shared" si="13"/>
        <v>#DIV/0!</v>
      </c>
      <c r="L331" s="47"/>
    </row>
    <row r="333" spans="1:14" ht="19.899999999999999" hidden="1" customHeight="1" x14ac:dyDescent="0.25">
      <c r="A333" s="627" t="s">
        <v>160</v>
      </c>
      <c r="B333" s="628"/>
      <c r="C333" s="628"/>
      <c r="D333" s="628"/>
      <c r="E333" s="628"/>
      <c r="F333" s="628"/>
      <c r="G333" s="628"/>
      <c r="H333" s="628"/>
      <c r="I333" s="628"/>
      <c r="J333" s="628"/>
      <c r="K333" s="628"/>
      <c r="L333" s="629"/>
    </row>
    <row r="334" spans="1:14" ht="44.25" hidden="1" customHeight="1" x14ac:dyDescent="0.25">
      <c r="A334" s="188" t="s">
        <v>62</v>
      </c>
      <c r="B334" s="46" t="s">
        <v>147</v>
      </c>
      <c r="C334" s="46" t="s">
        <v>148</v>
      </c>
      <c r="D334" s="46" t="s">
        <v>149</v>
      </c>
      <c r="E334" s="46" t="s">
        <v>150</v>
      </c>
      <c r="F334" s="46" t="s">
        <v>161</v>
      </c>
      <c r="G334" s="46" t="s">
        <v>152</v>
      </c>
      <c r="H334" s="46" t="s">
        <v>162</v>
      </c>
      <c r="I334" s="253" t="s">
        <v>154</v>
      </c>
      <c r="J334" s="46" t="s">
        <v>155</v>
      </c>
      <c r="K334" s="46" t="s">
        <v>156</v>
      </c>
      <c r="L334" s="46" t="s">
        <v>157</v>
      </c>
    </row>
    <row r="335" spans="1:14" ht="16.5" hidden="1" customHeight="1" x14ac:dyDescent="0.25">
      <c r="A335" s="47" t="s">
        <v>137</v>
      </c>
      <c r="B335" s="47"/>
      <c r="C335" s="47"/>
      <c r="D335" s="47"/>
      <c r="E335" s="47"/>
      <c r="F335" s="47"/>
      <c r="G335" s="47"/>
      <c r="H335" s="47"/>
      <c r="I335" s="256"/>
      <c r="J335" s="47"/>
      <c r="K335" s="47" t="e">
        <f>J335/I335</f>
        <v>#DIV/0!</v>
      </c>
      <c r="L335" s="47"/>
    </row>
    <row r="336" spans="1:14" ht="16.5" hidden="1" customHeight="1" x14ac:dyDescent="0.25">
      <c r="A336" s="47" t="s">
        <v>138</v>
      </c>
      <c r="B336" s="47"/>
      <c r="C336" s="47"/>
      <c r="D336" s="47"/>
      <c r="E336" s="47"/>
      <c r="F336" s="47"/>
      <c r="G336" s="47"/>
      <c r="H336" s="47"/>
      <c r="I336" s="256"/>
      <c r="J336" s="47"/>
      <c r="K336" s="47" t="e">
        <f t="shared" ref="K336:K340" si="14">J336/I336</f>
        <v>#DIV/0!</v>
      </c>
      <c r="L336" s="47"/>
    </row>
    <row r="337" spans="1:12" ht="16.5" hidden="1" customHeight="1" x14ac:dyDescent="0.25">
      <c r="A337" s="47" t="s">
        <v>139</v>
      </c>
      <c r="B337" s="47"/>
      <c r="C337" s="47"/>
      <c r="D337" s="47"/>
      <c r="E337" s="47"/>
      <c r="F337" s="47"/>
      <c r="G337" s="47"/>
      <c r="H337" s="47"/>
      <c r="I337" s="256"/>
      <c r="J337" s="47"/>
      <c r="K337" s="47" t="e">
        <f t="shared" si="14"/>
        <v>#DIV/0!</v>
      </c>
      <c r="L337" s="47"/>
    </row>
    <row r="338" spans="1:12" ht="16.5" hidden="1" customHeight="1" x14ac:dyDescent="0.25">
      <c r="A338" s="47" t="s">
        <v>140</v>
      </c>
      <c r="B338" s="47"/>
      <c r="C338" s="47"/>
      <c r="D338" s="47"/>
      <c r="E338" s="47"/>
      <c r="F338" s="47"/>
      <c r="G338" s="47"/>
      <c r="H338" s="47"/>
      <c r="I338" s="256"/>
      <c r="J338" s="47"/>
      <c r="K338" s="47" t="e">
        <f t="shared" si="14"/>
        <v>#DIV/0!</v>
      </c>
      <c r="L338" s="47"/>
    </row>
    <row r="339" spans="1:12" ht="16.5" hidden="1" customHeight="1" x14ac:dyDescent="0.25">
      <c r="A339" s="47" t="s">
        <v>141</v>
      </c>
      <c r="B339" s="47"/>
      <c r="C339" s="47"/>
      <c r="D339" s="47"/>
      <c r="E339" s="47"/>
      <c r="F339" s="47"/>
      <c r="G339" s="47"/>
      <c r="H339" s="47"/>
      <c r="I339" s="256"/>
      <c r="J339" s="47"/>
      <c r="K339" s="47" t="e">
        <f t="shared" si="14"/>
        <v>#DIV/0!</v>
      </c>
      <c r="L339" s="47"/>
    </row>
    <row r="340" spans="1:12" ht="16.5" hidden="1" customHeight="1" x14ac:dyDescent="0.25">
      <c r="A340" s="47" t="s">
        <v>142</v>
      </c>
      <c r="B340" s="47"/>
      <c r="C340" s="47"/>
      <c r="D340" s="47"/>
      <c r="E340" s="47"/>
      <c r="F340" s="47"/>
      <c r="G340" s="47"/>
      <c r="H340" s="47"/>
      <c r="I340" s="256"/>
      <c r="J340" s="47"/>
      <c r="K340" s="47" t="e">
        <f t="shared" si="14"/>
        <v>#DIV/0!</v>
      </c>
      <c r="L340" s="47"/>
    </row>
    <row r="341" spans="1:12" hidden="1" x14ac:dyDescent="0.25">
      <c r="A341" s="47" t="s">
        <v>130</v>
      </c>
      <c r="B341" s="47"/>
      <c r="C341" s="47"/>
      <c r="D341" s="47"/>
      <c r="E341" s="47"/>
      <c r="F341" s="47"/>
      <c r="G341" s="47"/>
      <c r="H341" s="47"/>
      <c r="I341" s="256"/>
      <c r="J341" s="47"/>
      <c r="K341" s="47" t="e">
        <f>J341/I341</f>
        <v>#DIV/0!</v>
      </c>
      <c r="L341" s="47"/>
    </row>
    <row r="342" spans="1:12" hidden="1" x14ac:dyDescent="0.25">
      <c r="A342" s="47" t="s">
        <v>131</v>
      </c>
      <c r="B342" s="47"/>
      <c r="C342" s="47"/>
      <c r="D342" s="47"/>
      <c r="E342" s="47"/>
      <c r="F342" s="47"/>
      <c r="G342" s="47"/>
      <c r="H342" s="47"/>
      <c r="I342" s="256"/>
      <c r="J342" s="47"/>
      <c r="K342" s="47" t="e">
        <f t="shared" ref="K342:K346" si="15">J342/I342</f>
        <v>#DIV/0!</v>
      </c>
      <c r="L342" s="47"/>
    </row>
    <row r="343" spans="1:12" hidden="1" x14ac:dyDescent="0.25">
      <c r="A343" s="47" t="s">
        <v>132</v>
      </c>
      <c r="B343" s="47"/>
      <c r="C343" s="47"/>
      <c r="D343" s="47"/>
      <c r="E343" s="47"/>
      <c r="F343" s="47"/>
      <c r="G343" s="47"/>
      <c r="H343" s="47"/>
      <c r="I343" s="256"/>
      <c r="J343" s="47"/>
      <c r="K343" s="47" t="e">
        <f t="shared" si="15"/>
        <v>#DIV/0!</v>
      </c>
      <c r="L343" s="47"/>
    </row>
    <row r="344" spans="1:12" hidden="1" x14ac:dyDescent="0.25">
      <c r="A344" s="47" t="s">
        <v>133</v>
      </c>
      <c r="B344" s="47"/>
      <c r="C344" s="47"/>
      <c r="D344" s="47"/>
      <c r="E344" s="47"/>
      <c r="F344" s="47"/>
      <c r="G344" s="47"/>
      <c r="H344" s="47"/>
      <c r="I344" s="256"/>
      <c r="J344" s="47"/>
      <c r="K344" s="47" t="e">
        <f t="shared" si="15"/>
        <v>#DIV/0!</v>
      </c>
      <c r="L344" s="47"/>
    </row>
    <row r="345" spans="1:12" hidden="1" x14ac:dyDescent="0.25">
      <c r="A345" s="47" t="s">
        <v>134</v>
      </c>
      <c r="B345" s="47"/>
      <c r="C345" s="47"/>
      <c r="D345" s="47"/>
      <c r="E345" s="47"/>
      <c r="F345" s="47"/>
      <c r="G345" s="47"/>
      <c r="H345" s="47"/>
      <c r="I345" s="256"/>
      <c r="J345" s="47"/>
      <c r="K345" s="47" t="e">
        <f t="shared" si="15"/>
        <v>#DIV/0!</v>
      </c>
      <c r="L345" s="47"/>
    </row>
    <row r="346" spans="1:12" hidden="1" x14ac:dyDescent="0.25">
      <c r="A346" s="47" t="s">
        <v>135</v>
      </c>
      <c r="B346" s="47"/>
      <c r="C346" s="47"/>
      <c r="D346" s="47"/>
      <c r="E346" s="47"/>
      <c r="F346" s="47"/>
      <c r="G346" s="47"/>
      <c r="H346" s="47"/>
      <c r="I346" s="256"/>
      <c r="J346" s="47"/>
      <c r="K346" s="47" t="e">
        <f t="shared" si="15"/>
        <v>#DIV/0!</v>
      </c>
      <c r="L346" s="47"/>
    </row>
    <row r="347" spans="1:12" hidden="1" x14ac:dyDescent="0.25"/>
    <row r="348" spans="1:12" ht="19.899999999999999" hidden="1" customHeight="1" x14ac:dyDescent="0.25">
      <c r="A348" s="627" t="s">
        <v>163</v>
      </c>
      <c r="B348" s="628"/>
      <c r="C348" s="628"/>
      <c r="D348" s="628"/>
      <c r="E348" s="628"/>
      <c r="F348" s="628"/>
      <c r="G348" s="628"/>
      <c r="H348" s="628"/>
      <c r="I348" s="628"/>
      <c r="J348" s="628"/>
      <c r="K348" s="628"/>
      <c r="L348" s="629"/>
    </row>
    <row r="349" spans="1:12" ht="44.25" hidden="1" customHeight="1" x14ac:dyDescent="0.25">
      <c r="A349" s="188" t="s">
        <v>63</v>
      </c>
      <c r="B349" s="46" t="s">
        <v>147</v>
      </c>
      <c r="C349" s="46" t="s">
        <v>148</v>
      </c>
      <c r="D349" s="46" t="s">
        <v>149</v>
      </c>
      <c r="E349" s="46" t="s">
        <v>150</v>
      </c>
      <c r="F349" s="46" t="s">
        <v>164</v>
      </c>
      <c r="G349" s="46" t="s">
        <v>152</v>
      </c>
      <c r="H349" s="46" t="s">
        <v>165</v>
      </c>
      <c r="I349" s="253" t="s">
        <v>154</v>
      </c>
      <c r="J349" s="46" t="s">
        <v>155</v>
      </c>
      <c r="K349" s="46" t="s">
        <v>156</v>
      </c>
      <c r="L349" s="46" t="s">
        <v>157</v>
      </c>
    </row>
    <row r="350" spans="1:12" ht="16.5" hidden="1" customHeight="1" x14ac:dyDescent="0.25">
      <c r="A350" s="47" t="s">
        <v>137</v>
      </c>
      <c r="B350" s="47"/>
      <c r="C350" s="47"/>
      <c r="D350" s="47"/>
      <c r="E350" s="47"/>
      <c r="F350" s="47"/>
      <c r="G350" s="47"/>
      <c r="H350" s="47"/>
      <c r="I350" s="256"/>
      <c r="J350" s="47"/>
      <c r="K350" s="47" t="e">
        <f>J350/I350</f>
        <v>#DIV/0!</v>
      </c>
      <c r="L350" s="47"/>
    </row>
    <row r="351" spans="1:12" ht="16.5" hidden="1" customHeight="1" x14ac:dyDescent="0.25">
      <c r="A351" s="47" t="s">
        <v>138</v>
      </c>
      <c r="B351" s="47"/>
      <c r="C351" s="47"/>
      <c r="D351" s="47"/>
      <c r="E351" s="47"/>
      <c r="F351" s="47"/>
      <c r="G351" s="47"/>
      <c r="H351" s="47"/>
      <c r="I351" s="256"/>
      <c r="J351" s="47"/>
      <c r="K351" s="47" t="e">
        <f t="shared" ref="K351:K355" si="16">J351/I351</f>
        <v>#DIV/0!</v>
      </c>
      <c r="L351" s="47"/>
    </row>
    <row r="352" spans="1:12" ht="16.5" hidden="1" customHeight="1" x14ac:dyDescent="0.25">
      <c r="A352" s="47" t="s">
        <v>139</v>
      </c>
      <c r="B352" s="47"/>
      <c r="C352" s="47"/>
      <c r="D352" s="47"/>
      <c r="E352" s="47"/>
      <c r="F352" s="47"/>
      <c r="G352" s="47"/>
      <c r="H352" s="47"/>
      <c r="I352" s="256"/>
      <c r="J352" s="47"/>
      <c r="K352" s="47" t="e">
        <f t="shared" si="16"/>
        <v>#DIV/0!</v>
      </c>
      <c r="L352" s="47"/>
    </row>
    <row r="353" spans="1:12" ht="16.5" hidden="1" customHeight="1" x14ac:dyDescent="0.25">
      <c r="A353" s="47" t="s">
        <v>140</v>
      </c>
      <c r="B353" s="47"/>
      <c r="C353" s="47"/>
      <c r="D353" s="47"/>
      <c r="E353" s="47"/>
      <c r="F353" s="47"/>
      <c r="G353" s="47"/>
      <c r="H353" s="47"/>
      <c r="I353" s="256"/>
      <c r="J353" s="47"/>
      <c r="K353" s="47" t="e">
        <f t="shared" si="16"/>
        <v>#DIV/0!</v>
      </c>
      <c r="L353" s="47"/>
    </row>
    <row r="354" spans="1:12" ht="16.5" hidden="1" customHeight="1" x14ac:dyDescent="0.25">
      <c r="A354" s="47" t="s">
        <v>141</v>
      </c>
      <c r="B354" s="47"/>
      <c r="C354" s="47"/>
      <c r="D354" s="47"/>
      <c r="E354" s="47"/>
      <c r="F354" s="47"/>
      <c r="G354" s="47"/>
      <c r="H354" s="47"/>
      <c r="I354" s="256"/>
      <c r="J354" s="47"/>
      <c r="K354" s="47" t="e">
        <f t="shared" si="16"/>
        <v>#DIV/0!</v>
      </c>
      <c r="L354" s="47"/>
    </row>
    <row r="355" spans="1:12" ht="16.5" hidden="1" customHeight="1" x14ac:dyDescent="0.25">
      <c r="A355" s="47" t="s">
        <v>142</v>
      </c>
      <c r="B355" s="47"/>
      <c r="C355" s="47"/>
      <c r="D355" s="47"/>
      <c r="E355" s="47"/>
      <c r="F355" s="47"/>
      <c r="G355" s="47"/>
      <c r="H355" s="47"/>
      <c r="I355" s="256"/>
      <c r="J355" s="47"/>
      <c r="K355" s="47" t="e">
        <f t="shared" si="16"/>
        <v>#DIV/0!</v>
      </c>
      <c r="L355" s="47"/>
    </row>
    <row r="356" spans="1:12" hidden="1" x14ac:dyDescent="0.25">
      <c r="A356" s="47" t="s">
        <v>130</v>
      </c>
      <c r="B356" s="47"/>
      <c r="C356" s="47"/>
      <c r="D356" s="47"/>
      <c r="E356" s="47"/>
      <c r="F356" s="47"/>
      <c r="G356" s="47"/>
      <c r="H356" s="47"/>
      <c r="I356" s="256"/>
      <c r="J356" s="47"/>
      <c r="K356" s="47" t="e">
        <f>J356/I356</f>
        <v>#DIV/0!</v>
      </c>
      <c r="L356" s="47"/>
    </row>
    <row r="357" spans="1:12" hidden="1" x14ac:dyDescent="0.25">
      <c r="A357" s="47" t="s">
        <v>131</v>
      </c>
      <c r="B357" s="47"/>
      <c r="C357" s="47"/>
      <c r="D357" s="47"/>
      <c r="E357" s="47"/>
      <c r="F357" s="47"/>
      <c r="G357" s="47"/>
      <c r="H357" s="47"/>
      <c r="I357" s="256"/>
      <c r="J357" s="47"/>
      <c r="K357" s="47" t="e">
        <f t="shared" ref="K357:K361" si="17">J357/I357</f>
        <v>#DIV/0!</v>
      </c>
      <c r="L357" s="47"/>
    </row>
    <row r="358" spans="1:12" hidden="1" x14ac:dyDescent="0.25">
      <c r="A358" s="47" t="s">
        <v>132</v>
      </c>
      <c r="B358" s="47"/>
      <c r="C358" s="47"/>
      <c r="D358" s="47"/>
      <c r="E358" s="47"/>
      <c r="F358" s="47"/>
      <c r="G358" s="47"/>
      <c r="H358" s="47"/>
      <c r="I358" s="256"/>
      <c r="J358" s="47"/>
      <c r="K358" s="47" t="e">
        <f t="shared" si="17"/>
        <v>#DIV/0!</v>
      </c>
      <c r="L358" s="47"/>
    </row>
    <row r="359" spans="1:12" hidden="1" x14ac:dyDescent="0.25">
      <c r="A359" s="47" t="s">
        <v>133</v>
      </c>
      <c r="B359" s="47"/>
      <c r="C359" s="47"/>
      <c r="D359" s="47"/>
      <c r="E359" s="47"/>
      <c r="F359" s="47"/>
      <c r="G359" s="47"/>
      <c r="H359" s="47"/>
      <c r="I359" s="256"/>
      <c r="J359" s="47"/>
      <c r="K359" s="47" t="e">
        <f t="shared" si="17"/>
        <v>#DIV/0!</v>
      </c>
      <c r="L359" s="47"/>
    </row>
    <row r="360" spans="1:12" hidden="1" x14ac:dyDescent="0.25">
      <c r="A360" s="47" t="s">
        <v>134</v>
      </c>
      <c r="B360" s="47"/>
      <c r="C360" s="47"/>
      <c r="D360" s="47"/>
      <c r="E360" s="47"/>
      <c r="F360" s="47"/>
      <c r="G360" s="47"/>
      <c r="H360" s="47"/>
      <c r="I360" s="256"/>
      <c r="J360" s="47"/>
      <c r="K360" s="47" t="e">
        <f t="shared" si="17"/>
        <v>#DIV/0!</v>
      </c>
      <c r="L360" s="47"/>
    </row>
    <row r="361" spans="1:12" hidden="1" x14ac:dyDescent="0.25">
      <c r="A361" s="47" t="s">
        <v>135</v>
      </c>
      <c r="B361" s="47"/>
      <c r="C361" s="47"/>
      <c r="D361" s="47"/>
      <c r="E361" s="47"/>
      <c r="F361" s="47"/>
      <c r="G361" s="47"/>
      <c r="H361" s="47"/>
      <c r="I361" s="256"/>
      <c r="J361" s="47"/>
      <c r="K361" s="47" t="e">
        <f t="shared" si="17"/>
        <v>#DIV/0!</v>
      </c>
      <c r="L361" s="47"/>
    </row>
    <row r="362" spans="1:12" hidden="1" x14ac:dyDescent="0.25"/>
    <row r="363" spans="1:12" ht="19.899999999999999" hidden="1" customHeight="1" x14ac:dyDescent="0.25">
      <c r="A363" s="627" t="s">
        <v>166</v>
      </c>
      <c r="B363" s="628"/>
      <c r="C363" s="628"/>
      <c r="D363" s="628"/>
      <c r="E363" s="628"/>
      <c r="F363" s="628"/>
      <c r="G363" s="628"/>
      <c r="H363" s="628"/>
      <c r="I363" s="628"/>
      <c r="J363" s="628"/>
      <c r="K363" s="628"/>
      <c r="L363" s="629"/>
    </row>
    <row r="364" spans="1:12" ht="44.25" hidden="1" customHeight="1" x14ac:dyDescent="0.25">
      <c r="A364" s="188" t="s">
        <v>64</v>
      </c>
      <c r="B364" s="46" t="s">
        <v>147</v>
      </c>
      <c r="C364" s="46" t="s">
        <v>148</v>
      </c>
      <c r="D364" s="46" t="s">
        <v>149</v>
      </c>
      <c r="E364" s="46" t="s">
        <v>150</v>
      </c>
      <c r="F364" s="46" t="s">
        <v>167</v>
      </c>
      <c r="G364" s="46" t="s">
        <v>152</v>
      </c>
      <c r="H364" s="46" t="s">
        <v>168</v>
      </c>
      <c r="I364" s="253" t="s">
        <v>154</v>
      </c>
      <c r="J364" s="46" t="s">
        <v>155</v>
      </c>
      <c r="K364" s="46" t="s">
        <v>156</v>
      </c>
      <c r="L364" s="46" t="s">
        <v>157</v>
      </c>
    </row>
    <row r="365" spans="1:12" ht="16.5" hidden="1" customHeight="1" x14ac:dyDescent="0.25">
      <c r="A365" s="47" t="s">
        <v>137</v>
      </c>
      <c r="B365" s="47"/>
      <c r="C365" s="47"/>
      <c r="D365" s="47"/>
      <c r="E365" s="47"/>
      <c r="F365" s="47"/>
      <c r="G365" s="47"/>
      <c r="H365" s="47"/>
      <c r="I365" s="256"/>
      <c r="J365" s="47"/>
      <c r="K365" s="47" t="e">
        <f>J365/I365</f>
        <v>#DIV/0!</v>
      </c>
      <c r="L365" s="47"/>
    </row>
    <row r="366" spans="1:12" ht="16.5" hidden="1" customHeight="1" x14ac:dyDescent="0.25">
      <c r="A366" s="47" t="s">
        <v>138</v>
      </c>
      <c r="B366" s="47"/>
      <c r="C366" s="47"/>
      <c r="D366" s="47"/>
      <c r="E366" s="47"/>
      <c r="F366" s="47"/>
      <c r="G366" s="47"/>
      <c r="H366" s="47"/>
      <c r="I366" s="256"/>
      <c r="J366" s="47"/>
      <c r="K366" s="47" t="e">
        <f t="shared" ref="K366:K370" si="18">J366/I366</f>
        <v>#DIV/0!</v>
      </c>
      <c r="L366" s="47"/>
    </row>
    <row r="367" spans="1:12" ht="16.5" hidden="1" customHeight="1" x14ac:dyDescent="0.25">
      <c r="A367" s="47" t="s">
        <v>139</v>
      </c>
      <c r="B367" s="47"/>
      <c r="C367" s="47"/>
      <c r="D367" s="47"/>
      <c r="E367" s="47"/>
      <c r="F367" s="47"/>
      <c r="G367" s="47"/>
      <c r="H367" s="47"/>
      <c r="I367" s="256"/>
      <c r="J367" s="47"/>
      <c r="K367" s="47" t="e">
        <f t="shared" si="18"/>
        <v>#DIV/0!</v>
      </c>
      <c r="L367" s="47"/>
    </row>
    <row r="368" spans="1:12" ht="16.5" hidden="1" customHeight="1" x14ac:dyDescent="0.25">
      <c r="A368" s="47" t="s">
        <v>140</v>
      </c>
      <c r="B368" s="47"/>
      <c r="C368" s="47"/>
      <c r="D368" s="47"/>
      <c r="E368" s="47"/>
      <c r="F368" s="47"/>
      <c r="G368" s="47"/>
      <c r="H368" s="47"/>
      <c r="I368" s="256"/>
      <c r="J368" s="47"/>
      <c r="K368" s="47" t="e">
        <f t="shared" si="18"/>
        <v>#DIV/0!</v>
      </c>
      <c r="L368" s="47"/>
    </row>
    <row r="369" spans="1:12" ht="16.5" hidden="1" customHeight="1" x14ac:dyDescent="0.25">
      <c r="A369" s="47" t="s">
        <v>141</v>
      </c>
      <c r="B369" s="47"/>
      <c r="C369" s="47"/>
      <c r="D369" s="47"/>
      <c r="E369" s="47"/>
      <c r="F369" s="47"/>
      <c r="G369" s="47"/>
      <c r="H369" s="47"/>
      <c r="I369" s="256"/>
      <c r="J369" s="47"/>
      <c r="K369" s="47" t="e">
        <f t="shared" si="18"/>
        <v>#DIV/0!</v>
      </c>
      <c r="L369" s="47"/>
    </row>
    <row r="370" spans="1:12" ht="16.5" hidden="1" customHeight="1" x14ac:dyDescent="0.25">
      <c r="A370" s="47" t="s">
        <v>142</v>
      </c>
      <c r="B370" s="47"/>
      <c r="C370" s="47"/>
      <c r="D370" s="47"/>
      <c r="E370" s="47"/>
      <c r="F370" s="47"/>
      <c r="G370" s="47"/>
      <c r="H370" s="47"/>
      <c r="I370" s="256"/>
      <c r="J370" s="47"/>
      <c r="K370" s="47" t="e">
        <f t="shared" si="18"/>
        <v>#DIV/0!</v>
      </c>
      <c r="L370" s="47"/>
    </row>
    <row r="371" spans="1:12" hidden="1" x14ac:dyDescent="0.25">
      <c r="A371" s="47" t="s">
        <v>130</v>
      </c>
      <c r="B371" s="47"/>
      <c r="C371" s="47"/>
      <c r="D371" s="47"/>
      <c r="E371" s="47"/>
      <c r="F371" s="47"/>
      <c r="G371" s="47"/>
      <c r="H371" s="47"/>
      <c r="I371" s="256"/>
      <c r="J371" s="47"/>
      <c r="K371" s="47" t="e">
        <f>J371/I371</f>
        <v>#DIV/0!</v>
      </c>
      <c r="L371" s="47"/>
    </row>
    <row r="372" spans="1:12" hidden="1" x14ac:dyDescent="0.25">
      <c r="A372" s="47" t="s">
        <v>131</v>
      </c>
      <c r="B372" s="47"/>
      <c r="C372" s="47"/>
      <c r="D372" s="47"/>
      <c r="E372" s="47"/>
      <c r="F372" s="47"/>
      <c r="G372" s="47"/>
      <c r="H372" s="47"/>
      <c r="I372" s="256"/>
      <c r="J372" s="47"/>
      <c r="K372" s="47" t="e">
        <f t="shared" ref="K372:K376" si="19">J372/I372</f>
        <v>#DIV/0!</v>
      </c>
      <c r="L372" s="47"/>
    </row>
    <row r="373" spans="1:12" hidden="1" x14ac:dyDescent="0.25">
      <c r="A373" s="47" t="s">
        <v>132</v>
      </c>
      <c r="B373" s="47"/>
      <c r="C373" s="47"/>
      <c r="D373" s="47"/>
      <c r="E373" s="47"/>
      <c r="F373" s="47"/>
      <c r="G373" s="47"/>
      <c r="H373" s="47"/>
      <c r="I373" s="256"/>
      <c r="J373" s="47"/>
      <c r="K373" s="47" t="e">
        <f t="shared" si="19"/>
        <v>#DIV/0!</v>
      </c>
      <c r="L373" s="47"/>
    </row>
    <row r="374" spans="1:12" hidden="1" x14ac:dyDescent="0.25">
      <c r="A374" s="47" t="s">
        <v>133</v>
      </c>
      <c r="B374" s="47"/>
      <c r="C374" s="47"/>
      <c r="D374" s="47"/>
      <c r="E374" s="47"/>
      <c r="F374" s="47"/>
      <c r="G374" s="47"/>
      <c r="H374" s="47"/>
      <c r="I374" s="256"/>
      <c r="J374" s="47"/>
      <c r="K374" s="47" t="e">
        <f t="shared" si="19"/>
        <v>#DIV/0!</v>
      </c>
      <c r="L374" s="47"/>
    </row>
    <row r="375" spans="1:12" hidden="1" x14ac:dyDescent="0.25">
      <c r="A375" s="47" t="s">
        <v>134</v>
      </c>
      <c r="B375" s="47"/>
      <c r="C375" s="47"/>
      <c r="D375" s="47"/>
      <c r="E375" s="47"/>
      <c r="F375" s="47"/>
      <c r="G375" s="47"/>
      <c r="H375" s="47"/>
      <c r="I375" s="256"/>
      <c r="J375" s="47"/>
      <c r="K375" s="47" t="e">
        <f t="shared" si="19"/>
        <v>#DIV/0!</v>
      </c>
      <c r="L375" s="47"/>
    </row>
    <row r="376" spans="1:12" hidden="1" x14ac:dyDescent="0.25">
      <c r="A376" s="47" t="s">
        <v>135</v>
      </c>
      <c r="B376" s="47"/>
      <c r="C376" s="47"/>
      <c r="D376" s="47"/>
      <c r="E376" s="47"/>
      <c r="F376" s="47"/>
      <c r="G376" s="47"/>
      <c r="H376" s="47"/>
      <c r="I376" s="256"/>
      <c r="J376" s="47"/>
      <c r="K376" s="47" t="e">
        <f t="shared" si="19"/>
        <v>#DIV/0!</v>
      </c>
      <c r="L376" s="47"/>
    </row>
    <row r="378" spans="1:12" ht="26.25" customHeight="1" x14ac:dyDescent="0.3">
      <c r="A378" s="631" t="s">
        <v>169</v>
      </c>
      <c r="B378" s="632"/>
      <c r="C378" s="632"/>
      <c r="D378" s="632"/>
      <c r="E378" s="632"/>
      <c r="F378" s="632"/>
      <c r="G378" s="633"/>
    </row>
    <row r="379" spans="1:12" ht="38.25" x14ac:dyDescent="0.25">
      <c r="A379" s="188" t="s">
        <v>49</v>
      </c>
      <c r="B379" s="46" t="s">
        <v>147</v>
      </c>
      <c r="C379" s="46" t="s">
        <v>148</v>
      </c>
      <c r="D379" s="46" t="s">
        <v>170</v>
      </c>
      <c r="E379" s="46" t="s">
        <v>171</v>
      </c>
      <c r="F379" s="46" t="s">
        <v>172</v>
      </c>
      <c r="G379" s="46" t="s">
        <v>173</v>
      </c>
    </row>
    <row r="380" spans="1:12" s="192" customFormat="1" ht="49.9" hidden="1" customHeight="1" outlineLevel="1" x14ac:dyDescent="0.25">
      <c r="A380" s="613" t="s">
        <v>130</v>
      </c>
      <c r="B380" s="609" t="s">
        <v>415</v>
      </c>
      <c r="C380" s="609" t="s">
        <v>484</v>
      </c>
      <c r="D380" s="190" t="s">
        <v>327</v>
      </c>
      <c r="E380" s="191">
        <v>775545944</v>
      </c>
      <c r="F380" s="191">
        <v>56548312</v>
      </c>
      <c r="G380" s="190" t="s">
        <v>485</v>
      </c>
      <c r="I380" s="251"/>
    </row>
    <row r="381" spans="1:12" s="192" customFormat="1" ht="49.9" hidden="1" customHeight="1" outlineLevel="2" x14ac:dyDescent="0.25">
      <c r="A381" s="613"/>
      <c r="B381" s="610"/>
      <c r="C381" s="610"/>
      <c r="D381" s="190" t="s">
        <v>370</v>
      </c>
      <c r="E381" s="191">
        <v>613840322</v>
      </c>
      <c r="F381" s="191">
        <v>0</v>
      </c>
      <c r="G381" s="190" t="s">
        <v>486</v>
      </c>
      <c r="I381" s="251"/>
    </row>
    <row r="382" spans="1:12" s="192" customFormat="1" ht="49.9" hidden="1" customHeight="1" outlineLevel="2" x14ac:dyDescent="0.25">
      <c r="A382" s="613"/>
      <c r="B382" s="611"/>
      <c r="C382" s="611"/>
      <c r="D382" s="190" t="s">
        <v>487</v>
      </c>
      <c r="E382" s="191">
        <v>1412790000</v>
      </c>
      <c r="F382" s="191">
        <v>79976000</v>
      </c>
      <c r="G382" s="190" t="s">
        <v>485</v>
      </c>
      <c r="I382" s="251"/>
    </row>
    <row r="383" spans="1:12" s="192" customFormat="1" ht="49.9" hidden="1" customHeight="1" outlineLevel="2" x14ac:dyDescent="0.25">
      <c r="A383" s="613"/>
      <c r="B383" s="190" t="s">
        <v>422</v>
      </c>
      <c r="C383" s="190" t="s">
        <v>488</v>
      </c>
      <c r="D383" s="190" t="s">
        <v>489</v>
      </c>
      <c r="E383" s="191">
        <v>621054131</v>
      </c>
      <c r="F383" s="191">
        <v>0</v>
      </c>
      <c r="G383" s="190" t="s">
        <v>486</v>
      </c>
      <c r="I383" s="251"/>
    </row>
    <row r="384" spans="1:12" s="192" customFormat="1" ht="49.9" hidden="1" customHeight="1" outlineLevel="2" x14ac:dyDescent="0.25">
      <c r="A384" s="613"/>
      <c r="B384" s="190" t="s">
        <v>426</v>
      </c>
      <c r="C384" s="190" t="s">
        <v>490</v>
      </c>
      <c r="D384" s="190" t="s">
        <v>491</v>
      </c>
      <c r="E384" s="191">
        <v>403410000</v>
      </c>
      <c r="F384" s="191">
        <v>10000000</v>
      </c>
      <c r="G384" s="190" t="s">
        <v>485</v>
      </c>
      <c r="I384" s="251"/>
    </row>
    <row r="385" spans="1:9" s="192" customFormat="1" ht="49.9" hidden="1" customHeight="1" outlineLevel="2" x14ac:dyDescent="0.25">
      <c r="A385" s="613"/>
      <c r="B385" s="609" t="s">
        <v>430</v>
      </c>
      <c r="C385" s="609" t="s">
        <v>492</v>
      </c>
      <c r="D385" s="190" t="s">
        <v>493</v>
      </c>
      <c r="E385" s="191">
        <v>658814131</v>
      </c>
      <c r="F385" s="191">
        <v>0</v>
      </c>
      <c r="G385" s="190" t="s">
        <v>486</v>
      </c>
      <c r="I385" s="251"/>
    </row>
    <row r="386" spans="1:9" s="192" customFormat="1" ht="49.9" hidden="1" customHeight="1" outlineLevel="2" x14ac:dyDescent="0.25">
      <c r="A386" s="613"/>
      <c r="B386" s="611"/>
      <c r="C386" s="611"/>
      <c r="D386" s="190" t="s">
        <v>359</v>
      </c>
      <c r="E386" s="191">
        <v>450000000</v>
      </c>
      <c r="F386" s="191">
        <v>0</v>
      </c>
      <c r="G386" s="190" t="s">
        <v>486</v>
      </c>
      <c r="I386" s="251"/>
    </row>
    <row r="387" spans="1:9" s="192" customFormat="1" ht="49.9" hidden="1" customHeight="1" outlineLevel="2" x14ac:dyDescent="0.25">
      <c r="A387" s="612" t="s">
        <v>131</v>
      </c>
      <c r="B387" s="609" t="s">
        <v>415</v>
      </c>
      <c r="C387" s="609" t="s">
        <v>484</v>
      </c>
      <c r="D387" s="190" t="s">
        <v>327</v>
      </c>
      <c r="E387" s="191">
        <v>775545944</v>
      </c>
      <c r="F387" s="191">
        <v>404965456</v>
      </c>
      <c r="G387" s="190" t="s">
        <v>494</v>
      </c>
      <c r="I387" s="251"/>
    </row>
    <row r="388" spans="1:9" s="192" customFormat="1" ht="49.9" hidden="1" customHeight="1" outlineLevel="2" x14ac:dyDescent="0.25">
      <c r="A388" s="613"/>
      <c r="B388" s="610"/>
      <c r="C388" s="610"/>
      <c r="D388" s="190" t="s">
        <v>370</v>
      </c>
      <c r="E388" s="191">
        <v>613840322</v>
      </c>
      <c r="F388" s="191">
        <v>465500000</v>
      </c>
      <c r="G388" s="190" t="s">
        <v>494</v>
      </c>
      <c r="I388" s="251"/>
    </row>
    <row r="389" spans="1:9" s="192" customFormat="1" ht="49.9" hidden="1" customHeight="1" outlineLevel="2" x14ac:dyDescent="0.25">
      <c r="A389" s="613"/>
      <c r="B389" s="611"/>
      <c r="C389" s="611"/>
      <c r="D389" s="190" t="s">
        <v>487</v>
      </c>
      <c r="E389" s="191">
        <v>1412790000</v>
      </c>
      <c r="F389" s="191">
        <v>835107984</v>
      </c>
      <c r="G389" s="190" t="s">
        <v>494</v>
      </c>
      <c r="I389" s="251"/>
    </row>
    <row r="390" spans="1:9" s="192" customFormat="1" ht="49.9" hidden="1" customHeight="1" outlineLevel="2" x14ac:dyDescent="0.25">
      <c r="A390" s="613"/>
      <c r="B390" s="190" t="s">
        <v>422</v>
      </c>
      <c r="C390" s="190" t="s">
        <v>488</v>
      </c>
      <c r="D390" s="190" t="s">
        <v>489</v>
      </c>
      <c r="E390" s="191">
        <v>621054131</v>
      </c>
      <c r="F390" s="191">
        <v>433428000</v>
      </c>
      <c r="G390" s="190" t="s">
        <v>494</v>
      </c>
      <c r="I390" s="251"/>
    </row>
    <row r="391" spans="1:9" s="192" customFormat="1" ht="49.9" hidden="1" customHeight="1" outlineLevel="2" x14ac:dyDescent="0.25">
      <c r="A391" s="613"/>
      <c r="B391" s="190" t="s">
        <v>426</v>
      </c>
      <c r="C391" s="190" t="s">
        <v>490</v>
      </c>
      <c r="D391" s="190" t="s">
        <v>491</v>
      </c>
      <c r="E391" s="191">
        <v>403410000</v>
      </c>
      <c r="F391" s="191">
        <v>92564000</v>
      </c>
      <c r="G391" s="190" t="s">
        <v>494</v>
      </c>
      <c r="I391" s="251"/>
    </row>
    <row r="392" spans="1:9" s="192" customFormat="1" ht="49.9" hidden="1" customHeight="1" outlineLevel="2" x14ac:dyDescent="0.25">
      <c r="A392" s="613"/>
      <c r="B392" s="609" t="s">
        <v>430</v>
      </c>
      <c r="C392" s="609" t="s">
        <v>492</v>
      </c>
      <c r="D392" s="190" t="s">
        <v>493</v>
      </c>
      <c r="E392" s="191">
        <v>658814131</v>
      </c>
      <c r="F392" s="191">
        <v>451588000</v>
      </c>
      <c r="G392" s="190" t="s">
        <v>494</v>
      </c>
      <c r="I392" s="251"/>
    </row>
    <row r="393" spans="1:9" s="192" customFormat="1" ht="49.9" hidden="1" customHeight="1" outlineLevel="2" x14ac:dyDescent="0.25">
      <c r="A393" s="613"/>
      <c r="B393" s="611"/>
      <c r="C393" s="611"/>
      <c r="D393" s="190" t="s">
        <v>359</v>
      </c>
      <c r="E393" s="191">
        <v>450000000</v>
      </c>
      <c r="F393" s="191">
        <v>373112000</v>
      </c>
      <c r="G393" s="190" t="s">
        <v>494</v>
      </c>
      <c r="I393" s="251"/>
    </row>
    <row r="394" spans="1:9" s="192" customFormat="1" ht="49.9" hidden="1" customHeight="1" outlineLevel="2" x14ac:dyDescent="0.25">
      <c r="A394" s="612" t="s">
        <v>132</v>
      </c>
      <c r="B394" s="609" t="s">
        <v>415</v>
      </c>
      <c r="C394" s="609" t="s">
        <v>484</v>
      </c>
      <c r="D394" s="190" t="s">
        <v>327</v>
      </c>
      <c r="E394" s="191">
        <v>775545944</v>
      </c>
      <c r="F394" s="191">
        <v>433527167</v>
      </c>
      <c r="G394" s="190" t="s">
        <v>494</v>
      </c>
      <c r="I394" s="251"/>
    </row>
    <row r="395" spans="1:9" s="192" customFormat="1" ht="49.9" hidden="1" customHeight="1" outlineLevel="2" x14ac:dyDescent="0.25">
      <c r="A395" s="613"/>
      <c r="B395" s="610"/>
      <c r="C395" s="610"/>
      <c r="D395" s="190" t="s">
        <v>370</v>
      </c>
      <c r="E395" s="191">
        <v>613840322</v>
      </c>
      <c r="F395" s="191">
        <v>465500000</v>
      </c>
      <c r="G395" s="190" t="s">
        <v>494</v>
      </c>
      <c r="I395" s="251"/>
    </row>
    <row r="396" spans="1:9" s="192" customFormat="1" ht="49.9" hidden="1" customHeight="1" outlineLevel="2" x14ac:dyDescent="0.25">
      <c r="A396" s="613"/>
      <c r="B396" s="611"/>
      <c r="C396" s="611"/>
      <c r="D396" s="190" t="s">
        <v>487</v>
      </c>
      <c r="E396" s="191">
        <v>1412790000</v>
      </c>
      <c r="F396" s="191">
        <v>860130666</v>
      </c>
      <c r="G396" s="190" t="s">
        <v>494</v>
      </c>
      <c r="I396" s="251"/>
    </row>
    <row r="397" spans="1:9" s="192" customFormat="1" ht="49.9" hidden="1" customHeight="1" outlineLevel="2" x14ac:dyDescent="0.25">
      <c r="A397" s="613"/>
      <c r="B397" s="190" t="s">
        <v>422</v>
      </c>
      <c r="C397" s="190" t="s">
        <v>488</v>
      </c>
      <c r="D397" s="190" t="s">
        <v>489</v>
      </c>
      <c r="E397" s="191">
        <v>621054131</v>
      </c>
      <c r="F397" s="191">
        <v>433428000</v>
      </c>
      <c r="G397" s="190" t="s">
        <v>494</v>
      </c>
      <c r="I397" s="251"/>
    </row>
    <row r="398" spans="1:9" s="192" customFormat="1" ht="49.9" hidden="1" customHeight="1" outlineLevel="2" x14ac:dyDescent="0.25">
      <c r="A398" s="613"/>
      <c r="B398" s="190" t="s">
        <v>426</v>
      </c>
      <c r="C398" s="190" t="s">
        <v>490</v>
      </c>
      <c r="D398" s="190" t="s">
        <v>491</v>
      </c>
      <c r="E398" s="191">
        <v>403410000</v>
      </c>
      <c r="F398" s="191">
        <v>164519000</v>
      </c>
      <c r="G398" s="190" t="s">
        <v>494</v>
      </c>
      <c r="I398" s="251"/>
    </row>
    <row r="399" spans="1:9" s="192" customFormat="1" ht="49.9" hidden="1" customHeight="1" outlineLevel="2" x14ac:dyDescent="0.25">
      <c r="A399" s="613"/>
      <c r="B399" s="609" t="s">
        <v>430</v>
      </c>
      <c r="C399" s="609" t="s">
        <v>492</v>
      </c>
      <c r="D399" s="190" t="s">
        <v>493</v>
      </c>
      <c r="E399" s="191">
        <v>658814131</v>
      </c>
      <c r="F399" s="191">
        <v>472900000</v>
      </c>
      <c r="G399" s="190" t="s">
        <v>494</v>
      </c>
      <c r="I399" s="251"/>
    </row>
    <row r="400" spans="1:9" s="192" customFormat="1" ht="49.9" hidden="1" customHeight="1" outlineLevel="2" x14ac:dyDescent="0.25">
      <c r="A400" s="613"/>
      <c r="B400" s="611"/>
      <c r="C400" s="611"/>
      <c r="D400" s="190" t="s">
        <v>359</v>
      </c>
      <c r="E400" s="191">
        <v>450000000</v>
      </c>
      <c r="F400" s="191">
        <v>373112000</v>
      </c>
      <c r="G400" s="190" t="s">
        <v>494</v>
      </c>
      <c r="I400" s="251"/>
    </row>
    <row r="401" spans="1:9" s="192" customFormat="1" ht="49.9" hidden="1" customHeight="1" outlineLevel="2" x14ac:dyDescent="0.25">
      <c r="A401" s="583" t="s">
        <v>133</v>
      </c>
      <c r="B401" s="616" t="s">
        <v>415</v>
      </c>
      <c r="C401" s="616" t="s">
        <v>484</v>
      </c>
      <c r="D401" s="190" t="s">
        <v>327</v>
      </c>
      <c r="E401" s="191">
        <v>790545944</v>
      </c>
      <c r="F401" s="191">
        <v>458874846</v>
      </c>
      <c r="G401" s="190" t="s">
        <v>494</v>
      </c>
      <c r="I401" s="251"/>
    </row>
    <row r="402" spans="1:9" s="192" customFormat="1" ht="49.9" hidden="1" customHeight="1" outlineLevel="2" x14ac:dyDescent="0.25">
      <c r="A402" s="583"/>
      <c r="B402" s="616"/>
      <c r="C402" s="616"/>
      <c r="D402" s="190" t="s">
        <v>370</v>
      </c>
      <c r="E402" s="191">
        <v>816840322</v>
      </c>
      <c r="F402" s="191">
        <v>519098750</v>
      </c>
      <c r="G402" s="190" t="s">
        <v>494</v>
      </c>
      <c r="I402" s="251"/>
    </row>
    <row r="403" spans="1:9" s="192" customFormat="1" ht="49.9" hidden="1" customHeight="1" outlineLevel="2" x14ac:dyDescent="0.25">
      <c r="A403" s="583"/>
      <c r="B403" s="616"/>
      <c r="C403" s="616"/>
      <c r="D403" s="190" t="s">
        <v>487</v>
      </c>
      <c r="E403" s="191">
        <v>1399790000</v>
      </c>
      <c r="F403" s="191">
        <v>892349267</v>
      </c>
      <c r="G403" s="190" t="s">
        <v>494</v>
      </c>
      <c r="I403" s="251"/>
    </row>
    <row r="404" spans="1:9" s="192" customFormat="1" ht="49.9" hidden="1" customHeight="1" outlineLevel="2" x14ac:dyDescent="0.25">
      <c r="A404" s="583"/>
      <c r="B404" s="190" t="s">
        <v>422</v>
      </c>
      <c r="C404" s="190" t="s">
        <v>488</v>
      </c>
      <c r="D404" s="190" t="s">
        <v>489</v>
      </c>
      <c r="E404" s="191">
        <v>556054131</v>
      </c>
      <c r="F404" s="191">
        <v>433428000</v>
      </c>
      <c r="G404" s="190" t="s">
        <v>494</v>
      </c>
      <c r="I404" s="251"/>
    </row>
    <row r="405" spans="1:9" s="192" customFormat="1" ht="49.9" hidden="1" customHeight="1" outlineLevel="2" x14ac:dyDescent="0.25">
      <c r="A405" s="583"/>
      <c r="B405" s="190" t="s">
        <v>426</v>
      </c>
      <c r="C405" s="190" t="s">
        <v>490</v>
      </c>
      <c r="D405" s="190" t="s">
        <v>491</v>
      </c>
      <c r="E405" s="191">
        <v>263410000</v>
      </c>
      <c r="F405" s="191">
        <v>164519000</v>
      </c>
      <c r="G405" s="190" t="s">
        <v>494</v>
      </c>
      <c r="I405" s="251"/>
    </row>
    <row r="406" spans="1:9" s="192" customFormat="1" ht="49.9" hidden="1" customHeight="1" outlineLevel="2" x14ac:dyDescent="0.25">
      <c r="A406" s="583"/>
      <c r="B406" s="616" t="s">
        <v>430</v>
      </c>
      <c r="C406" s="616" t="s">
        <v>492</v>
      </c>
      <c r="D406" s="190" t="s">
        <v>493</v>
      </c>
      <c r="E406" s="191">
        <v>658814131</v>
      </c>
      <c r="F406" s="191">
        <v>516280000</v>
      </c>
      <c r="G406" s="190" t="s">
        <v>494</v>
      </c>
      <c r="I406" s="251"/>
    </row>
    <row r="407" spans="1:9" s="192" customFormat="1" ht="49.9" hidden="1" customHeight="1" outlineLevel="2" x14ac:dyDescent="0.25">
      <c r="A407" s="583"/>
      <c r="B407" s="616"/>
      <c r="C407" s="616"/>
      <c r="D407" s="190" t="s">
        <v>359</v>
      </c>
      <c r="E407" s="191">
        <v>450000000</v>
      </c>
      <c r="F407" s="191">
        <v>373112000</v>
      </c>
      <c r="G407" s="190" t="s">
        <v>494</v>
      </c>
      <c r="I407" s="251"/>
    </row>
    <row r="408" spans="1:9" s="192" customFormat="1" ht="49.9" hidden="1" customHeight="1" outlineLevel="2" x14ac:dyDescent="0.25">
      <c r="A408" s="583" t="s">
        <v>134</v>
      </c>
      <c r="B408" s="616" t="s">
        <v>415</v>
      </c>
      <c r="C408" s="616" t="s">
        <v>484</v>
      </c>
      <c r="D408" s="190" t="s">
        <v>327</v>
      </c>
      <c r="E408" s="191">
        <v>780545944</v>
      </c>
      <c r="F408" s="191">
        <v>488375819</v>
      </c>
      <c r="G408" s="190" t="s">
        <v>494</v>
      </c>
      <c r="I408" s="251"/>
    </row>
    <row r="409" spans="1:9" s="192" customFormat="1" ht="49.9" hidden="1" customHeight="1" outlineLevel="2" x14ac:dyDescent="0.25">
      <c r="A409" s="583"/>
      <c r="B409" s="616"/>
      <c r="C409" s="616"/>
      <c r="D409" s="190" t="s">
        <v>370</v>
      </c>
      <c r="E409" s="191">
        <v>826840322</v>
      </c>
      <c r="F409" s="191">
        <v>542938322</v>
      </c>
      <c r="G409" s="190" t="s">
        <v>494</v>
      </c>
      <c r="I409" s="251"/>
    </row>
    <row r="410" spans="1:9" s="192" customFormat="1" ht="49.9" hidden="1" customHeight="1" outlineLevel="2" x14ac:dyDescent="0.25">
      <c r="A410" s="583"/>
      <c r="B410" s="616"/>
      <c r="C410" s="616"/>
      <c r="D410" s="190" t="s">
        <v>487</v>
      </c>
      <c r="E410" s="191">
        <v>1399790000</v>
      </c>
      <c r="F410" s="191">
        <v>905631416</v>
      </c>
      <c r="G410" s="190" t="s">
        <v>494</v>
      </c>
      <c r="I410" s="251"/>
    </row>
    <row r="411" spans="1:9" s="192" customFormat="1" ht="49.9" hidden="1" customHeight="1" outlineLevel="2" x14ac:dyDescent="0.25">
      <c r="A411" s="583"/>
      <c r="B411" s="190" t="s">
        <v>422</v>
      </c>
      <c r="C411" s="190" t="s">
        <v>488</v>
      </c>
      <c r="D411" s="190" t="s">
        <v>489</v>
      </c>
      <c r="E411" s="191">
        <v>556054131</v>
      </c>
      <c r="F411" s="191">
        <v>437787131</v>
      </c>
      <c r="G411" s="190" t="s">
        <v>494</v>
      </c>
      <c r="I411" s="251"/>
    </row>
    <row r="412" spans="1:9" s="192" customFormat="1" ht="49.9" hidden="1" customHeight="1" outlineLevel="2" x14ac:dyDescent="0.25">
      <c r="A412" s="583"/>
      <c r="B412" s="190" t="s">
        <v>426</v>
      </c>
      <c r="C412" s="190" t="s">
        <v>490</v>
      </c>
      <c r="D412" s="190" t="s">
        <v>491</v>
      </c>
      <c r="E412" s="191">
        <v>263410000</v>
      </c>
      <c r="F412" s="191">
        <v>191691000</v>
      </c>
      <c r="G412" s="190" t="s">
        <v>494</v>
      </c>
      <c r="I412" s="251"/>
    </row>
    <row r="413" spans="1:9" s="192" customFormat="1" ht="49.9" hidden="1" customHeight="1" outlineLevel="2" x14ac:dyDescent="0.25">
      <c r="A413" s="583"/>
      <c r="B413" s="616" t="s">
        <v>430</v>
      </c>
      <c r="C413" s="616" t="s">
        <v>492</v>
      </c>
      <c r="D413" s="190" t="s">
        <v>493</v>
      </c>
      <c r="E413" s="191">
        <v>658814131</v>
      </c>
      <c r="F413" s="191">
        <v>545531000</v>
      </c>
      <c r="G413" s="190" t="s">
        <v>494</v>
      </c>
      <c r="I413" s="251"/>
    </row>
    <row r="414" spans="1:9" s="192" customFormat="1" ht="49.9" hidden="1" customHeight="1" outlineLevel="2" x14ac:dyDescent="0.25">
      <c r="A414" s="583"/>
      <c r="B414" s="616"/>
      <c r="C414" s="616"/>
      <c r="D414" s="190" t="s">
        <v>359</v>
      </c>
      <c r="E414" s="191">
        <v>450000000</v>
      </c>
      <c r="F414" s="191">
        <v>377292000</v>
      </c>
      <c r="G414" s="190" t="s">
        <v>494</v>
      </c>
      <c r="I414" s="251"/>
    </row>
    <row r="415" spans="1:9" s="192" customFormat="1" ht="55.15" hidden="1" customHeight="1" outlineLevel="2" x14ac:dyDescent="0.25">
      <c r="A415" s="612" t="s">
        <v>135</v>
      </c>
      <c r="B415" s="616" t="s">
        <v>415</v>
      </c>
      <c r="C415" s="616" t="s">
        <v>484</v>
      </c>
      <c r="D415" s="190" t="s">
        <v>327</v>
      </c>
      <c r="E415" s="191">
        <v>780545944</v>
      </c>
      <c r="F415" s="191">
        <v>731213017</v>
      </c>
      <c r="G415" s="190" t="s">
        <v>494</v>
      </c>
      <c r="I415" s="251"/>
    </row>
    <row r="416" spans="1:9" s="192" customFormat="1" ht="55.15" hidden="1" customHeight="1" outlineLevel="2" x14ac:dyDescent="0.25">
      <c r="A416" s="613"/>
      <c r="B416" s="616"/>
      <c r="C416" s="616"/>
      <c r="D416" s="190" t="s">
        <v>370</v>
      </c>
      <c r="E416" s="191">
        <v>826840322</v>
      </c>
      <c r="F416" s="191">
        <v>670473105</v>
      </c>
      <c r="G416" s="190" t="s">
        <v>494</v>
      </c>
      <c r="I416" s="251"/>
    </row>
    <row r="417" spans="1:9" s="192" customFormat="1" ht="55.15" hidden="1" customHeight="1" outlineLevel="2" x14ac:dyDescent="0.25">
      <c r="A417" s="613"/>
      <c r="B417" s="616"/>
      <c r="C417" s="616"/>
      <c r="D417" s="190" t="s">
        <v>487</v>
      </c>
      <c r="E417" s="191">
        <v>1399790000</v>
      </c>
      <c r="F417" s="191">
        <v>1326141063</v>
      </c>
      <c r="G417" s="190" t="s">
        <v>494</v>
      </c>
      <c r="I417" s="251"/>
    </row>
    <row r="418" spans="1:9" s="192" customFormat="1" ht="55.15" hidden="1" customHeight="1" outlineLevel="2" x14ac:dyDescent="0.25">
      <c r="A418" s="613"/>
      <c r="B418" s="190" t="s">
        <v>422</v>
      </c>
      <c r="C418" s="190" t="s">
        <v>488</v>
      </c>
      <c r="D418" s="190" t="s">
        <v>489</v>
      </c>
      <c r="E418" s="191">
        <v>556054131</v>
      </c>
      <c r="F418" s="191">
        <v>535986131</v>
      </c>
      <c r="G418" s="190" t="s">
        <v>494</v>
      </c>
      <c r="I418" s="251"/>
    </row>
    <row r="419" spans="1:9" s="192" customFormat="1" ht="55.15" hidden="1" customHeight="1" outlineLevel="2" x14ac:dyDescent="0.25">
      <c r="A419" s="613"/>
      <c r="B419" s="190" t="s">
        <v>426</v>
      </c>
      <c r="C419" s="190" t="s">
        <v>490</v>
      </c>
      <c r="D419" s="190" t="s">
        <v>491</v>
      </c>
      <c r="E419" s="191">
        <v>263410000</v>
      </c>
      <c r="F419" s="191">
        <v>232617000</v>
      </c>
      <c r="G419" s="190" t="s">
        <v>494</v>
      </c>
      <c r="I419" s="251"/>
    </row>
    <row r="420" spans="1:9" s="192" customFormat="1" ht="55.15" hidden="1" customHeight="1" outlineLevel="2" x14ac:dyDescent="0.25">
      <c r="A420" s="613"/>
      <c r="B420" s="616" t="s">
        <v>430</v>
      </c>
      <c r="C420" s="616" t="s">
        <v>492</v>
      </c>
      <c r="D420" s="190" t="s">
        <v>493</v>
      </c>
      <c r="E420" s="191">
        <v>658814131</v>
      </c>
      <c r="F420" s="191">
        <v>644978000</v>
      </c>
      <c r="G420" s="190" t="s">
        <v>494</v>
      </c>
      <c r="I420" s="251"/>
    </row>
    <row r="421" spans="1:9" s="192" customFormat="1" ht="55.15" hidden="1" customHeight="1" outlineLevel="2" x14ac:dyDescent="0.25">
      <c r="A421" s="614"/>
      <c r="B421" s="616"/>
      <c r="C421" s="616"/>
      <c r="D421" s="190" t="s">
        <v>359</v>
      </c>
      <c r="E421" s="191">
        <v>450000000</v>
      </c>
      <c r="F421" s="191">
        <v>447516000</v>
      </c>
      <c r="G421" s="190" t="s">
        <v>494</v>
      </c>
      <c r="I421" s="251"/>
    </row>
    <row r="422" spans="1:9" collapsed="1" x14ac:dyDescent="0.25"/>
    <row r="423" spans="1:9" ht="20.25" x14ac:dyDescent="0.3">
      <c r="A423" s="631" t="s">
        <v>174</v>
      </c>
      <c r="B423" s="632"/>
      <c r="C423" s="632"/>
      <c r="D423" s="632"/>
      <c r="E423" s="632"/>
      <c r="F423" s="632"/>
      <c r="G423" s="633"/>
    </row>
    <row r="424" spans="1:9" ht="38.25" x14ac:dyDescent="0.25">
      <c r="A424" s="188" t="s">
        <v>50</v>
      </c>
      <c r="B424" s="46" t="s">
        <v>147</v>
      </c>
      <c r="C424" s="46" t="s">
        <v>148</v>
      </c>
      <c r="D424" s="46" t="s">
        <v>170</v>
      </c>
      <c r="E424" s="46" t="s">
        <v>175</v>
      </c>
      <c r="F424" s="46" t="s">
        <v>176</v>
      </c>
      <c r="G424" s="46" t="s">
        <v>173</v>
      </c>
    </row>
    <row r="425" spans="1:9" ht="49.9" customHeight="1" x14ac:dyDescent="0.25">
      <c r="A425" s="624" t="s">
        <v>137</v>
      </c>
      <c r="B425" s="616" t="s">
        <v>415</v>
      </c>
      <c r="C425" s="616" t="s">
        <v>484</v>
      </c>
      <c r="D425" s="190" t="s">
        <v>327</v>
      </c>
      <c r="E425" s="191">
        <v>1564678000</v>
      </c>
      <c r="F425" s="191">
        <v>0</v>
      </c>
      <c r="G425" s="190" t="s">
        <v>494</v>
      </c>
    </row>
    <row r="426" spans="1:9" ht="49.9" customHeight="1" x14ac:dyDescent="0.25">
      <c r="A426" s="625"/>
      <c r="B426" s="616"/>
      <c r="C426" s="616"/>
      <c r="D426" s="190" t="s">
        <v>370</v>
      </c>
      <c r="E426" s="191">
        <v>1374057000</v>
      </c>
      <c r="F426" s="191">
        <v>0</v>
      </c>
      <c r="G426" s="190" t="s">
        <v>494</v>
      </c>
    </row>
    <row r="427" spans="1:9" ht="49.9" customHeight="1" x14ac:dyDescent="0.25">
      <c r="A427" s="625"/>
      <c r="B427" s="616"/>
      <c r="C427" s="616"/>
      <c r="D427" s="190" t="s">
        <v>487</v>
      </c>
      <c r="E427" s="191">
        <v>2973776000</v>
      </c>
      <c r="F427" s="191">
        <v>0</v>
      </c>
      <c r="G427" s="190" t="s">
        <v>494</v>
      </c>
    </row>
    <row r="428" spans="1:9" ht="49.9" customHeight="1" x14ac:dyDescent="0.25">
      <c r="A428" s="625"/>
      <c r="B428" s="190" t="s">
        <v>422</v>
      </c>
      <c r="C428" s="190" t="s">
        <v>488</v>
      </c>
      <c r="D428" s="190" t="s">
        <v>489</v>
      </c>
      <c r="E428" s="191">
        <v>1480481000</v>
      </c>
      <c r="F428" s="191">
        <v>0</v>
      </c>
      <c r="G428" s="190" t="s">
        <v>494</v>
      </c>
    </row>
    <row r="429" spans="1:9" ht="49.9" customHeight="1" x14ac:dyDescent="0.25">
      <c r="A429" s="625"/>
      <c r="B429" s="190" t="s">
        <v>426</v>
      </c>
      <c r="C429" s="190" t="s">
        <v>490</v>
      </c>
      <c r="D429" s="190" t="s">
        <v>491</v>
      </c>
      <c r="E429" s="191">
        <v>689070000</v>
      </c>
      <c r="F429" s="191">
        <v>0</v>
      </c>
      <c r="G429" s="190" t="s">
        <v>494</v>
      </c>
    </row>
    <row r="430" spans="1:9" ht="49.9" customHeight="1" x14ac:dyDescent="0.25">
      <c r="A430" s="625"/>
      <c r="B430" s="616" t="s">
        <v>430</v>
      </c>
      <c r="C430" s="616" t="s">
        <v>492</v>
      </c>
      <c r="D430" s="190" t="s">
        <v>493</v>
      </c>
      <c r="E430" s="191">
        <v>1294148000</v>
      </c>
      <c r="F430" s="191">
        <v>0</v>
      </c>
      <c r="G430" s="190" t="s">
        <v>494</v>
      </c>
    </row>
    <row r="431" spans="1:9" ht="49.9" customHeight="1" x14ac:dyDescent="0.25">
      <c r="A431" s="626"/>
      <c r="B431" s="616"/>
      <c r="C431" s="616"/>
      <c r="D431" s="190" t="s">
        <v>359</v>
      </c>
      <c r="E431" s="191">
        <v>691670000</v>
      </c>
      <c r="F431" s="191">
        <v>0</v>
      </c>
      <c r="G431" s="190" t="s">
        <v>494</v>
      </c>
    </row>
    <row r="432" spans="1:9" ht="49.9" customHeight="1" x14ac:dyDescent="0.25">
      <c r="A432" s="624" t="s">
        <v>138</v>
      </c>
      <c r="B432" s="616" t="s">
        <v>415</v>
      </c>
      <c r="C432" s="616" t="s">
        <v>484</v>
      </c>
      <c r="D432" s="190" t="s">
        <v>327</v>
      </c>
      <c r="E432" s="191">
        <v>1564678000</v>
      </c>
      <c r="F432" s="191">
        <v>188232000</v>
      </c>
      <c r="G432" s="190" t="s">
        <v>494</v>
      </c>
    </row>
    <row r="433" spans="1:7" ht="49.9" customHeight="1" x14ac:dyDescent="0.25">
      <c r="A433" s="625"/>
      <c r="B433" s="616"/>
      <c r="C433" s="616"/>
      <c r="D433" s="190" t="s">
        <v>370</v>
      </c>
      <c r="E433" s="191">
        <v>1374057000</v>
      </c>
      <c r="F433" s="191">
        <v>582050000</v>
      </c>
      <c r="G433" s="190" t="s">
        <v>494</v>
      </c>
    </row>
    <row r="434" spans="1:7" ht="49.9" customHeight="1" x14ac:dyDescent="0.25">
      <c r="A434" s="625"/>
      <c r="B434" s="616"/>
      <c r="C434" s="616"/>
      <c r="D434" s="190" t="s">
        <v>487</v>
      </c>
      <c r="E434" s="191">
        <v>2973776000</v>
      </c>
      <c r="F434" s="191">
        <v>408790000</v>
      </c>
      <c r="G434" s="190" t="s">
        <v>494</v>
      </c>
    </row>
    <row r="435" spans="1:7" ht="49.9" customHeight="1" x14ac:dyDescent="0.25">
      <c r="A435" s="625"/>
      <c r="B435" s="190" t="s">
        <v>422</v>
      </c>
      <c r="C435" s="190" t="s">
        <v>488</v>
      </c>
      <c r="D435" s="190" t="s">
        <v>489</v>
      </c>
      <c r="E435" s="191">
        <v>1480481000</v>
      </c>
      <c r="F435" s="191">
        <v>740287000</v>
      </c>
      <c r="G435" s="190" t="s">
        <v>494</v>
      </c>
    </row>
    <row r="436" spans="1:7" ht="49.9" customHeight="1" x14ac:dyDescent="0.25">
      <c r="A436" s="625"/>
      <c r="B436" s="190" t="s">
        <v>426</v>
      </c>
      <c r="C436" s="190" t="s">
        <v>490</v>
      </c>
      <c r="D436" s="190" t="s">
        <v>491</v>
      </c>
      <c r="E436" s="191">
        <v>689070000</v>
      </c>
      <c r="F436" s="191">
        <v>34584000</v>
      </c>
      <c r="G436" s="190" t="s">
        <v>494</v>
      </c>
    </row>
    <row r="437" spans="1:7" ht="49.9" customHeight="1" x14ac:dyDescent="0.25">
      <c r="A437" s="625"/>
      <c r="B437" s="616" t="s">
        <v>430</v>
      </c>
      <c r="C437" s="616" t="s">
        <v>492</v>
      </c>
      <c r="D437" s="190" t="s">
        <v>493</v>
      </c>
      <c r="E437" s="191">
        <v>1294148000</v>
      </c>
      <c r="F437" s="191">
        <v>385283000</v>
      </c>
      <c r="G437" s="190" t="s">
        <v>494</v>
      </c>
    </row>
    <row r="438" spans="1:7" ht="49.9" customHeight="1" x14ac:dyDescent="0.25">
      <c r="A438" s="626"/>
      <c r="B438" s="616"/>
      <c r="C438" s="616"/>
      <c r="D438" s="190" t="s">
        <v>359</v>
      </c>
      <c r="E438" s="191">
        <v>691670000</v>
      </c>
      <c r="F438" s="191">
        <v>326043000</v>
      </c>
      <c r="G438" s="190" t="s">
        <v>494</v>
      </c>
    </row>
    <row r="439" spans="1:7" ht="49.9" customHeight="1" x14ac:dyDescent="0.25">
      <c r="A439" s="624" t="s">
        <v>139</v>
      </c>
      <c r="B439" s="616" t="s">
        <v>415</v>
      </c>
      <c r="C439" s="616" t="s">
        <v>484</v>
      </c>
      <c r="D439" s="190" t="s">
        <v>327</v>
      </c>
      <c r="E439" s="191">
        <v>1564678000</v>
      </c>
      <c r="F439" s="191">
        <v>537224000</v>
      </c>
      <c r="G439" s="190" t="s">
        <v>494</v>
      </c>
    </row>
    <row r="440" spans="1:7" ht="49.9" customHeight="1" x14ac:dyDescent="0.25">
      <c r="A440" s="625"/>
      <c r="B440" s="616"/>
      <c r="C440" s="616"/>
      <c r="D440" s="190" t="s">
        <v>370</v>
      </c>
      <c r="E440" s="191">
        <v>1374057000</v>
      </c>
      <c r="F440" s="191">
        <v>1121617000</v>
      </c>
      <c r="G440" s="190" t="s">
        <v>494</v>
      </c>
    </row>
    <row r="441" spans="1:7" ht="49.9" customHeight="1" x14ac:dyDescent="0.25">
      <c r="A441" s="625"/>
      <c r="B441" s="616"/>
      <c r="C441" s="616"/>
      <c r="D441" s="190" t="s">
        <v>487</v>
      </c>
      <c r="E441" s="191">
        <v>2973776000</v>
      </c>
      <c r="F441" s="191">
        <v>1793944150</v>
      </c>
      <c r="G441" s="190" t="s">
        <v>494</v>
      </c>
    </row>
    <row r="442" spans="1:7" ht="49.9" customHeight="1" x14ac:dyDescent="0.25">
      <c r="A442" s="625"/>
      <c r="B442" s="190" t="s">
        <v>422</v>
      </c>
      <c r="C442" s="190" t="s">
        <v>488</v>
      </c>
      <c r="D442" s="190" t="s">
        <v>489</v>
      </c>
      <c r="E442" s="191">
        <v>1480481000</v>
      </c>
      <c r="F442" s="191">
        <v>1001575000</v>
      </c>
      <c r="G442" s="190" t="s">
        <v>494</v>
      </c>
    </row>
    <row r="443" spans="1:7" ht="49.9" customHeight="1" x14ac:dyDescent="0.25">
      <c r="A443" s="625"/>
      <c r="B443" s="190" t="s">
        <v>426</v>
      </c>
      <c r="C443" s="190" t="s">
        <v>490</v>
      </c>
      <c r="D443" s="190" t="s">
        <v>491</v>
      </c>
      <c r="E443" s="191">
        <v>689070000</v>
      </c>
      <c r="F443" s="191">
        <v>343006000</v>
      </c>
      <c r="G443" s="190" t="s">
        <v>494</v>
      </c>
    </row>
    <row r="444" spans="1:7" ht="49.9" customHeight="1" x14ac:dyDescent="0.25">
      <c r="A444" s="625"/>
      <c r="B444" s="616" t="s">
        <v>430</v>
      </c>
      <c r="C444" s="616" t="s">
        <v>492</v>
      </c>
      <c r="D444" s="190" t="s">
        <v>493</v>
      </c>
      <c r="E444" s="191">
        <v>1294148000</v>
      </c>
      <c r="F444" s="191">
        <v>1137979000</v>
      </c>
      <c r="G444" s="190" t="s">
        <v>494</v>
      </c>
    </row>
    <row r="445" spans="1:7" ht="49.9" customHeight="1" x14ac:dyDescent="0.25">
      <c r="A445" s="626"/>
      <c r="B445" s="616"/>
      <c r="C445" s="616"/>
      <c r="D445" s="190" t="s">
        <v>359</v>
      </c>
      <c r="E445" s="191">
        <v>691670000</v>
      </c>
      <c r="F445" s="191">
        <v>415638000</v>
      </c>
      <c r="G445" s="190" t="s">
        <v>494</v>
      </c>
    </row>
    <row r="446" spans="1:7" ht="49.9" customHeight="1" x14ac:dyDescent="0.25">
      <c r="A446" s="624" t="s">
        <v>140</v>
      </c>
      <c r="B446" s="616" t="s">
        <v>415</v>
      </c>
      <c r="C446" s="616" t="s">
        <v>484</v>
      </c>
      <c r="D446" s="190" t="s">
        <v>327</v>
      </c>
      <c r="E446" s="191">
        <v>837335614</v>
      </c>
      <c r="F446" s="191">
        <v>664703857</v>
      </c>
      <c r="G446" s="190" t="s">
        <v>494</v>
      </c>
    </row>
    <row r="447" spans="1:7" ht="49.9" customHeight="1" x14ac:dyDescent="0.25">
      <c r="A447" s="625"/>
      <c r="B447" s="616"/>
      <c r="C447" s="616"/>
      <c r="D447" s="190" t="s">
        <v>370</v>
      </c>
      <c r="E447" s="191">
        <v>1262994000</v>
      </c>
      <c r="F447" s="191">
        <v>1215729000</v>
      </c>
      <c r="G447" s="190" t="s">
        <v>494</v>
      </c>
    </row>
    <row r="448" spans="1:7" ht="49.9" customHeight="1" x14ac:dyDescent="0.25">
      <c r="A448" s="625"/>
      <c r="B448" s="616"/>
      <c r="C448" s="616"/>
      <c r="D448" s="190" t="s">
        <v>487</v>
      </c>
      <c r="E448" s="191">
        <v>2636043000</v>
      </c>
      <c r="F448" s="191">
        <v>1942784150</v>
      </c>
      <c r="G448" s="190" t="s">
        <v>494</v>
      </c>
    </row>
    <row r="449" spans="1:7" ht="49.9" customHeight="1" x14ac:dyDescent="0.25">
      <c r="A449" s="625"/>
      <c r="B449" s="190" t="s">
        <v>422</v>
      </c>
      <c r="C449" s="190" t="s">
        <v>488</v>
      </c>
      <c r="D449" s="190" t="s">
        <v>489</v>
      </c>
      <c r="E449" s="191">
        <v>1453575000</v>
      </c>
      <c r="F449" s="191">
        <v>1001575000</v>
      </c>
      <c r="G449" s="190" t="s">
        <v>494</v>
      </c>
    </row>
    <row r="450" spans="1:7" ht="49.9" customHeight="1" x14ac:dyDescent="0.25">
      <c r="A450" s="625"/>
      <c r="B450" s="190" t="s">
        <v>426</v>
      </c>
      <c r="C450" s="190" t="s">
        <v>490</v>
      </c>
      <c r="D450" s="190" t="s">
        <v>491</v>
      </c>
      <c r="E450" s="191">
        <v>483246000</v>
      </c>
      <c r="F450" s="191">
        <v>344744634</v>
      </c>
      <c r="G450" s="190" t="s">
        <v>494</v>
      </c>
    </row>
    <row r="451" spans="1:7" ht="49.9" customHeight="1" x14ac:dyDescent="0.25">
      <c r="A451" s="625"/>
      <c r="B451" s="616" t="s">
        <v>430</v>
      </c>
      <c r="C451" s="616" t="s">
        <v>492</v>
      </c>
      <c r="D451" s="190" t="s">
        <v>493</v>
      </c>
      <c r="E451" s="191">
        <v>1294148000</v>
      </c>
      <c r="F451" s="191">
        <v>1137979000</v>
      </c>
      <c r="G451" s="190" t="s">
        <v>494</v>
      </c>
    </row>
    <row r="452" spans="1:7" ht="49.9" customHeight="1" x14ac:dyDescent="0.25">
      <c r="A452" s="626"/>
      <c r="B452" s="616"/>
      <c r="C452" s="616"/>
      <c r="D452" s="190" t="s">
        <v>359</v>
      </c>
      <c r="E452" s="191">
        <v>528678000</v>
      </c>
      <c r="F452" s="191">
        <v>516118000</v>
      </c>
      <c r="G452" s="190" t="s">
        <v>494</v>
      </c>
    </row>
    <row r="453" spans="1:7" ht="49.9" customHeight="1" x14ac:dyDescent="0.25">
      <c r="A453" s="624" t="s">
        <v>141</v>
      </c>
      <c r="B453" s="616" t="s">
        <v>415</v>
      </c>
      <c r="C453" s="616" t="s">
        <v>484</v>
      </c>
      <c r="D453" s="190" t="s">
        <v>327</v>
      </c>
      <c r="E453" s="191">
        <v>837335614</v>
      </c>
      <c r="F453" s="191">
        <v>664703857</v>
      </c>
      <c r="G453" s="190" t="s">
        <v>494</v>
      </c>
    </row>
    <row r="454" spans="1:7" ht="49.9" customHeight="1" x14ac:dyDescent="0.25">
      <c r="A454" s="625"/>
      <c r="B454" s="616"/>
      <c r="C454" s="616"/>
      <c r="D454" s="190" t="s">
        <v>370</v>
      </c>
      <c r="E454" s="191">
        <v>1262994000</v>
      </c>
      <c r="F454" s="191">
        <v>1215729000</v>
      </c>
      <c r="G454" s="190" t="s">
        <v>494</v>
      </c>
    </row>
    <row r="455" spans="1:7" ht="49.9" customHeight="1" x14ac:dyDescent="0.25">
      <c r="A455" s="625"/>
      <c r="B455" s="616"/>
      <c r="C455" s="616"/>
      <c r="D455" s="190" t="s">
        <v>487</v>
      </c>
      <c r="E455" s="191">
        <v>2636043000</v>
      </c>
      <c r="F455" s="191">
        <v>1947784150</v>
      </c>
      <c r="G455" s="190" t="s">
        <v>494</v>
      </c>
    </row>
    <row r="456" spans="1:7" ht="49.9" customHeight="1" x14ac:dyDescent="0.25">
      <c r="A456" s="625"/>
      <c r="B456" s="190" t="s">
        <v>422</v>
      </c>
      <c r="C456" s="190" t="s">
        <v>488</v>
      </c>
      <c r="D456" s="190" t="s">
        <v>489</v>
      </c>
      <c r="E456" s="191">
        <v>1453575000</v>
      </c>
      <c r="F456" s="191">
        <v>1001575000</v>
      </c>
      <c r="G456" s="190" t="s">
        <v>494</v>
      </c>
    </row>
    <row r="457" spans="1:7" ht="49.9" customHeight="1" x14ac:dyDescent="0.25">
      <c r="A457" s="625"/>
      <c r="B457" s="190" t="s">
        <v>426</v>
      </c>
      <c r="C457" s="190" t="s">
        <v>490</v>
      </c>
      <c r="D457" s="190" t="s">
        <v>491</v>
      </c>
      <c r="E457" s="191">
        <v>483246000</v>
      </c>
      <c r="F457" s="191">
        <v>353986578</v>
      </c>
      <c r="G457" s="190" t="s">
        <v>494</v>
      </c>
    </row>
    <row r="458" spans="1:7" ht="49.9" customHeight="1" x14ac:dyDescent="0.25">
      <c r="A458" s="625"/>
      <c r="B458" s="616" t="s">
        <v>430</v>
      </c>
      <c r="C458" s="616" t="s">
        <v>492</v>
      </c>
      <c r="D458" s="190" t="s">
        <v>493</v>
      </c>
      <c r="E458" s="191">
        <v>1294148000</v>
      </c>
      <c r="F458" s="191">
        <v>1162045000</v>
      </c>
      <c r="G458" s="190" t="s">
        <v>494</v>
      </c>
    </row>
    <row r="459" spans="1:7" ht="49.9" customHeight="1" x14ac:dyDescent="0.25">
      <c r="A459" s="626"/>
      <c r="B459" s="616"/>
      <c r="C459" s="616"/>
      <c r="D459" s="190" t="s">
        <v>359</v>
      </c>
      <c r="E459" s="191">
        <v>528678000</v>
      </c>
      <c r="F459" s="191">
        <v>516118000</v>
      </c>
      <c r="G459" s="190" t="s">
        <v>494</v>
      </c>
    </row>
    <row r="460" spans="1:7" ht="49.9" customHeight="1" x14ac:dyDescent="0.25">
      <c r="A460" s="624" t="s">
        <v>142</v>
      </c>
      <c r="B460" s="616" t="s">
        <v>415</v>
      </c>
      <c r="C460" s="616" t="s">
        <v>484</v>
      </c>
      <c r="D460" s="190" t="s">
        <v>327</v>
      </c>
      <c r="E460" s="191">
        <v>837335614</v>
      </c>
      <c r="F460" s="191">
        <v>871181753</v>
      </c>
      <c r="G460" s="190" t="s">
        <v>494</v>
      </c>
    </row>
    <row r="461" spans="1:7" ht="49.9" customHeight="1" x14ac:dyDescent="0.25">
      <c r="A461" s="625"/>
      <c r="B461" s="616"/>
      <c r="C461" s="616"/>
      <c r="D461" s="190" t="s">
        <v>370</v>
      </c>
      <c r="E461" s="191">
        <v>1262994000</v>
      </c>
      <c r="F461" s="191">
        <v>1215729000</v>
      </c>
      <c r="G461" s="190" t="s">
        <v>494</v>
      </c>
    </row>
    <row r="462" spans="1:7" ht="49.9" customHeight="1" x14ac:dyDescent="0.25">
      <c r="A462" s="625"/>
      <c r="B462" s="616"/>
      <c r="C462" s="616"/>
      <c r="D462" s="190" t="s">
        <v>487</v>
      </c>
      <c r="E462" s="191">
        <v>2636043000</v>
      </c>
      <c r="F462" s="191">
        <v>2192515714</v>
      </c>
      <c r="G462" s="190" t="s">
        <v>494</v>
      </c>
    </row>
    <row r="463" spans="1:7" ht="49.9" customHeight="1" x14ac:dyDescent="0.25">
      <c r="A463" s="625"/>
      <c r="B463" s="190" t="s">
        <v>422</v>
      </c>
      <c r="C463" s="190" t="s">
        <v>488</v>
      </c>
      <c r="D463" s="190" t="s">
        <v>489</v>
      </c>
      <c r="E463" s="191">
        <v>1453575000</v>
      </c>
      <c r="F463" s="191">
        <v>1151575000</v>
      </c>
      <c r="G463" s="190" t="s">
        <v>494</v>
      </c>
    </row>
    <row r="464" spans="1:7" ht="49.9" customHeight="1" x14ac:dyDescent="0.25">
      <c r="A464" s="625"/>
      <c r="B464" s="190" t="s">
        <v>426</v>
      </c>
      <c r="C464" s="190" t="s">
        <v>490</v>
      </c>
      <c r="D464" s="190" t="s">
        <v>491</v>
      </c>
      <c r="E464" s="191">
        <v>483246000</v>
      </c>
      <c r="F464" s="191">
        <v>455766292</v>
      </c>
      <c r="G464" s="190" t="s">
        <v>494</v>
      </c>
    </row>
    <row r="465" spans="1:7" ht="49.9" customHeight="1" x14ac:dyDescent="0.25">
      <c r="A465" s="625"/>
      <c r="B465" s="616" t="s">
        <v>430</v>
      </c>
      <c r="C465" s="616" t="s">
        <v>492</v>
      </c>
      <c r="D465" s="190" t="s">
        <v>493</v>
      </c>
      <c r="E465" s="191">
        <v>1294148000</v>
      </c>
      <c r="F465" s="191">
        <v>1162045000</v>
      </c>
      <c r="G465" s="190" t="s">
        <v>494</v>
      </c>
    </row>
    <row r="466" spans="1:7" ht="49.9" customHeight="1" x14ac:dyDescent="0.25">
      <c r="A466" s="626"/>
      <c r="B466" s="616"/>
      <c r="C466" s="616"/>
      <c r="D466" s="190" t="s">
        <v>359</v>
      </c>
      <c r="E466" s="191">
        <v>528678000</v>
      </c>
      <c r="F466" s="191">
        <v>516118000</v>
      </c>
      <c r="G466" s="190" t="s">
        <v>494</v>
      </c>
    </row>
    <row r="467" spans="1:7" ht="49.9" customHeight="1" x14ac:dyDescent="0.25">
      <c r="A467" s="624" t="s">
        <v>130</v>
      </c>
      <c r="B467" s="616" t="s">
        <v>415</v>
      </c>
      <c r="C467" s="616" t="s">
        <v>484</v>
      </c>
      <c r="D467" s="218" t="s">
        <v>327</v>
      </c>
      <c r="E467" s="191">
        <v>837335614</v>
      </c>
      <c r="F467" s="191">
        <f>+INVERSIÓN!BE11</f>
        <v>898822087</v>
      </c>
      <c r="G467" s="218" t="s">
        <v>494</v>
      </c>
    </row>
    <row r="468" spans="1:7" ht="49.9" customHeight="1" x14ac:dyDescent="0.25">
      <c r="A468" s="625"/>
      <c r="B468" s="616"/>
      <c r="C468" s="616"/>
      <c r="D468" s="218" t="s">
        <v>370</v>
      </c>
      <c r="E468" s="191">
        <v>1262994000</v>
      </c>
      <c r="F468" s="191">
        <f>+INVERSIÓN!BE18</f>
        <v>1256382667</v>
      </c>
      <c r="G468" s="218" t="s">
        <v>494</v>
      </c>
    </row>
    <row r="469" spans="1:7" ht="49.9" customHeight="1" x14ac:dyDescent="0.25">
      <c r="A469" s="625"/>
      <c r="B469" s="616"/>
      <c r="C469" s="616"/>
      <c r="D469" s="218" t="s">
        <v>487</v>
      </c>
      <c r="E469" s="191">
        <v>2636043000</v>
      </c>
      <c r="F469" s="191">
        <f>+INVERSIÓN!BE25</f>
        <v>2205742548</v>
      </c>
      <c r="G469" s="218" t="s">
        <v>494</v>
      </c>
    </row>
    <row r="470" spans="1:7" ht="49.9" customHeight="1" x14ac:dyDescent="0.25">
      <c r="A470" s="625"/>
      <c r="B470" s="218" t="s">
        <v>422</v>
      </c>
      <c r="C470" s="218" t="s">
        <v>488</v>
      </c>
      <c r="D470" s="218" t="s">
        <v>489</v>
      </c>
      <c r="E470" s="191">
        <v>1453575000</v>
      </c>
      <c r="F470" s="191">
        <f>+INVERSIÓN!BE32</f>
        <v>1151575000</v>
      </c>
      <c r="G470" s="218" t="s">
        <v>494</v>
      </c>
    </row>
    <row r="471" spans="1:7" ht="49.9" customHeight="1" x14ac:dyDescent="0.25">
      <c r="A471" s="625"/>
      <c r="B471" s="218" t="s">
        <v>426</v>
      </c>
      <c r="C471" s="218" t="s">
        <v>490</v>
      </c>
      <c r="D471" s="218" t="s">
        <v>491</v>
      </c>
      <c r="E471" s="191">
        <v>483246000</v>
      </c>
      <c r="F471" s="191">
        <f>+INVERSIÓN!BE39</f>
        <v>492530292</v>
      </c>
      <c r="G471" s="218" t="s">
        <v>494</v>
      </c>
    </row>
    <row r="472" spans="1:7" ht="49.9" customHeight="1" x14ac:dyDescent="0.25">
      <c r="A472" s="625"/>
      <c r="B472" s="616" t="s">
        <v>430</v>
      </c>
      <c r="C472" s="616" t="s">
        <v>492</v>
      </c>
      <c r="D472" s="218" t="s">
        <v>493</v>
      </c>
      <c r="E472" s="191">
        <v>1294148000</v>
      </c>
      <c r="F472" s="191">
        <f>+INVERSIÓN!BE46</f>
        <v>1186640500</v>
      </c>
      <c r="G472" s="218" t="s">
        <v>494</v>
      </c>
    </row>
    <row r="473" spans="1:7" ht="49.9" customHeight="1" x14ac:dyDescent="0.25">
      <c r="A473" s="626"/>
      <c r="B473" s="616"/>
      <c r="C473" s="616"/>
      <c r="D473" s="218" t="s">
        <v>359</v>
      </c>
      <c r="E473" s="191">
        <v>528678000</v>
      </c>
      <c r="F473" s="191">
        <f>+INVERSIÓN!BE53</f>
        <v>516118000</v>
      </c>
      <c r="G473" s="218" t="s">
        <v>494</v>
      </c>
    </row>
    <row r="474" spans="1:7" ht="49.9" customHeight="1" x14ac:dyDescent="0.25">
      <c r="A474" s="624" t="s">
        <v>131</v>
      </c>
      <c r="B474" s="616" t="s">
        <v>415</v>
      </c>
      <c r="C474" s="616" t="s">
        <v>484</v>
      </c>
      <c r="D474" s="244" t="s">
        <v>327</v>
      </c>
      <c r="E474" s="191">
        <v>1534521300</v>
      </c>
      <c r="F474" s="191">
        <v>898822087</v>
      </c>
      <c r="G474" s="244" t="s">
        <v>494</v>
      </c>
    </row>
    <row r="475" spans="1:7" ht="49.9" customHeight="1" x14ac:dyDescent="0.25">
      <c r="A475" s="625"/>
      <c r="B475" s="616"/>
      <c r="C475" s="616"/>
      <c r="D475" s="244" t="s">
        <v>370</v>
      </c>
      <c r="E475" s="191">
        <v>1389997314</v>
      </c>
      <c r="F475" s="191">
        <v>1256382667</v>
      </c>
      <c r="G475" s="244" t="s">
        <v>494</v>
      </c>
    </row>
    <row r="476" spans="1:7" ht="49.9" customHeight="1" x14ac:dyDescent="0.25">
      <c r="A476" s="625"/>
      <c r="B476" s="616"/>
      <c r="C476" s="616"/>
      <c r="D476" s="244" t="s">
        <v>487</v>
      </c>
      <c r="E476" s="191">
        <v>2930900316</v>
      </c>
      <c r="F476" s="191">
        <v>2205742548</v>
      </c>
      <c r="G476" s="244" t="s">
        <v>494</v>
      </c>
    </row>
    <row r="477" spans="1:7" ht="49.9" customHeight="1" x14ac:dyDescent="0.25">
      <c r="A477" s="625"/>
      <c r="B477" s="244" t="s">
        <v>422</v>
      </c>
      <c r="C477" s="244" t="s">
        <v>488</v>
      </c>
      <c r="D477" s="244" t="s">
        <v>489</v>
      </c>
      <c r="E477" s="191">
        <v>1587481000.0000007</v>
      </c>
      <c r="F477" s="191">
        <v>1151575000</v>
      </c>
      <c r="G477" s="244" t="s">
        <v>494</v>
      </c>
    </row>
    <row r="478" spans="1:7" ht="49.9" customHeight="1" x14ac:dyDescent="0.25">
      <c r="A478" s="625"/>
      <c r="B478" s="244" t="s">
        <v>426</v>
      </c>
      <c r="C478" s="244" t="s">
        <v>490</v>
      </c>
      <c r="D478" s="244" t="s">
        <v>491</v>
      </c>
      <c r="E478" s="191">
        <v>749389999.99999988</v>
      </c>
      <c r="F478" s="191">
        <v>492530292</v>
      </c>
      <c r="G478" s="244" t="s">
        <v>494</v>
      </c>
    </row>
    <row r="479" spans="1:7" ht="49.9" customHeight="1" x14ac:dyDescent="0.25">
      <c r="A479" s="625"/>
      <c r="B479" s="616" t="s">
        <v>430</v>
      </c>
      <c r="C479" s="616" t="s">
        <v>492</v>
      </c>
      <c r="D479" s="244" t="s">
        <v>493</v>
      </c>
      <c r="E479" s="191">
        <v>1294147999.9999998</v>
      </c>
      <c r="F479" s="191">
        <v>1186640500</v>
      </c>
      <c r="G479" s="244" t="s">
        <v>494</v>
      </c>
    </row>
    <row r="480" spans="1:7" ht="49.9" customHeight="1" x14ac:dyDescent="0.25">
      <c r="A480" s="626"/>
      <c r="B480" s="616"/>
      <c r="C480" s="616"/>
      <c r="D480" s="244" t="s">
        <v>359</v>
      </c>
      <c r="E480" s="191">
        <v>557942070</v>
      </c>
      <c r="F480" s="191">
        <v>516118000</v>
      </c>
      <c r="G480" s="244" t="s">
        <v>494</v>
      </c>
    </row>
    <row r="481" spans="1:7" ht="49.9" customHeight="1" x14ac:dyDescent="0.25">
      <c r="A481" s="624" t="s">
        <v>132</v>
      </c>
      <c r="B481" s="616" t="s">
        <v>415</v>
      </c>
      <c r="C481" s="616" t="s">
        <v>484</v>
      </c>
      <c r="D481" s="247" t="s">
        <v>327</v>
      </c>
      <c r="E481" s="191">
        <v>1534521300</v>
      </c>
      <c r="F481" s="191">
        <v>898822087</v>
      </c>
      <c r="G481" s="259" t="s">
        <v>494</v>
      </c>
    </row>
    <row r="482" spans="1:7" ht="49.9" customHeight="1" x14ac:dyDescent="0.25">
      <c r="A482" s="625"/>
      <c r="B482" s="616"/>
      <c r="C482" s="616"/>
      <c r="D482" s="247" t="s">
        <v>370</v>
      </c>
      <c r="E482" s="191">
        <v>1389997314</v>
      </c>
      <c r="F482" s="191">
        <v>1256382667</v>
      </c>
      <c r="G482" s="259" t="s">
        <v>494</v>
      </c>
    </row>
    <row r="483" spans="1:7" ht="49.9" customHeight="1" x14ac:dyDescent="0.25">
      <c r="A483" s="625"/>
      <c r="B483" s="616"/>
      <c r="C483" s="616"/>
      <c r="D483" s="247" t="s">
        <v>487</v>
      </c>
      <c r="E483" s="191">
        <v>2930900316</v>
      </c>
      <c r="F483" s="191">
        <v>2205742548</v>
      </c>
      <c r="G483" s="259" t="s">
        <v>494</v>
      </c>
    </row>
    <row r="484" spans="1:7" ht="49.9" customHeight="1" x14ac:dyDescent="0.25">
      <c r="A484" s="625"/>
      <c r="B484" s="247" t="s">
        <v>422</v>
      </c>
      <c r="C484" s="247" t="s">
        <v>488</v>
      </c>
      <c r="D484" s="247" t="s">
        <v>489</v>
      </c>
      <c r="E484" s="191">
        <v>1587481000.0000007</v>
      </c>
      <c r="F484" s="191">
        <v>1151575000</v>
      </c>
      <c r="G484" s="259" t="s">
        <v>494</v>
      </c>
    </row>
    <row r="485" spans="1:7" ht="49.9" customHeight="1" x14ac:dyDescent="0.25">
      <c r="A485" s="625"/>
      <c r="B485" s="247" t="s">
        <v>426</v>
      </c>
      <c r="C485" s="247" t="s">
        <v>490</v>
      </c>
      <c r="D485" s="247" t="s">
        <v>491</v>
      </c>
      <c r="E485" s="191">
        <v>749389999.99999988</v>
      </c>
      <c r="F485" s="191">
        <v>492530292</v>
      </c>
      <c r="G485" s="259" t="s">
        <v>494</v>
      </c>
    </row>
    <row r="486" spans="1:7" ht="49.9" customHeight="1" x14ac:dyDescent="0.25">
      <c r="A486" s="625"/>
      <c r="B486" s="616" t="s">
        <v>430</v>
      </c>
      <c r="C486" s="616" t="s">
        <v>492</v>
      </c>
      <c r="D486" s="247" t="s">
        <v>493</v>
      </c>
      <c r="E486" s="191">
        <v>1294147999.9999998</v>
      </c>
      <c r="F486" s="191">
        <v>1186640500</v>
      </c>
      <c r="G486" s="259" t="s">
        <v>494</v>
      </c>
    </row>
    <row r="487" spans="1:7" ht="49.9" customHeight="1" x14ac:dyDescent="0.25">
      <c r="A487" s="626"/>
      <c r="B487" s="616"/>
      <c r="C487" s="616"/>
      <c r="D487" s="247" t="s">
        <v>359</v>
      </c>
      <c r="E487" s="191">
        <v>557942070</v>
      </c>
      <c r="F487" s="191">
        <v>516118000</v>
      </c>
      <c r="G487" s="259" t="s">
        <v>494</v>
      </c>
    </row>
    <row r="488" spans="1:7" x14ac:dyDescent="0.25">
      <c r="A488" s="47" t="s">
        <v>133</v>
      </c>
      <c r="B488" s="47"/>
      <c r="C488" s="47"/>
      <c r="D488" s="47"/>
      <c r="E488" s="47"/>
      <c r="F488" s="47"/>
      <c r="G488" s="47"/>
    </row>
    <row r="489" spans="1:7" x14ac:dyDescent="0.25">
      <c r="A489" s="47" t="s">
        <v>134</v>
      </c>
      <c r="B489" s="47"/>
      <c r="C489" s="47"/>
      <c r="D489" s="47"/>
      <c r="E489" s="47"/>
      <c r="F489" s="47"/>
      <c r="G489" s="47"/>
    </row>
    <row r="490" spans="1:7" x14ac:dyDescent="0.25">
      <c r="A490" s="47" t="s">
        <v>135</v>
      </c>
      <c r="B490" s="47"/>
      <c r="C490" s="47"/>
      <c r="D490" s="47"/>
      <c r="E490" s="47"/>
      <c r="F490" s="47"/>
      <c r="G490" s="47"/>
    </row>
    <row r="491" spans="1:7" hidden="1" x14ac:dyDescent="0.25">
      <c r="A491" s="48"/>
      <c r="G491" s="49"/>
    </row>
    <row r="492" spans="1:7" ht="20.25" hidden="1" x14ac:dyDescent="0.3">
      <c r="A492" s="631" t="s">
        <v>495</v>
      </c>
      <c r="B492" s="632"/>
      <c r="C492" s="632"/>
      <c r="D492" s="632"/>
      <c r="E492" s="632"/>
      <c r="F492" s="632"/>
      <c r="G492" s="633"/>
    </row>
    <row r="493" spans="1:7" ht="38.25" hidden="1" x14ac:dyDescent="0.25">
      <c r="A493" s="188" t="s">
        <v>62</v>
      </c>
      <c r="B493" s="46" t="s">
        <v>147</v>
      </c>
      <c r="C493" s="46" t="s">
        <v>148</v>
      </c>
      <c r="D493" s="46" t="s">
        <v>170</v>
      </c>
      <c r="E493" s="46" t="s">
        <v>496</v>
      </c>
      <c r="F493" s="46" t="s">
        <v>497</v>
      </c>
      <c r="G493" s="46" t="s">
        <v>173</v>
      </c>
    </row>
    <row r="494" spans="1:7" ht="16.5" hidden="1" customHeight="1" x14ac:dyDescent="0.25">
      <c r="A494" s="47" t="s">
        <v>137</v>
      </c>
      <c r="B494" s="47"/>
      <c r="C494" s="47"/>
      <c r="D494" s="47"/>
      <c r="E494" s="47"/>
      <c r="F494" s="47"/>
      <c r="G494" s="47"/>
    </row>
    <row r="495" spans="1:7" ht="16.5" hidden="1" customHeight="1" x14ac:dyDescent="0.25">
      <c r="A495" s="47" t="s">
        <v>138</v>
      </c>
      <c r="B495" s="47"/>
      <c r="C495" s="47"/>
      <c r="D495" s="47"/>
      <c r="E495" s="47"/>
      <c r="F495" s="47"/>
      <c r="G495" s="47"/>
    </row>
    <row r="496" spans="1:7" ht="16.5" hidden="1" customHeight="1" x14ac:dyDescent="0.25">
      <c r="A496" s="47" t="s">
        <v>139</v>
      </c>
      <c r="B496" s="47"/>
      <c r="C496" s="47"/>
      <c r="D496" s="47"/>
      <c r="E496" s="47"/>
      <c r="F496" s="47"/>
      <c r="G496" s="47"/>
    </row>
    <row r="497" spans="1:7" ht="16.5" hidden="1" customHeight="1" x14ac:dyDescent="0.25">
      <c r="A497" s="47" t="s">
        <v>140</v>
      </c>
      <c r="B497" s="47"/>
      <c r="C497" s="47"/>
      <c r="D497" s="47"/>
      <c r="E497" s="47"/>
      <c r="F497" s="47"/>
      <c r="G497" s="47"/>
    </row>
    <row r="498" spans="1:7" ht="16.5" hidden="1" customHeight="1" x14ac:dyDescent="0.25">
      <c r="A498" s="47" t="s">
        <v>141</v>
      </c>
      <c r="B498" s="47"/>
      <c r="C498" s="47"/>
      <c r="D498" s="47"/>
      <c r="E498" s="47"/>
      <c r="F498" s="47"/>
      <c r="G498" s="47"/>
    </row>
    <row r="499" spans="1:7" ht="16.5" hidden="1" customHeight="1" x14ac:dyDescent="0.25">
      <c r="A499" s="47" t="s">
        <v>142</v>
      </c>
      <c r="B499" s="47"/>
      <c r="C499" s="47"/>
      <c r="D499" s="47"/>
      <c r="E499" s="47"/>
      <c r="F499" s="47"/>
      <c r="G499" s="47"/>
    </row>
    <row r="500" spans="1:7" hidden="1" x14ac:dyDescent="0.25">
      <c r="A500" s="47" t="s">
        <v>130</v>
      </c>
      <c r="B500" s="47"/>
      <c r="C500" s="47"/>
      <c r="D500" s="47"/>
      <c r="E500" s="47"/>
      <c r="F500" s="47"/>
      <c r="G500" s="47"/>
    </row>
    <row r="501" spans="1:7" hidden="1" x14ac:dyDescent="0.25">
      <c r="A501" s="47" t="s">
        <v>131</v>
      </c>
      <c r="B501" s="47"/>
      <c r="C501" s="47"/>
      <c r="D501" s="47"/>
      <c r="E501" s="47"/>
      <c r="F501" s="47"/>
      <c r="G501" s="47"/>
    </row>
    <row r="502" spans="1:7" hidden="1" x14ac:dyDescent="0.25">
      <c r="A502" s="47" t="s">
        <v>132</v>
      </c>
      <c r="B502" s="47"/>
      <c r="C502" s="47"/>
      <c r="D502" s="47"/>
      <c r="E502" s="47"/>
      <c r="F502" s="47"/>
      <c r="G502" s="47"/>
    </row>
    <row r="503" spans="1:7" hidden="1" x14ac:dyDescent="0.25">
      <c r="A503" s="47" t="s">
        <v>133</v>
      </c>
      <c r="B503" s="47"/>
      <c r="C503" s="47"/>
      <c r="D503" s="47"/>
      <c r="E503" s="47"/>
      <c r="F503" s="47"/>
      <c r="G503" s="47"/>
    </row>
    <row r="504" spans="1:7" hidden="1" x14ac:dyDescent="0.25">
      <c r="A504" s="47" t="s">
        <v>134</v>
      </c>
      <c r="B504" s="47"/>
      <c r="C504" s="47"/>
      <c r="D504" s="47"/>
      <c r="E504" s="47"/>
      <c r="F504" s="47"/>
      <c r="G504" s="47"/>
    </row>
    <row r="505" spans="1:7" hidden="1" x14ac:dyDescent="0.25">
      <c r="A505" s="47" t="s">
        <v>135</v>
      </c>
      <c r="B505" s="47"/>
      <c r="C505" s="47"/>
      <c r="D505" s="47"/>
      <c r="E505" s="47"/>
      <c r="F505" s="47"/>
      <c r="G505" s="47"/>
    </row>
    <row r="506" spans="1:7" hidden="1" x14ac:dyDescent="0.25">
      <c r="A506" s="48"/>
      <c r="G506" s="49"/>
    </row>
    <row r="507" spans="1:7" ht="30.75" hidden="1" customHeight="1" x14ac:dyDescent="0.3">
      <c r="A507" s="631" t="s">
        <v>177</v>
      </c>
      <c r="B507" s="632"/>
      <c r="C507" s="632"/>
      <c r="D507" s="632"/>
      <c r="E507" s="632"/>
      <c r="F507" s="632"/>
      <c r="G507" s="633"/>
    </row>
    <row r="508" spans="1:7" ht="38.25" hidden="1" x14ac:dyDescent="0.25">
      <c r="A508" s="188" t="s">
        <v>63</v>
      </c>
      <c r="B508" s="46" t="s">
        <v>147</v>
      </c>
      <c r="C508" s="46" t="s">
        <v>148</v>
      </c>
      <c r="D508" s="46" t="s">
        <v>170</v>
      </c>
      <c r="E508" s="46" t="s">
        <v>178</v>
      </c>
      <c r="F508" s="46" t="s">
        <v>179</v>
      </c>
      <c r="G508" s="46" t="s">
        <v>173</v>
      </c>
    </row>
    <row r="509" spans="1:7" ht="16.5" hidden="1" customHeight="1" x14ac:dyDescent="0.25">
      <c r="A509" s="47" t="s">
        <v>137</v>
      </c>
      <c r="B509" s="47"/>
      <c r="C509" s="47"/>
      <c r="D509" s="47"/>
      <c r="E509" s="47"/>
      <c r="F509" s="47"/>
      <c r="G509" s="47"/>
    </row>
    <row r="510" spans="1:7" ht="16.5" hidden="1" customHeight="1" x14ac:dyDescent="0.25">
      <c r="A510" s="47" t="s">
        <v>138</v>
      </c>
      <c r="B510" s="47"/>
      <c r="C510" s="47"/>
      <c r="D510" s="47"/>
      <c r="E510" s="47"/>
      <c r="F510" s="47"/>
      <c r="G510" s="47"/>
    </row>
    <row r="511" spans="1:7" ht="16.5" hidden="1" customHeight="1" x14ac:dyDescent="0.25">
      <c r="A511" s="47" t="s">
        <v>139</v>
      </c>
      <c r="B511" s="47"/>
      <c r="C511" s="47"/>
      <c r="D511" s="47"/>
      <c r="E511" s="47"/>
      <c r="F511" s="47"/>
      <c r="G511" s="47"/>
    </row>
    <row r="512" spans="1:7" ht="16.5" hidden="1" customHeight="1" x14ac:dyDescent="0.25">
      <c r="A512" s="47" t="s">
        <v>140</v>
      </c>
      <c r="B512" s="47"/>
      <c r="C512" s="47"/>
      <c r="D512" s="47"/>
      <c r="E512" s="47"/>
      <c r="F512" s="47"/>
      <c r="G512" s="47"/>
    </row>
    <row r="513" spans="1:7" ht="16.5" hidden="1" customHeight="1" x14ac:dyDescent="0.25">
      <c r="A513" s="47" t="s">
        <v>141</v>
      </c>
      <c r="B513" s="47"/>
      <c r="C513" s="47"/>
      <c r="D513" s="47"/>
      <c r="E513" s="47"/>
      <c r="F513" s="47"/>
      <c r="G513" s="47"/>
    </row>
    <row r="514" spans="1:7" ht="16.5" hidden="1" customHeight="1" x14ac:dyDescent="0.25">
      <c r="A514" s="47" t="s">
        <v>142</v>
      </c>
      <c r="B514" s="47"/>
      <c r="C514" s="47"/>
      <c r="D514" s="47"/>
      <c r="E514" s="47"/>
      <c r="F514" s="47"/>
      <c r="G514" s="47"/>
    </row>
    <row r="515" spans="1:7" hidden="1" x14ac:dyDescent="0.25">
      <c r="A515" s="47" t="s">
        <v>130</v>
      </c>
      <c r="B515" s="47"/>
      <c r="C515" s="47"/>
      <c r="D515" s="47"/>
      <c r="E515" s="47"/>
      <c r="F515" s="47"/>
      <c r="G515" s="47"/>
    </row>
    <row r="516" spans="1:7" hidden="1" x14ac:dyDescent="0.25">
      <c r="A516" s="47" t="s">
        <v>131</v>
      </c>
      <c r="B516" s="47"/>
      <c r="C516" s="47"/>
      <c r="D516" s="47"/>
      <c r="E516" s="47"/>
      <c r="F516" s="47"/>
      <c r="G516" s="47"/>
    </row>
    <row r="517" spans="1:7" hidden="1" x14ac:dyDescent="0.25">
      <c r="A517" s="47" t="s">
        <v>132</v>
      </c>
      <c r="B517" s="47"/>
      <c r="C517" s="47"/>
      <c r="D517" s="47"/>
      <c r="E517" s="47"/>
      <c r="F517" s="47"/>
      <c r="G517" s="47"/>
    </row>
    <row r="518" spans="1:7" hidden="1" x14ac:dyDescent="0.25">
      <c r="A518" s="47" t="s">
        <v>133</v>
      </c>
      <c r="B518" s="47"/>
      <c r="C518" s="47"/>
      <c r="D518" s="47"/>
      <c r="E518" s="47"/>
      <c r="F518" s="47"/>
      <c r="G518" s="47"/>
    </row>
    <row r="519" spans="1:7" hidden="1" x14ac:dyDescent="0.25">
      <c r="A519" s="47" t="s">
        <v>134</v>
      </c>
      <c r="B519" s="47"/>
      <c r="C519" s="47"/>
      <c r="D519" s="47"/>
      <c r="E519" s="47"/>
      <c r="F519" s="47"/>
      <c r="G519" s="47"/>
    </row>
    <row r="520" spans="1:7" hidden="1" x14ac:dyDescent="0.25">
      <c r="A520" s="47" t="s">
        <v>135</v>
      </c>
      <c r="B520" s="47"/>
      <c r="C520" s="47"/>
      <c r="D520" s="47"/>
      <c r="E520" s="47"/>
      <c r="F520" s="47"/>
      <c r="G520" s="47"/>
    </row>
    <row r="521" spans="1:7" hidden="1" x14ac:dyDescent="0.25">
      <c r="A521" s="48"/>
      <c r="G521" s="49"/>
    </row>
    <row r="522" spans="1:7" ht="20.25" hidden="1" x14ac:dyDescent="0.3">
      <c r="A522" s="631" t="s">
        <v>180</v>
      </c>
      <c r="B522" s="632"/>
      <c r="C522" s="632"/>
      <c r="D522" s="632"/>
      <c r="E522" s="632"/>
      <c r="F522" s="632"/>
      <c r="G522" s="633"/>
    </row>
    <row r="523" spans="1:7" ht="38.25" hidden="1" x14ac:dyDescent="0.25">
      <c r="A523" s="188" t="s">
        <v>64</v>
      </c>
      <c r="B523" s="46" t="s">
        <v>147</v>
      </c>
      <c r="C523" s="46" t="s">
        <v>148</v>
      </c>
      <c r="D523" s="46" t="s">
        <v>170</v>
      </c>
      <c r="E523" s="46" t="s">
        <v>181</v>
      </c>
      <c r="F523" s="46" t="s">
        <v>182</v>
      </c>
      <c r="G523" s="46" t="s">
        <v>173</v>
      </c>
    </row>
    <row r="524" spans="1:7" ht="16.5" hidden="1" customHeight="1" x14ac:dyDescent="0.25">
      <c r="A524" s="47" t="s">
        <v>137</v>
      </c>
      <c r="B524" s="47"/>
      <c r="C524" s="47"/>
      <c r="D524" s="47"/>
      <c r="E524" s="47"/>
      <c r="F524" s="47"/>
      <c r="G524" s="47"/>
    </row>
    <row r="525" spans="1:7" ht="16.5" hidden="1" customHeight="1" x14ac:dyDescent="0.25">
      <c r="A525" s="47" t="s">
        <v>138</v>
      </c>
      <c r="B525" s="47"/>
      <c r="C525" s="47"/>
      <c r="D525" s="47"/>
      <c r="E525" s="47"/>
      <c r="F525" s="47"/>
      <c r="G525" s="47"/>
    </row>
    <row r="526" spans="1:7" ht="16.5" hidden="1" customHeight="1" x14ac:dyDescent="0.25">
      <c r="A526" s="47" t="s">
        <v>139</v>
      </c>
      <c r="B526" s="47"/>
      <c r="C526" s="47"/>
      <c r="D526" s="47"/>
      <c r="E526" s="47"/>
      <c r="F526" s="47"/>
      <c r="G526" s="47"/>
    </row>
    <row r="527" spans="1:7" ht="16.5" hidden="1" customHeight="1" x14ac:dyDescent="0.25">
      <c r="A527" s="47" t="s">
        <v>140</v>
      </c>
      <c r="B527" s="47"/>
      <c r="C527" s="47"/>
      <c r="D527" s="47"/>
      <c r="E527" s="47"/>
      <c r="F527" s="47"/>
      <c r="G527" s="47"/>
    </row>
    <row r="528" spans="1:7" ht="16.5" hidden="1" customHeight="1" x14ac:dyDescent="0.25">
      <c r="A528" s="47" t="s">
        <v>141</v>
      </c>
      <c r="B528" s="47"/>
      <c r="C528" s="47"/>
      <c r="D528" s="47"/>
      <c r="E528" s="47"/>
      <c r="F528" s="47"/>
      <c r="G528" s="47"/>
    </row>
    <row r="529" spans="1:9" ht="16.5" hidden="1" customHeight="1" x14ac:dyDescent="0.25">
      <c r="A529" s="47" t="s">
        <v>142</v>
      </c>
      <c r="B529" s="47"/>
      <c r="C529" s="47"/>
      <c r="D529" s="47"/>
      <c r="E529" s="47"/>
      <c r="F529" s="47"/>
      <c r="G529" s="47"/>
    </row>
    <row r="530" spans="1:9" hidden="1" x14ac:dyDescent="0.25">
      <c r="A530" s="47" t="s">
        <v>130</v>
      </c>
      <c r="B530" s="47"/>
      <c r="C530" s="47"/>
      <c r="D530" s="47"/>
      <c r="E530" s="47"/>
      <c r="F530" s="47"/>
      <c r="G530" s="47"/>
    </row>
    <row r="531" spans="1:9" hidden="1" x14ac:dyDescent="0.25">
      <c r="A531" s="47" t="s">
        <v>131</v>
      </c>
      <c r="B531" s="47"/>
      <c r="C531" s="47"/>
      <c r="D531" s="47"/>
      <c r="E531" s="47"/>
      <c r="F531" s="47"/>
      <c r="G531" s="47"/>
    </row>
    <row r="532" spans="1:9" hidden="1" x14ac:dyDescent="0.25">
      <c r="A532" s="47" t="s">
        <v>132</v>
      </c>
      <c r="B532" s="47"/>
      <c r="C532" s="47"/>
      <c r="D532" s="47"/>
      <c r="E532" s="47"/>
      <c r="F532" s="47"/>
      <c r="G532" s="47"/>
    </row>
    <row r="533" spans="1:9" hidden="1" x14ac:dyDescent="0.25">
      <c r="A533" s="47" t="s">
        <v>133</v>
      </c>
      <c r="B533" s="47"/>
      <c r="C533" s="47"/>
      <c r="D533" s="47"/>
      <c r="E533" s="47"/>
      <c r="F533" s="47"/>
      <c r="G533" s="47"/>
    </row>
    <row r="534" spans="1:9" hidden="1" x14ac:dyDescent="0.25">
      <c r="A534" s="47" t="s">
        <v>134</v>
      </c>
      <c r="B534" s="47"/>
      <c r="C534" s="47"/>
      <c r="D534" s="47"/>
      <c r="E534" s="47"/>
      <c r="F534" s="47"/>
      <c r="G534" s="47"/>
    </row>
    <row r="535" spans="1:9" hidden="1" x14ac:dyDescent="0.25">
      <c r="A535" s="47" t="s">
        <v>135</v>
      </c>
      <c r="B535" s="47"/>
      <c r="C535" s="47"/>
      <c r="D535" s="47"/>
      <c r="E535" s="47"/>
      <c r="F535" s="47"/>
      <c r="G535" s="47"/>
    </row>
    <row r="537" spans="1:9" ht="24.75" customHeight="1" x14ac:dyDescent="0.3">
      <c r="A537" s="631" t="s">
        <v>183</v>
      </c>
      <c r="B537" s="632"/>
      <c r="C537" s="632"/>
      <c r="D537" s="632"/>
      <c r="E537" s="632"/>
      <c r="F537" s="632"/>
      <c r="G537" s="632"/>
      <c r="H537" s="633"/>
    </row>
    <row r="538" spans="1:9" ht="46.5" customHeight="1" x14ac:dyDescent="0.25">
      <c r="A538" s="188" t="s">
        <v>49</v>
      </c>
      <c r="B538" s="46" t="s">
        <v>184</v>
      </c>
      <c r="C538" s="50" t="s">
        <v>150</v>
      </c>
      <c r="D538" s="50" t="s">
        <v>151</v>
      </c>
      <c r="E538" s="50" t="s">
        <v>185</v>
      </c>
      <c r="F538" s="50" t="s">
        <v>186</v>
      </c>
      <c r="G538" s="50" t="s">
        <v>187</v>
      </c>
      <c r="H538" s="46" t="s">
        <v>173</v>
      </c>
    </row>
    <row r="539" spans="1:9" s="192" customFormat="1" ht="49.9" customHeight="1" outlineLevel="1" x14ac:dyDescent="0.25">
      <c r="A539" s="637" t="s">
        <v>130</v>
      </c>
      <c r="B539" s="185" t="s">
        <v>498</v>
      </c>
      <c r="C539" s="107" t="s">
        <v>499</v>
      </c>
      <c r="D539" s="209">
        <v>0.15</v>
      </c>
      <c r="E539" s="186">
        <v>20</v>
      </c>
      <c r="F539" s="186">
        <v>20</v>
      </c>
      <c r="G539" s="194">
        <f>F539/E539</f>
        <v>1</v>
      </c>
      <c r="H539" s="190" t="str">
        <f t="shared" ref="H539:H573" si="20">+L221</f>
        <v xml:space="preserve">Para el mes de julio de 2020, se remite el reporte de los mantenimientos preventivos y correctivos que se han realizado durante el mes, estos han sido ejecutados por los técnicos de campo. En el reporte se relaciona la fecha del mantenimiento, el No. de inventario, el nombre y la ubicación del equipo, la actividad que se realiza, el tipo de mantenimiento, el técnico responsable y la estación en la cual se realizó el mantenimiento. 
Por otro lado, se realizó la validación diaria de los datos de concentraciones de contaminantes criterio y parámetros meteorológicos que monitorea la RMCAB, se adjunta reporte de operatividad en el que se evidencia un 95,1% de los datos validos para el mes. 
Se realizó el análisis de datos del mes de junio de 2020 para plasmarlo en el informe de calidad del aire, se adjunta el documento de Excel en el que se evidencia el tratamiento de los datos. Asimismo, el equipo de la RMCAB en el mes de julio de 2020 elaboró y publicó el informe mensual de junio. Se adjunta copia de este.  </v>
      </c>
      <c r="I539" s="251"/>
    </row>
    <row r="540" spans="1:9" s="192" customFormat="1" ht="49.9" customHeight="1" outlineLevel="1" x14ac:dyDescent="0.25">
      <c r="A540" s="638"/>
      <c r="B540" s="185" t="s">
        <v>500</v>
      </c>
      <c r="C540" s="107" t="s">
        <v>499</v>
      </c>
      <c r="D540" s="209">
        <v>0.15</v>
      </c>
      <c r="E540" s="210">
        <v>4</v>
      </c>
      <c r="F540" s="210">
        <v>0</v>
      </c>
      <c r="G540" s="194">
        <f>F540/E540</f>
        <v>0</v>
      </c>
      <c r="H540" s="190" t="str">
        <f t="shared" si="20"/>
        <v xml:space="preserve">No fueron programados avances para el mes de julio, la ejecución respectiva se realizará desde el mes de agosto </v>
      </c>
      <c r="I540" s="251"/>
    </row>
    <row r="541" spans="1:9" s="192" customFormat="1" ht="49.9" customHeight="1" outlineLevel="1" x14ac:dyDescent="0.25">
      <c r="A541" s="638"/>
      <c r="B541" s="185" t="s">
        <v>501</v>
      </c>
      <c r="C541" s="107" t="s">
        <v>499</v>
      </c>
      <c r="D541" s="209">
        <v>0.15</v>
      </c>
      <c r="E541" s="210">
        <v>1</v>
      </c>
      <c r="F541" s="210">
        <v>0.1666</v>
      </c>
      <c r="G541" s="194">
        <f>F541/E541</f>
        <v>0.1666</v>
      </c>
      <c r="H541" s="190" t="str">
        <f t="shared" si="20"/>
        <v>Julio de 2020: Con el fin de construir el informe correspondiente al segundo semestre de 2020, se realizó intervención mediante actuaciones técnicas, atención a PQRs, visitas de control, acompañamientos entre otras actividades del sector de fuentes fijas, operativos de medición de seguimiento y control ambiental de emisiones a vehículos que transitan en el Distrito, visitas técnicas de auditoria  a centros de diagnóstico automotor del Distrito Capital y la caracterización de procedimientos vigentes correspondientes al control y seguimiento de fuentes móviles, con esta información se adelanta la construcción del informe de acciones de evaluación, control y seguimiento a las fuentes fijas y móviles.</v>
      </c>
      <c r="I541" s="251"/>
    </row>
    <row r="542" spans="1:9" s="192" customFormat="1" ht="49.9" customHeight="1" outlineLevel="1" x14ac:dyDescent="0.25">
      <c r="A542" s="638"/>
      <c r="B542" s="185" t="s">
        <v>502</v>
      </c>
      <c r="C542" s="107" t="s">
        <v>499</v>
      </c>
      <c r="D542" s="209">
        <v>0.15</v>
      </c>
      <c r="E542" s="186">
        <v>362</v>
      </c>
      <c r="F542" s="186">
        <v>5</v>
      </c>
      <c r="G542" s="194">
        <f t="shared" ref="G542:G580" si="21">F542/E542</f>
        <v>1.3812154696132596E-2</v>
      </c>
      <c r="H542" s="190" t="str">
        <f t="shared" si="20"/>
        <v>En cumplimiento a la meta plan de desarrollo planteada para el periodo de julio  2020, el área técnica de ruido realizó cinco (5) visitas técnicas, de las cuales una (1), corresponde a visita efectiva con medición, cuatro (4) visitas no efectivas por presencia de piso húmedo y/o presencia de lloviznas, las cuales, son objeto de reprogramación (articulo 20° Resolución 0627 de 2006) y tres (3) actuaciones técnicas correspondientes a otros documentos, dos (2) Conceptos Técnicos Aclaratorios y un (1) Concepto de Favorabilidad SUGA.  La Meta del proyecto de Inversión presenta avance en el mes de Julio, toda vez que las acciones realizadas se ejecutaron al comienzo del mes de Julio con personal contratado vigente desde el mes de marzo de 2020 y aun en el Plan de Desarrollo BMPT.</v>
      </c>
      <c r="I542" s="251"/>
    </row>
    <row r="543" spans="1:9" s="192" customFormat="1" ht="49.9" customHeight="1" outlineLevel="1" x14ac:dyDescent="0.25">
      <c r="A543" s="638"/>
      <c r="B543" s="185" t="s">
        <v>503</v>
      </c>
      <c r="C543" s="107" t="s">
        <v>499</v>
      </c>
      <c r="D543" s="209">
        <v>0.15</v>
      </c>
      <c r="E543" s="210">
        <v>1</v>
      </c>
      <c r="F543" s="210">
        <v>1</v>
      </c>
      <c r="G543" s="194">
        <f t="shared" si="21"/>
        <v>1</v>
      </c>
      <c r="H543" s="190" t="str">
        <f t="shared" si="20"/>
        <v xml:space="preserve">Para el presente periodo, se programaron y realizaron visitas técnicas con la Empresa de Telecomunicaciones de Bogotá (ETB), para la instalación de tendido, configuración y puesta en marcha de servicio de internet por canal dedicado de las estaciones de la Red de Monitoreo de Ruido Ambiental de Bogotá (RMRAB) ubicadas en el CAI Berna, Jardín Botánico JCM, Cruz Roja Avenida 68, CAI Quirigua, CAI Las Ferias y CAI Normandía. 
Durante el presente periodo se diligencia y envía por correo electrónico matriz Inventario de equipos/ patrones/ material de referencia y programa de mantenimiento, calibración y verificación. </v>
      </c>
      <c r="I543" s="251"/>
    </row>
    <row r="544" spans="1:9" s="192" customFormat="1" ht="49.9" customHeight="1" outlineLevel="1" x14ac:dyDescent="0.25">
      <c r="A544" s="638"/>
      <c r="B544" s="185" t="s">
        <v>504</v>
      </c>
      <c r="C544" s="107" t="s">
        <v>499</v>
      </c>
      <c r="D544" s="209">
        <v>0.15</v>
      </c>
      <c r="E544" s="210">
        <v>234</v>
      </c>
      <c r="F544" s="211">
        <v>28</v>
      </c>
      <c r="G544" s="194">
        <f t="shared" si="21"/>
        <v>0.11965811965811966</v>
      </c>
      <c r="H544" s="190" t="str">
        <f t="shared" si="20"/>
        <v>Se realizaron las siguientes actividades en cumplimiento de la meta
- Siete (7) operativos (5 Op. de sensibilización y 2 Op. de Control) - 87 establecimientos
- Cinco (5) visitas a elementos mayores (vallas tubulares): (3 visitas de evaluación y 2 visitas de control y seguimiento)
- Un (1) documento técnico: 1 Concepto técnico 
- Quince (15) visitas a elementos menores
- Cero (0) actuaciones técnicas de evaluación de elementos de publicidad de la vigencia.
La Meta del proyecto de Inversión presenta avance en el mes de Julio, toda vez que las acciones realizadas se ejecutaron al comienzo del mes de Julio con personal contratado vigente desde el mes de marzo de 2020 y aun en el Plan de Desarrollo BMPT.</v>
      </c>
      <c r="I544" s="251"/>
    </row>
    <row r="545" spans="1:9" s="192" customFormat="1" ht="49.9" customHeight="1" outlineLevel="1" x14ac:dyDescent="0.25">
      <c r="A545" s="638"/>
      <c r="B545" s="185" t="s">
        <v>505</v>
      </c>
      <c r="C545" s="107" t="s">
        <v>499</v>
      </c>
      <c r="D545" s="209">
        <v>0.1</v>
      </c>
      <c r="E545" s="210">
        <v>1</v>
      </c>
      <c r="F545" s="210">
        <v>1</v>
      </c>
      <c r="G545" s="194">
        <f t="shared" si="21"/>
        <v>1</v>
      </c>
      <c r="H545" s="190" t="str">
        <f t="shared" si="20"/>
        <v>Durante julio, se atendió el 100% de los conceptos técnicos que recomendaron actuación administrativa sancionatoria, obteniendo el siguiente avance: 
Julio 2020:
N° de Conceptos Técnicos que recomiendan actuaciones administrativas sancionatorias: 13
N° de Conceptos Técnicos atendidos jurídicamente: 13
Total, avance meta julio 2020: 100 % 
Es importante aclarar que los avances en la magnitud de la meta están sujetos a la demanda de conceptos técnicos que genere el área técnica para ser acogidos jurídicamente; por lo tanto, el porcentaje de la magnitud programada es a 100% de conformidad con el volumen de conceptos recibidos durante el periodo.
La Meta del proyecto de Inversión presenta avance en el mes de Julio, toda vez que las actuaciones realizadas se ejecutaron al comienzo del mes de Julio con personal contratado vigente desde el mes de marzo de 2020 y aun en el Plan de Desarrollo BMPT.</v>
      </c>
      <c r="I545" s="251"/>
    </row>
    <row r="546" spans="1:9" s="192" customFormat="1" ht="49.9" customHeight="1" outlineLevel="1" x14ac:dyDescent="0.25">
      <c r="A546" s="637" t="s">
        <v>131</v>
      </c>
      <c r="B546" s="185" t="s">
        <v>498</v>
      </c>
      <c r="C546" s="107" t="s">
        <v>499</v>
      </c>
      <c r="D546" s="209">
        <v>0.15</v>
      </c>
      <c r="E546" s="186">
        <v>20</v>
      </c>
      <c r="F546" s="186">
        <v>20</v>
      </c>
      <c r="G546" s="194">
        <f t="shared" si="21"/>
        <v>1</v>
      </c>
      <c r="H546" s="190" t="str">
        <f t="shared" si="20"/>
        <v xml:space="preserve">"Para el mes de julio, se realizó los mantenimientos preventivos y correctivos, se realizó la validación diaria de los datos de concentraciones de contaminantes criterio y parámetros meteorológicos que monitorea la RMCAB, el reporte de operatividad para el mes fue del 95,1%. Se realizó el análisis de datos del mes de junio para plasmarlo en el informe de calidad del aire. Asimismo, en el mes de julio de 2020 se elaboró y publicó el informe mensual de junio.
Para el mes de agosto, se realizó los mantenimientos preventivos y correctivos, se realizó la validación diaria de los datos de concentraciones de contaminantes criterio y parámetros meteorológicos que monitorea la RMCAB, el reporte de operatividad para el mes fue del 93,2%. Se realizó el análisis de datos del mes de julio para plasmarlo en el informe de calidad del aire, el informe mensual de julio se publicará a más tardar el 14 de septiembre, debido a los retrasos generados por la reducción de la capacidad operativa del personal durante la primera mitad de agosto."
</v>
      </c>
      <c r="I546" s="251"/>
    </row>
    <row r="547" spans="1:9" s="192" customFormat="1" ht="49.9" customHeight="1" outlineLevel="1" x14ac:dyDescent="0.25">
      <c r="A547" s="638"/>
      <c r="B547" s="185" t="s">
        <v>500</v>
      </c>
      <c r="C547" s="107" t="s">
        <v>499</v>
      </c>
      <c r="D547" s="209">
        <v>0.15</v>
      </c>
      <c r="E547" s="210">
        <v>4</v>
      </c>
      <c r="F547" s="210">
        <v>0.90500000000000003</v>
      </c>
      <c r="G547" s="194">
        <f t="shared" si="21"/>
        <v>0.22625000000000001</v>
      </c>
      <c r="H547" s="190" t="str">
        <f t="shared" si="20"/>
        <v>En el marco de la gestión integral de la calidad del aire de Bogotá, se ha avanzado en la estructuración del contenido de 3 informes, los cuales son: 1. contenido en el cual se encuentra el cierre del PDDAB con los resultados respectivos de su implementación de 2010 a 2020, así como el contenido del plan estratégico para la gestión integral de la calidad del aire; 2. Definición del plan de trabajo con sus alcances teniendo en cuenta los 5 temas estratégicos definidos, avanzando en la concertación de las acciones relacionadas con las mesas de trabajo para la actualización del IBOCA y los lineamientos de protocolos de actuación con la mesa de expertos de calidad del aire, entre otras acciones relacionadas con la gestión de la calidad del aire; 3. Validación de datos e información de inventarios realizada para el Informe Anual de Calidad del Aire Año 2019, como estructura general del documento.</v>
      </c>
      <c r="I547" s="251"/>
    </row>
    <row r="548" spans="1:9" s="192" customFormat="1" ht="49.9" customHeight="1" outlineLevel="1" x14ac:dyDescent="0.25">
      <c r="A548" s="638"/>
      <c r="B548" s="185" t="s">
        <v>501</v>
      </c>
      <c r="C548" s="107" t="s">
        <v>499</v>
      </c>
      <c r="D548" s="209">
        <v>0.15</v>
      </c>
      <c r="E548" s="210">
        <v>1</v>
      </c>
      <c r="F548" s="210">
        <v>0.1</v>
      </c>
      <c r="G548" s="194">
        <f t="shared" si="21"/>
        <v>0.1</v>
      </c>
      <c r="H548" s="190" t="str">
        <f t="shared" si="20"/>
        <v>Con el fin de construir el informe correspondiente al segundo semestre de 2020, se realizó intervención mediante la generación de actuaciones técnicas, producto de las visitas de Inspección Vigilancia, Control y Monitoreo generadas de la atención a PQRs,  y el ejercicio misional propio de la Entidad, mediante operativos internos, e interinstitucionales, acompañamientos a monitoreo de Fuentes Fijas de combustión externa y Fuentes Fijas de emisión por proceso así como operativos de medición en vía a vehículos que transitan en el Distrito Capital como parte del seguimiento y control ambiental a fuentes móviles, visitas técnicas de auditoria a Centros de Diagnóstico Automotor CDA'S  y la caracterización de procedimientos vigentes correspondientes al control y seguimiento de fuentes móviles.
Con esta información se adelanta la construcción del informe de acciones de evaluación, control y seguimiento a las fuentes fijas y móviles en el cual se reporta el avance de las actividades que desarrolla cada grupo, el cual habla de los objetivos la operatividad del grupo y los programas de autogestión aplicados durante la vigencia  semestre II 2020 teniendo en cuenta el control a los factores de deterioro ambiental  en pro de aportar a la meta plan de desarrollo de reducir en un 10% como promedio ponderado ciudad, la concentración de material partículado pm10 y pm2.5, mediante la implementación del plan de gestión integral de la calidad de aire. Alcanzando un 0.33% de la meta de gestión.</v>
      </c>
      <c r="I548" s="251"/>
    </row>
    <row r="549" spans="1:9" s="192" customFormat="1" ht="49.9" customHeight="1" outlineLevel="1" x14ac:dyDescent="0.25">
      <c r="A549" s="638"/>
      <c r="B549" s="185" t="s">
        <v>502</v>
      </c>
      <c r="C549" s="107" t="s">
        <v>499</v>
      </c>
      <c r="D549" s="209">
        <v>0.15</v>
      </c>
      <c r="E549" s="186">
        <v>362</v>
      </c>
      <c r="F549" s="186">
        <v>1</v>
      </c>
      <c r="G549" s="194">
        <f t="shared" si="21"/>
        <v>2.7624309392265192E-3</v>
      </c>
      <c r="H549" s="190" t="str">
        <f t="shared" si="20"/>
        <v>En cumplimiento a la meta plan de desarrollo planteada para el periodo de julio  2020, el área técnica de ruido realizó cinco (5) visitas técnicas, de las cuales una (1), corresponde a visita efectiva con medición, cuatro (4) visitas no efectivas por presencia de piso húmedo y/o presencia de lloviznas, las cuales, son objeto de reprogramación (articulo 20° Resolución 0627 de 2006) y tres (3) actuaciones técnicas correspondientes a otros documentos, dos (2) Conceptos Técnicos Aclaratorios y un (1) Concepto de Favorabilidad SUGA.  
Agosto 2020, el área técnica de ruido realizó un total de 1 visita técnica, correspondientes a visita no efectiva, la cual es objeto de reprogramación. 6 actuaciones técnicas correspondientes a otros documentos así; 1 comunicación oficial externa sin visita para finalizar el caso, 1 oficio relacionado con una petición en el marco del SUGA, 1 presentación en ppt para una socialización a realizar en la Cámara de Comercio de Bogotá y 3 documentos técnicos relacionados con informes mensuales de las Acciones Populares que cursan en materia de ruido para un sector de las localidades de Bosa, Antonio Nariño y Teusaquillo. 
Así, el acumulado para el II semestre del 2020 es de: 6 visitas técnicas; 1 visita efectiva con medición, 5 visitas no efectivas objeto de reprogramación. 9 actuaciones técnicas correspondientes a otros documentos, dos 2 conceptos técnicos aclaratorios, dos 2 documentos relacionados con SUGA, 1 comunicación oficial externa para finalizar caso de presunta afectación por emisión de ruido, 1 presentación técnica enviada, vía correo electrónico, dirigida a la Cámara de Comercio de Bogotá y 3 informes mensuales para las Acciones Populares mencionadas previamente.</v>
      </c>
      <c r="I549" s="251"/>
    </row>
    <row r="550" spans="1:9" s="192" customFormat="1" ht="49.9" customHeight="1" outlineLevel="1" x14ac:dyDescent="0.25">
      <c r="A550" s="638"/>
      <c r="B550" s="185" t="s">
        <v>503</v>
      </c>
      <c r="C550" s="107" t="s">
        <v>499</v>
      </c>
      <c r="D550" s="209">
        <v>0.15</v>
      </c>
      <c r="E550" s="210">
        <v>1</v>
      </c>
      <c r="F550" s="212">
        <v>1</v>
      </c>
      <c r="G550" s="194">
        <f t="shared" si="21"/>
        <v>1</v>
      </c>
      <c r="H550" s="190" t="str">
        <f t="shared" si="20"/>
        <v>Para el presente periodo, se programaron y realizaron visitas técnicas con la Empresa de Telecomunicaciones de Bogotá (ETB), para la instalación de tendido, configuración y puesta en marcha de servicio de internet por canal dedicado de las estaciones de la Red de Monitoreo de Ruido Ambiental de Bogotá (RMRAB) ubicadas en el CAI Las Ferias, CAI Quirigua y CAI Normandía. 
Asimismo, se participó en las reuniones de seguimiento programadas por los profesionales del laboratorio ambiental de la SDA – LABCIMAB, en donde se programa la presentación de plan de capacitaciones, proyección de matriz de equipos activos, cartas control y demás documentos necesarios para la acreditación en la matriz aire – ruido – ruido ambiental ante el IDEAM.</v>
      </c>
      <c r="I550" s="251"/>
    </row>
    <row r="551" spans="1:9" s="192" customFormat="1" ht="49.9" customHeight="1" outlineLevel="1" x14ac:dyDescent="0.25">
      <c r="A551" s="638"/>
      <c r="B551" s="185" t="s">
        <v>504</v>
      </c>
      <c r="C551" s="107" t="s">
        <v>499</v>
      </c>
      <c r="D551" s="209">
        <v>0.15</v>
      </c>
      <c r="E551" s="211">
        <v>234</v>
      </c>
      <c r="F551" s="211">
        <v>18</v>
      </c>
      <c r="G551" s="194">
        <f t="shared" si="21"/>
        <v>7.6923076923076927E-2</v>
      </c>
      <c r="H551" s="190" t="str">
        <f t="shared" si="20"/>
        <v>Para la vigencia del Proyecto de Inversión se han realizado (46) acciones de evaluación, control y seguimiento:
            Trece (13) operativos de control y seguimiento, Nueve (09) visitas a elementos mayores, Un (1) documento técnico, Veintitrés (23)  visitas a elementos menores.
JULIO: Se realizaron veintiocho (28) actividades en cumplimiento de la meta
- Siete (7) operativos (5 Op. de sensibilización y 2 Op. de Control) - 87 establecimientos
- Cinco (5) visitas a elementos mayores (vallas tubulares)
- Un (1) documento técnico: 1 Concepto técnico 
- Quince (15) visitas a elementos menores
AGOSTO: se realizaron dieciocho (18) acciones en cumplimiento de la meta
- Seis (06) operativos (03 Op. de control y 03 Op. de sensibilización) - 45 establecimientos.
- Cuatro (04) visitas a elementos mayores (vallas tubulares).
- Ocho (08) visitas a elementos menores de PEV.
Nota: La información de evaluación a elementos de Publicidad Exterior Visual se reporta trimestralmente</v>
      </c>
      <c r="I551" s="251"/>
    </row>
    <row r="552" spans="1:9" s="192" customFormat="1" ht="49.9" customHeight="1" outlineLevel="1" x14ac:dyDescent="0.25">
      <c r="A552" s="638"/>
      <c r="B552" s="185" t="s">
        <v>505</v>
      </c>
      <c r="C552" s="107" t="s">
        <v>499</v>
      </c>
      <c r="D552" s="209">
        <v>0.1</v>
      </c>
      <c r="E552" s="210">
        <v>1</v>
      </c>
      <c r="F552" s="212">
        <v>1</v>
      </c>
      <c r="G552" s="194">
        <f t="shared" si="21"/>
        <v>1</v>
      </c>
      <c r="H552" s="190" t="str">
        <f t="shared" si="20"/>
        <v>Para el cumplimiento de las regulaciones asociadas al control de los factores de deterioro de calidad del aire, acústica y visual del Distrito Capital, la Secretaría Distrital de Ambiente durante el mes de Agosto atendió el 100% de los conceptos técnicos que recomiendan una actuación administrativa sancionatoria, obteniendo el siguiente avance: 
Agosto 2020 
N° de Conceptos Técnicos que recomiendan actuaciones administrativas sancionatorias: 13 (Conceptos Técnicos No 6572, 7991, 569, 6322, 13400, 8356, 1360, 8126, 8784, 4927, 7458, 11323, 2092).  
N° de Conceptos Técnicos atendidos jurídicamente: 13 (AUTO N. AUTO DCA-02819-AUTO DCA-02820-AUTO DCA-02821-AUTO DCA-02822-AUTO DCA-02824-AUTO DCA-02861-AUTO DCA-02869-AUTO DCA 02878
AUTO DCA-02882-AUTO DCA-02883-AUTO DCA-02902-AUTO DCA-02903-AUTO DCA-02904)
Total, avance meta Agosto 2020: 100 % 
Por último, es importante tener presente que los avances en la magnitud de la meta están sujetos a la demanda de conceptos técnicos que remitan las áreas para ser acogidos jurídicamente; por lo tanto, el porcentaje de la magnitud programada corresponde al 100%.</v>
      </c>
      <c r="I552" s="251"/>
    </row>
    <row r="553" spans="1:9" s="192" customFormat="1" ht="49.9" customHeight="1" outlineLevel="1" x14ac:dyDescent="0.25">
      <c r="A553" s="637" t="s">
        <v>132</v>
      </c>
      <c r="B553" s="185" t="s">
        <v>498</v>
      </c>
      <c r="C553" s="107" t="s">
        <v>499</v>
      </c>
      <c r="D553" s="209">
        <v>0.15</v>
      </c>
      <c r="E553" s="186">
        <v>20</v>
      </c>
      <c r="F553" s="186">
        <v>20</v>
      </c>
      <c r="G553" s="194">
        <f t="shared" si="21"/>
        <v>1</v>
      </c>
      <c r="H553" s="190" t="str">
        <f t="shared" si="20"/>
        <v>Para el mes de septiembre el porcentaje de cumplimiento para este indicador es del 100%, basado en: se realizó el reporte de los mantenimientos preventivos y correctivos que se realizaron en el mes, se realizó la validación diaria de los datos de concentraciones de contaminantes criterio y parámetros meteorológicos que monitorea la RMCAB, el reporte de operatividad para el mes de septiembre fue del 95,7%. (el cual es promedio de los datos validos de todos los parámetros de la red  que se genera a través del software Envista).
Se realizó el análisis de datos del mes de agosto de 2020 y del Trimestre abr-jun 2020. Asimismo, el equipo de la RMCAB en el mes de septiembre elaboró y publicó el informe mensual de agosto y el informe Trimestral abr-jun 2020, adicionalmente se publico el informe mensual de julio que estaba retrasado. Se mantiene el proceso de validación de los datos generados por las nuevas estaciones y los equipos, se solicito la activación de las estaciones nuevas (El Jazmín, Usme y Bosa) en el Envista Web. 
De acuerdo con la tipología constante de la meta se presenta un avance acumulado del 100% para la vigencia.</v>
      </c>
      <c r="I553" s="251"/>
    </row>
    <row r="554" spans="1:9" s="192" customFormat="1" ht="49.9" customHeight="1" outlineLevel="1" x14ac:dyDescent="0.25">
      <c r="A554" s="638"/>
      <c r="B554" s="185" t="s">
        <v>500</v>
      </c>
      <c r="C554" s="107" t="s">
        <v>499</v>
      </c>
      <c r="D554" s="209">
        <v>0.15</v>
      </c>
      <c r="E554" s="210">
        <v>4</v>
      </c>
      <c r="F554" s="210">
        <v>0.9</v>
      </c>
      <c r="G554" s="194">
        <f t="shared" si="21"/>
        <v>0.22500000000000001</v>
      </c>
      <c r="H554" s="190" t="str">
        <f t="shared" si="20"/>
        <v>En el marco de la gestión integral de la calidad del aire de Bogotá, durante la vigencia en el Proyecto de Inversión se ha avanzado en la estructuración del contenido de 3 informes, los cuales son: 
1. Avance en el desarrollo del documento técnico el cual contiene los resultados y se evidencian las acciones realizadas en el marco del PDDAB de 2010 a 2019 con los indicadores de seguimiento, resultados de las medidas optimas y medidas complementarias. 
2. El documento con las metodologías utilizadas para la estimación de los inventarios de emisión que contemplan enfoques Top-Down y Bottom-Up. Mientras que el primer enfoque utiliza información en un rango de tiempo y zona específica (lo cual es ideal para tener un panorama general del estado de las emisiones a nivel ciudad); el segundo permite desagregar temporal y espacialmente las emisiones, útil para ejercicios de modelación detallada de la calidad del aire.  
3. El documento técnico que recopila las acciones orientados a la definición de los protocolos de actuaciones de alertas ambientales, adelantando además las etapas para la definición y adopción del nuevo IBOCA de acuerdo con lo estipulado por la Resolución 2254 de 2017, adicionalmente se ha nutrido diferentes espacios de gobernanza con temas de articulación entre la SDS y SDA, así como instancia de participación con mesas de expertos, entre otros.
Se presenta un avance acumulado del 25% de la meta para la vigencia 2020. Y del 3,45% para el Cuatrienio.</v>
      </c>
      <c r="I554" s="251"/>
    </row>
    <row r="555" spans="1:9" s="192" customFormat="1" ht="49.9" customHeight="1" outlineLevel="1" x14ac:dyDescent="0.25">
      <c r="A555" s="638"/>
      <c r="B555" s="185" t="s">
        <v>501</v>
      </c>
      <c r="C555" s="107" t="s">
        <v>499</v>
      </c>
      <c r="D555" s="209">
        <v>0.15</v>
      </c>
      <c r="E555" s="210">
        <v>1</v>
      </c>
      <c r="F555" s="210">
        <v>0.01</v>
      </c>
      <c r="G555" s="194">
        <f t="shared" si="21"/>
        <v>0.01</v>
      </c>
      <c r="H555" s="190" t="str">
        <f t="shared" si="20"/>
        <v>A este corte, se ha avanzado un 0.34% del informe programado en la vigencia, basado en las actividades de recolección de la información de las acciones de seguimiento y control de los grupos de fuentes fijas y fuentes móviles. Este documento  contendrá la presentación del estado del arte de los grupos competentes, descripción de la metodología desarrollada en las acciones de evaluación, seguimiento, control y monitoreo realizadas, con la cual se podrá determinar la toma de decisiones a nivel jurídico y la formulación de proyectos en el marco de la disminución los índices de contaminación ambiental.</v>
      </c>
      <c r="I555" s="251"/>
    </row>
    <row r="556" spans="1:9" s="192" customFormat="1" ht="49.9" customHeight="1" outlineLevel="1" x14ac:dyDescent="0.25">
      <c r="A556" s="638"/>
      <c r="B556" s="185" t="s">
        <v>502</v>
      </c>
      <c r="C556" s="107" t="s">
        <v>499</v>
      </c>
      <c r="D556" s="209">
        <v>0.15</v>
      </c>
      <c r="E556" s="186">
        <v>362</v>
      </c>
      <c r="F556" s="186">
        <v>65</v>
      </c>
      <c r="G556" s="194">
        <f t="shared" si="21"/>
        <v>0.17955801104972377</v>
      </c>
      <c r="H556" s="190" t="str">
        <f t="shared" si="20"/>
        <v>A 30 de septiembre, se han realizado 120 acciones, equivalentes a: 71 visitas técnicas (8 visitas efectivas con medición, 44 visitas efectivas para cerrar el caso y 19 visitas no efectivas objeto de reprogramación), así como 49 actuaciones técnicas de otros documentos (2 conceptos técnicos aclaratorios, 1 comunicación oficial externa para finalizar caso de presunta afectación por emisión de ruido, 1 presentación técnica enviada, dirigida a la Cámara de Comercio de Bogotá, 15 oficios SUGA, 6 Informes de acciones populares, 1 evaluación de estudio de ruido, 2 participaciones WEBINAR MADS, 19 capacitaciones a los gestores de la OPEL, 1 Socialización a la CAL Mártires, 1 informe para la CAL de Tunjuelito).
Acumulado de 120 equivalente al 28,17% de avance en la vigencia.</v>
      </c>
      <c r="I556" s="251"/>
    </row>
    <row r="557" spans="1:9" s="192" customFormat="1" ht="49.9" customHeight="1" outlineLevel="1" x14ac:dyDescent="0.25">
      <c r="A557" s="638"/>
      <c r="B557" s="185" t="s">
        <v>503</v>
      </c>
      <c r="C557" s="107" t="s">
        <v>499</v>
      </c>
      <c r="D557" s="209">
        <v>0.15</v>
      </c>
      <c r="E557" s="210">
        <v>1</v>
      </c>
      <c r="F557" s="212">
        <v>1</v>
      </c>
      <c r="G557" s="194">
        <f t="shared" si="21"/>
        <v>1</v>
      </c>
      <c r="H557" s="190" t="str">
        <f t="shared" si="20"/>
        <v>A este corte, se presenta un avance del 100%, que equivalen a: 1) Visitas técnicas de evaluación de daños a 11 de las estaciones de monitoreo de ruido ambiental que se vieron involucradas en los desmanes ocurridos en los CAI, los días 09 y 10 de septiembre de 2020, y 2) Visitas de mantenimiento preventivo a 20 de las estaciones que componen el sistema. (En caso que se tengan las cantidades de visitas, por favor enunciarlas).</v>
      </c>
      <c r="I557" s="251"/>
    </row>
    <row r="558" spans="1:9" s="192" customFormat="1" ht="49.9" customHeight="1" outlineLevel="1" x14ac:dyDescent="0.25">
      <c r="A558" s="638"/>
      <c r="B558" s="185" t="s">
        <v>504</v>
      </c>
      <c r="C558" s="107" t="s">
        <v>499</v>
      </c>
      <c r="D558" s="209">
        <v>0.15</v>
      </c>
      <c r="E558" s="210">
        <v>234</v>
      </c>
      <c r="F558" s="211">
        <v>146</v>
      </c>
      <c r="G558" s="194">
        <f t="shared" si="21"/>
        <v>0.62393162393162394</v>
      </c>
      <c r="H558" s="190" t="str">
        <f t="shared" si="20"/>
        <v>Para la vigencia del Proyecto de Inversión se han realizado (192) acciones de evaluación, control y seguimiento:
- Veintiocho (28) operativos de control y seguimiento
- Cincuenta y tres (53) visitas a elementos mayores
- Dos (02) documentos técnicos
- Un (01) cargue de información a la plataforma SIIPEV.
- Cincuenta y cinco (55) evaluaciones a solicitudes de elementos de publicidad exterior visual.
- Cincuenta y tres (53) visitas a elementos menores.
Correspondiente a un avance en la meta para la vigencia del 82,05%, y un avance en la meta del cuatrienio del 4,8%.</v>
      </c>
      <c r="I558" s="251"/>
    </row>
    <row r="559" spans="1:9" s="192" customFormat="1" ht="49.9" customHeight="1" outlineLevel="1" x14ac:dyDescent="0.25">
      <c r="A559" s="638"/>
      <c r="B559" s="185" t="s">
        <v>505</v>
      </c>
      <c r="C559" s="107" t="s">
        <v>499</v>
      </c>
      <c r="D559" s="209">
        <v>0.1</v>
      </c>
      <c r="E559" s="210">
        <v>1</v>
      </c>
      <c r="F559" s="212">
        <v>1</v>
      </c>
      <c r="G559" s="194">
        <f t="shared" si="21"/>
        <v>1</v>
      </c>
      <c r="H559" s="190" t="str">
        <f t="shared" si="20"/>
        <v>Para el cumplimiento de las regulaciones asociadas al control de los factores de deterioro de calidad del Aire, Auditiva y Visual del Distrito Capital, la Secretaría Distrital de Ambiente durante el trimestre, se atendió el 100% de los conceptos técnicos que recomiendan una actuación Administrativa Sancionatoria, obteniendo el siguiente avance: 
•	N° de Conceptos Técnicos que recomiendan actuaciones administrativas sancionatorias: 146 
•	N° de Conceptos Técnicos atendidos jurídicamente: 146
Por último, es importante tener presente que los avances en la magnitud de la meta están sujetos a la demanda de conceptos técnicos que remitan las áreas para ser acogidos jurídicamente.</v>
      </c>
      <c r="I559" s="251"/>
    </row>
    <row r="560" spans="1:9" s="192" customFormat="1" ht="49.9" customHeight="1" outlineLevel="1" x14ac:dyDescent="0.25">
      <c r="A560" s="583" t="s">
        <v>133</v>
      </c>
      <c r="B560" s="185" t="s">
        <v>498</v>
      </c>
      <c r="C560" s="107" t="s">
        <v>499</v>
      </c>
      <c r="D560" s="194">
        <v>0.15</v>
      </c>
      <c r="E560" s="186">
        <v>20</v>
      </c>
      <c r="F560" s="186">
        <v>20</v>
      </c>
      <c r="G560" s="194">
        <f t="shared" si="21"/>
        <v>1</v>
      </c>
      <c r="H560" s="190" t="str">
        <f t="shared" si="20"/>
        <v>Durante la ejecución 2021, se han realizado mantenimientos preventivos y correctivos, validación y análisis de datos, diaria de las concentraciones de contaminantes criterio y parámetros meteorológicos que monitorea la RMCAB incluyendo nuevas estaciones en la red (Bolivia, Usme, Ciudad Bolívar, Bosa, Jazmín, Colina y Móvil Fontibón), así como sus respectivos informes. Además, se realizó la validación diaria de los datos de concentraciones de contaminantes criterio y parámetros meteorológicos que monitorea la red en las estaciones antiguas. Se mantuvo el plan de prueba de sensores de bajo costo.
Se realizó el análisis de datos del mes de marzo de 2021. 
Como parte del proceso de colaboración entre la Red de Monitoreo de Calidad del Aire de Bogotá – RMCAB y los diferentes actores en el establecimiento de esta red colaborativa de sensores de bajo costo se mantuvo la operación de los sensores instalados en la estación de Las ferias por parte del Colectivo CanAir.io, La Universidad Central y La Universidad Nacional. Adicionalmente, se mantiene en operación los sensores de bajo costo del Colectivo CanAir.io en la estación Kennedy y en la estación del Tunal.
Para el mes de Abril se realizó el análisis de datos del mes de marzo de 2021. Asimismo, el equipo de la RMCAB en el mes de abril publicó los informes de diciembre 2020, enero, febrero 2021 y el informe trimestral oct-dic 2020 que estaba retrasado y se avanzo en la elaboración del informe de marzo de 2021.</v>
      </c>
      <c r="I560" s="251"/>
    </row>
    <row r="561" spans="1:9" s="192" customFormat="1" ht="49.9" customHeight="1" outlineLevel="1" x14ac:dyDescent="0.25">
      <c r="A561" s="583"/>
      <c r="B561" s="185" t="s">
        <v>500</v>
      </c>
      <c r="C561" s="107" t="s">
        <v>499</v>
      </c>
      <c r="D561" s="194">
        <v>0.15</v>
      </c>
      <c r="E561" s="210">
        <v>4</v>
      </c>
      <c r="F561" s="210">
        <v>1</v>
      </c>
      <c r="G561" s="194">
        <f t="shared" si="21"/>
        <v>0.25</v>
      </c>
      <c r="H561" s="190" t="str">
        <f t="shared" si="20"/>
        <v>En el marco de la gestión integral de la calidad del aire de Bogotá, hasta la fecha se ha venido trabajando en el desarrollo de 3 documentos técnicos, los cuales son: 
1.	Revisión y ajuste al documento técnico de Plan Aire, así mismo, su envió a las diferentes secretarias firmantes para su respectiva revisión y firma del Decreto Distrital del Plan Aire y posteriormente, remisión del documento técnico, anexos y Decreto del Plan aire a la alcaldía mayor de Bogotá.
2.	Suscripción entre la SDA y SDS de la Resolución por la cual se establece el nuevo “Índice Bogotano de Calidad del Aire y Riesgo en salud - IBOCA- para la gestión conjunta del riesgo de deterioro del ambiente y de salud humana”. Así mismo, en relación con el Plan de Contingencia y Emergencia Distrital por contaminación atmosférica para la atención de eventos por contaminación atmosférica fue remitido para su revisión al IDIGER.
3.	Adición de los resultados gráficos de modelación y calidad del aire al primer informe de modelación, de igual manera, se han enlistado las posibilidades de mejoras del Sistema Integrado de Modelación de Calidad de Aire.
Este avance de uno (1,6) en términos numéricos, corresponde a:
•	Enero 0,2.
•	Febrero 0,25.
•	Marzo 0,55 
•	Abril 0,60; de avance en el Informe de gestión de la vigencia 2021.</v>
      </c>
      <c r="I561" s="251"/>
    </row>
    <row r="562" spans="1:9" s="192" customFormat="1" ht="49.9" customHeight="1" outlineLevel="1" x14ac:dyDescent="0.25">
      <c r="A562" s="583"/>
      <c r="B562" s="185" t="s">
        <v>501</v>
      </c>
      <c r="C562" s="107" t="s">
        <v>499</v>
      </c>
      <c r="D562" s="194">
        <v>0.15</v>
      </c>
      <c r="E562" s="210">
        <v>1</v>
      </c>
      <c r="F562" s="210">
        <v>0.16819999999999999</v>
      </c>
      <c r="G562" s="194">
        <f t="shared" si="21"/>
        <v>0.16819999999999999</v>
      </c>
      <c r="H562" s="190" t="str">
        <f t="shared" si="20"/>
        <v>En el cumplimiento del (01) informes de gestión programados para la vigencia 2021; se ha alcanzado un avance acumulado en la ejecución de la meta del 0,51, equivalente a un 51% respecto a lo programado. 
Este avance está basado en las actividades de recolección de información de las acciones de evaluación, control y seguimiento de los grupos de fuentes fijas y fuentes móviles. También en la intervención mediante actuaciones técnicas, visitas de control y seguimiento, acompañamientos, monitoreos, operativos de medición en vía a vehículos que transitan en el Distrito Capital, visitas técnicas de auditoria a Centros de Diagnóstico Automotor CDA'S, con esta información se construyó el informe de acciones de evaluación, control y seguimiento a las fuentes de emisión.
El avance acumulado se registra, así:
•	Enero 0,15, de avance en la ejecución de la meta.
•	Febrero 0,11, de avance en la ejecución de la meta.
•	Marzo 0,10, de avance en la ejecución de la meta.
•Abril 0,15, de avance en la ejecución de la meta.</v>
      </c>
      <c r="I562" s="251"/>
    </row>
    <row r="563" spans="1:9" s="192" customFormat="1" ht="49.9" customHeight="1" outlineLevel="1" x14ac:dyDescent="0.25">
      <c r="A563" s="583"/>
      <c r="B563" s="185" t="s">
        <v>502</v>
      </c>
      <c r="C563" s="107" t="s">
        <v>499</v>
      </c>
      <c r="D563" s="194">
        <v>0.15</v>
      </c>
      <c r="E563" s="186">
        <v>362</v>
      </c>
      <c r="F563" s="186">
        <v>120</v>
      </c>
      <c r="G563" s="194">
        <f t="shared" si="21"/>
        <v>0.33149171270718231</v>
      </c>
      <c r="H563" s="190" t="str">
        <f t="shared" si="20"/>
        <v>Para la vigencia 2021, se han desarrollado 272 actuaciones técnicas que corresponde a un 30,46% respecto a lo programado, y a su vez, un avance del 16,23% durante el cuatrienio.
Este avance del 2021, se conforma de 205 visitas (25 efectivas con medición, 22 efectivas sin medición en cumplimiento a actos administrativos, 97 efectivas para cerrar el caso, 61 no efectivas para reprogramar) y 67 actuaciones técnicas correspondientes a otros documentos (8 informes de acciones populares, para las localidades de Antonio Nariño, Bosa y Teusaquillo, 1 concepto técnico aclaratorio, 52 oficios SUGA, 6 participaciones en reuniones interinstitucionales).</v>
      </c>
      <c r="I563" s="251"/>
    </row>
    <row r="564" spans="1:9" s="192" customFormat="1" ht="49.9" customHeight="1" outlineLevel="1" x14ac:dyDescent="0.25">
      <c r="A564" s="583"/>
      <c r="B564" s="185" t="s">
        <v>503</v>
      </c>
      <c r="C564" s="107" t="s">
        <v>499</v>
      </c>
      <c r="D564" s="194">
        <v>0.15</v>
      </c>
      <c r="E564" s="210">
        <v>1</v>
      </c>
      <c r="F564" s="210">
        <v>1</v>
      </c>
      <c r="G564" s="194">
        <f t="shared" si="21"/>
        <v>1</v>
      </c>
      <c r="H564" s="190" t="str">
        <f t="shared" si="20"/>
        <v>La meta presenta un avance del 100% para la vigencia, que corresponde a:
 *Enero 2021, se proyecta el informe relacionado con la operación de la Red de Monitoreo de Ruido Ambiental de Bogotá (RMRAB), en la cual, se reportan principalmente la realización de las actividades acreditación del procedimiento de monitoreo de ruido ambiental ante el IDEAM, actividades de soporte y mantenimiento realizado a las estaciones de monitoreo de ruido, espacialización de datos de emisión de ruido Colector - ESRI y se presentó el procedimiento interno de manejo de PQR´s a la secretaria de salud.
*Febrero: actividades, de soporte y mantenimiento realizado a las estaciones de monitoreo de ruido, y el avance en el proceso de instalación de las estaciones de la RMRAB afectadas durante protestas. contratación del personal para a la operación de la RMRAB.
*Marzo: Se genera informe de avance semestral del mes de marzo relacionado con la operación de la Red de Monitoreo de Ruido Ambiental de Bogotá (RMRAB) durante el primer trimestre del 2021 en la cual se reportan principalmente la realización de las actividades de soporte y mantenimiento realizado a las estaciones de monitoreo de ruido y el avance en el proceso de instalación de las estaciones de la RMRAB afectadas durante protestas, además se realizaron los estudios previos para la renovación de los contratos de arrendamiento y se realizó el análisis técnico de los datos reportados en el mes de enero en el visor WEB MAIGRAI, solicitudes de cotización pata la compra de software y solicitudes de cotizaciones para la calibración de equipos.   
                                                                                                                                                                                                                                          * Abril:  Se genera informe de avance semestral del mes de abril relacionado con la operación de la Red de Monitoreo de Ruido Ambiental de Bogotá (RMRAB) durante los cuatro primeros meses del 2021 en la cual se reportan principalmente la realización de las   actividades de soporte y mantenimiento  realizado a las estaciones de monitoreo de ruido y la instalación de las 10 estaciones de la RMRAB afectadas durante protestas, además se firmaron los estudios previos para la renovación de los contratos de arrendamiento y se realizó el análisis técnico de los datos reportados en el mes de enero en el visor MAIGRAI, e avanzo en la realización del estudio previo para la compra de un software de modelación acústica.</v>
      </c>
      <c r="I564" s="251"/>
    </row>
    <row r="565" spans="1:9" s="192" customFormat="1" ht="49.9" customHeight="1" outlineLevel="1" x14ac:dyDescent="0.25">
      <c r="A565" s="583"/>
      <c r="B565" s="185" t="s">
        <v>504</v>
      </c>
      <c r="C565" s="107" t="s">
        <v>499</v>
      </c>
      <c r="D565" s="194">
        <v>0.15</v>
      </c>
      <c r="E565" s="210">
        <v>234</v>
      </c>
      <c r="F565" s="210">
        <v>37</v>
      </c>
      <c r="G565" s="194">
        <f t="shared" si="21"/>
        <v>0.15811965811965811</v>
      </c>
      <c r="H565" s="190" t="str">
        <f t="shared" si="20"/>
        <v>Para la vigencia del Proyecto de Inversión del año 2021 se han realizado mil setecientas setenta y cuatro (1.501) acciones de evaluación, control y seguimiento:
Quince (15) operativos de control.
Cuarenta y ocho (48) visitas de evaluación a elementos mayores.
Uno (01) cargue de información a la plataforma SIIPEV.
Mil cuatrocientos treinta y siete(1.437) evaluaciones a solicitudes de elementos de publicidad exterior visual.
Lo anterior, dando un avance para el cuatrienio de (2.793)  acciones de evaluación, control y seguimiento 70 operativos de control y seguimiento,145 visitas a elementos mayores, 03 documentos técnicos, 05 cargues de información a la plataforma SIIPEV, 54 visitas a elementos menores, 2.516 evaluaciones a solicitudes de elementos de publicidad exterior visual.</v>
      </c>
      <c r="I565" s="251"/>
    </row>
    <row r="566" spans="1:9" s="192" customFormat="1" ht="49.9" customHeight="1" outlineLevel="1" x14ac:dyDescent="0.25">
      <c r="A566" s="583"/>
      <c r="B566" s="185" t="s">
        <v>505</v>
      </c>
      <c r="C566" s="107" t="s">
        <v>499</v>
      </c>
      <c r="D566" s="194">
        <v>0.1</v>
      </c>
      <c r="E566" s="210">
        <v>1</v>
      </c>
      <c r="F566" s="210">
        <v>1</v>
      </c>
      <c r="G566" s="194">
        <f t="shared" si="21"/>
        <v>1</v>
      </c>
      <c r="H566" s="190" t="str">
        <f t="shared" si="20"/>
        <v>La Secretaría Distrital de Ambiente del 01 de enero al 30 de abril de 2021 en ejercicio de su función sancionatoria acogió el 64% de los conceptos técnicos relacionados con el recurso ambiental aire, auditiva y visual y que recomiendan una actuación administrativa sancionatoria, como se relaciona a continuación: 
No de Conceptos Técnicos que recomiendan actuaciones administrativas sancionatorias: 108 Conceptos Técnicos.
No de Conceptos Técnicos atendidos jurídicamente: 69 Conceptos Técnicos acogidos
Avance total corte 30 de abril de 2021: 64%</v>
      </c>
      <c r="I566" s="251"/>
    </row>
    <row r="567" spans="1:9" s="192" customFormat="1" ht="49.9" customHeight="1" outlineLevel="1" x14ac:dyDescent="0.25">
      <c r="A567" s="613" t="s">
        <v>134</v>
      </c>
      <c r="B567" s="185" t="s">
        <v>498</v>
      </c>
      <c r="C567" s="107" t="s">
        <v>499</v>
      </c>
      <c r="D567" s="194">
        <v>0.15</v>
      </c>
      <c r="E567" s="186">
        <v>20</v>
      </c>
      <c r="F567" s="186">
        <v>20</v>
      </c>
      <c r="G567" s="194">
        <f t="shared" si="21"/>
        <v>1</v>
      </c>
      <c r="H567" s="193" t="str">
        <f t="shared" si="20"/>
        <v>De acuerdo con la tipología constante de la meta se presenta un avance acumulado del 100% para la vigencia 2020.  Se realizaron mantenimientos preventivos y correctivos, validación y análisis de datos, incluyendo nuevas estaciones en la RMCAB (Bolivia, Usme, Ciudad Bolívar, Bosa, Jazmín) se trabajó en integración SDA-CAR y en plan de prueba de sensores de bajo costo.
Para el mes de noviembre el porcentaje de cumplimiento para este indicador es del 98%, se realizó el reporte de los mantenimientos preventivos y correctivos que se realizaron en el mes, se realizó la validación diaria de los datos de concentraciones de contaminantes criterio y parámetros meteorológicos que monitorea la RMCAB, el reporte de operatividad para el mes de noviembre fue del 96,4%  el cual es promedio de los datos validos de todos los parámetros de la red  que se genera a través del software Envista. Se realizó el análisis de datos del mes de octubre de 2020. Asimismo, el equipo de la RMCAB en el mes de noviembre elaboró el informe mensual de octubre y lo publicó el 02 de diciembre. Se mantiene el proceso de validación de los datos generados por las nuevas estaciones y los equipos.
Avance acumulado en la ejecución de la meta 100%.</v>
      </c>
      <c r="I567" s="251"/>
    </row>
    <row r="568" spans="1:9" s="192" customFormat="1" ht="49.9" customHeight="1" outlineLevel="1" x14ac:dyDescent="0.25">
      <c r="A568" s="613"/>
      <c r="B568" s="185" t="s">
        <v>500</v>
      </c>
      <c r="C568" s="107" t="s">
        <v>499</v>
      </c>
      <c r="D568" s="194">
        <v>0.15</v>
      </c>
      <c r="E568" s="210">
        <v>4</v>
      </c>
      <c r="F568" s="210">
        <v>1</v>
      </c>
      <c r="G568" s="194">
        <f t="shared" si="21"/>
        <v>0.25</v>
      </c>
      <c r="H568" s="193" t="str">
        <f t="shared" si="20"/>
        <v>En el segundo semestre de 2020, con respecto a lo programado de la meta se tiene un avance del 75%, correspondiendo a 3 documentos técnicos para que al final del año se entreguen los 4 documentos totales, Con respecto al cuatrienio hay un avance del 10,3%, la descripción de las actividades realizadas para el mes de noviembre a continuación:
1.	se procedió a realizar la consolidación de la información de resultados logrados para cada uno de los proyectos, teniendo en cuenta el periodo de implementación definido para cada uno de estos en el marco de las reuniones y concertaciones realizadas, logrando capturar y consolidar la información y datos de los indicadores de resultados y gestión, específicamente lo relacionado con las estrategias sectoriales, ya que las mismas con identificadas como los sectores y fuentes que aportan en mayor proporción a las emisiones de material partículado en la ciudad.
Seguido, se realizó la descripción de la metodología de seguimiento y evaluación a cada uno de los proyectos, mencionada metodología será enfocada a aquellos proyectos que se encuentren en implementación, y mediante el cual se obtienen los resultados respectivos
2.	se realizó la consolidación de la información faltante del documento, en especial en los resultados de resuspendido, en donde se realiza el cálculo de las emisiones de este para el año 2018 y en el documento se realiza la explicación de este cálculo y los resultados encontrados para este año y sus impactos en la calidad de aire. Adicionalmente se realizan correcciones enviadas por el profesional a cargo de la revisión del documento para posteriormente ordenar el documento para la presentación del mes actual. En este documento las secciones que tendrá ejecución para el siguiente mes serán el resumen ejecutivo, conclusiones, y estética del documento, para su presentación final. 
3.	en el marco de la actualización normativa del IBOCA, se busca la armonización con la normatividad nacional, sin dejar a un lado el papel central en la gestión del riesgo que tiene este indicador. Con base en las discusiones y análisis adelantados entre la SDA y la SDS, se avanzó en el borrador del Documento Técnico de Soporte para la primera etapa de modificación normativa del IBOCA. Este documento se desarrolla con base en las justificaciones conceptuales, técnicas y jurídicas del borrador del articulado. En este documento se debe incluir el análisis retrospectivo de los nuevos niveles de alerta que sean definidos en dicha modificación normativa,
Seguidamente, y en el marco del proceso que debe surtir los protocolos de actuación frente a las alertas por calidad del aire, se están realizando las mesas de trabajo y concertación para los mismos, en ese sentido durante este mes de noviembre, se adelantaron diferentes espacios de trabajo para exponer los resultados de la modelación de restricciones para las fuentes fijas y fuentes móviles en la ciudad durante episodios de contaminación atmosférica. Uno de ellos es la articulación entre la Secretaria Distrital de Ambiente y la Secretaria Distrital de Movilidad, y también reuniones con la ANDI exponiendo los resultados de los escenarios de modelación para las fuentes fijas industriales en la ciudad.</v>
      </c>
      <c r="I568" s="251"/>
    </row>
    <row r="569" spans="1:9" s="192" customFormat="1" ht="49.9" customHeight="1" outlineLevel="1" x14ac:dyDescent="0.25">
      <c r="A569" s="613"/>
      <c r="B569" s="185" t="s">
        <v>501</v>
      </c>
      <c r="C569" s="107" t="s">
        <v>499</v>
      </c>
      <c r="D569" s="194">
        <v>0.15</v>
      </c>
      <c r="E569" s="210">
        <v>1</v>
      </c>
      <c r="F569" s="210">
        <v>0.20399999999999999</v>
      </c>
      <c r="G569" s="194">
        <f t="shared" si="21"/>
        <v>0.20399999999999999</v>
      </c>
      <c r="H569" s="193" t="str">
        <f t="shared" si="20"/>
        <v>El avance acumulado para la vigencia 2020 del cumplimiento en la ejecución de la meta es del 0.71% del informe programado esto basado en: las actividades de recolección de la información de las acciones de seguimiento y control de los grupos de fuentes fijas y fuentes móviles. 
El avance acumulado se registra, así:
•	Julio, 017% de avance en el Informe de gestión.
•	Agosto, 0,16% de avance en el Informe de gestión.
•	Septiembre, 0,01% de avance en el Informe de gestión.
•	Octubre, 0,17% de avance en el Informe de gestión.
Avance de Noviembre 0,20, basado en : Este documento contiene la presentación del estado del arte de los grupos competentes, descripción de la metodología desarrollada en las acciones de evaluación, seguimiento, control y monitoreo realizadas, con la cual se podrá determinar la toma de decisiones a nivel jurídico y la formulación de proyectos en el marco de la disminución los índices de contaminación ambiental.
Se registra el inicio de los monitoreos de fuentes fijas como laboratorio acreditado para la toma de muestras de los parámetros de NOx, SO2 y MP en las industrias objeto de control; se atienden las visitas de seguimiento de la autorización realizada por el IDEAM para cada uno de los programas de evaluación control y seguimiento de fuentes móviles. 
Así mismo, se realizan los seguimientos a empresas que son objeto de permiso de emisiones, operativos de medición en vía a vehículos que transitan en el Distrito Capital, visitas técnicas de auditoria a Centros de Diagnóstico Automotor CDA'S, vinculación de empresas al programa de autorregulación y requerimientos ambientales presentados por la ciudadanía.
Alcanzando un 71% del cumplimiento de la meta de inversión para la vigencia 2020.</v>
      </c>
      <c r="I569" s="251"/>
    </row>
    <row r="570" spans="1:9" s="192" customFormat="1" ht="49.9" customHeight="1" outlineLevel="1" x14ac:dyDescent="0.25">
      <c r="A570" s="613"/>
      <c r="B570" s="185" t="s">
        <v>502</v>
      </c>
      <c r="C570" s="107" t="s">
        <v>499</v>
      </c>
      <c r="D570" s="194">
        <v>0.15</v>
      </c>
      <c r="E570" s="186">
        <v>362</v>
      </c>
      <c r="F570" s="186">
        <v>120</v>
      </c>
      <c r="G570" s="194">
        <f t="shared" si="21"/>
        <v>0.33149171270718231</v>
      </c>
      <c r="H570" s="193" t="str">
        <f t="shared" si="20"/>
        <v>Para la vigencia 2020, se presenta un avance acumulado de la meta de cuatrocientas veintitrés (423) actuaciones, correspondientes al 99,30% de ejecución, es así: 
•	Julio; acciones de seguimiento y control de emisión de ruido; cinco (05) visitas y tres (03) documentos técnicos. Total, ocho (08) acciones.
•	Agosto; acciones de seguimiento y control de emisión de ruido; uno (01) visitas y seis (06) documentos técnicos. Total, siete (07) acciones.
•	Septiembre; acciones de seguimiento y control de emisión de ruido; sesenta y cinco (65) visitas y cuarenta (40) documentos técnicos. Total, ciento cinco (105) acciones.
•	Octubre; acciones de seguimiento y control de emisión de ruido; ciento veinte (120) visitas y veintiocho (28) documentos técnicos. Total, ciento cuarenta y ocho (148) acciones.
•	Noviembre; acciones de seguimiento y control de emisión de ruido; ciento veinte dos (122) visitas y treinta y tres (33) documentos técnicos. Total, ciento cincuenta y cinco acciones (155)
En general se distribuyen:
•	313 visitas técnicas (51 visitas efectivas con medición, 184 visitas efectivas para cerrar el caso y 78 visitas no efectivas (reprogramación).
•	110 actuaciones técnicas de otros documentos:
o	12 informes acciones populares
o	2 conceptos aclaratorios
o	1 presentación a la Cámara de Comercio de Bogotá
o	20 socializaciones OPEL
o	7 socializaciones CAL
o	1 socialización en mesa territorial
o	1 oficio de salida cerrando caso
o	3 estudios de ruido
o	2 WEBINAR con el MADS
o	1 informe CAL
o	60 oficios SUGA
Avance acumulado en la vigencia de 99,30%.</v>
      </c>
      <c r="I570" s="251"/>
    </row>
    <row r="571" spans="1:9" s="192" customFormat="1" ht="49.9" customHeight="1" outlineLevel="1" x14ac:dyDescent="0.25">
      <c r="A571" s="613"/>
      <c r="B571" s="185" t="s">
        <v>503</v>
      </c>
      <c r="C571" s="107" t="s">
        <v>499</v>
      </c>
      <c r="D571" s="194">
        <v>0.15</v>
      </c>
      <c r="E571" s="210">
        <v>1</v>
      </c>
      <c r="F571" s="210">
        <v>1</v>
      </c>
      <c r="G571" s="194">
        <f t="shared" si="21"/>
        <v>1</v>
      </c>
      <c r="H571" s="193" t="str">
        <f t="shared" si="20"/>
        <v>En cumplimiento la meta en la vigencia 2020, se presenta un avance del 100%, basado en el desarrollo de actividades así: (tipología de la Meta Constante)
Julio: se avanza en el informe técnico semestral en el cual se relacionan estadística y geográficamente, las empresas que tramitan reactivación económica ante la alcaldía mayor de Bogotá, a fin de clasificar y priorizar posibles establecimientos objeto de monitoreo de ruido, que sirvan de insumo para la identificación del %PUAR. Avance en el periodo 100%.
Agosto: Durante el presente periodo se avanza en la proyección del informe técnico semestral en el cual se incluyen los datos de las estaciones de la Red de Monitoreo de Ruido Ambiental de Bogotá (RMRAB) y los avances en la formulación de procedimiento de validación de los datos generados. Avance en el periodo 100%.
Septiembre: Para el presente periodo se avanza en la proyección del informe semestral de operación de la red de ruido del Distrito, dentro del cual se incluye reporte de siniestros en nueve (9) de las estaciones de monitoreo de ruido que fueron objeto de vandalismo durante las protestas ocurridas el 09 y 10 se septiembre. Avance en el periodo 100%.
Octubre: Durante el presente periodo se avanza con la proyección del informe semestral de operación de la Red de Monitoreo de Ruido Ambiental de Bogotá (RMRAB) en el cual se destacan la realización de las siguientes actividades: reporte de empresas que solicitaron reactivación económica por COVID 19, acreditación del procedimiento de monitoreo de ruido ambiental ante el IDEAM, soporte y mantenimiento a las estaciones de monitoreo de ruido, actualización del visor monitor web MAIGRAI. Avance en el periodo 100%.
Noviembre:  Para el presente mes, se avanza con la proyección del informe semestral de operación de la Red de Monitoreo de Ruido Ambiental de Bogotá (RMRAB) en el cual se reportan principalmente  la realización de las siguientes actividades: reporte de empresas que solicitaron reactivación económica por COVID 19, acreditación del procedimiento de monitoreo de ruido ambiental ante el IDEAM, actividades de soporte y mantenimiento  realizado a las estaciones de monitoreo de ruido, actualización del visor monitor web MAIGRAI , reporte de estaciones de la RMRAB afectadas durante protestas y espacialización de datos de emisión de ruido Colector-ESRI. 
Avance acumulado según la tipología de la meta es del 100% para la vigencia 2020.</v>
      </c>
      <c r="I571" s="251"/>
    </row>
    <row r="572" spans="1:9" s="192" customFormat="1" ht="49.9" customHeight="1" outlineLevel="1" x14ac:dyDescent="0.25">
      <c r="A572" s="613"/>
      <c r="B572" s="185" t="s">
        <v>504</v>
      </c>
      <c r="C572" s="107" t="s">
        <v>499</v>
      </c>
      <c r="D572" s="194">
        <v>0.15</v>
      </c>
      <c r="E572" s="210">
        <v>234</v>
      </c>
      <c r="F572" s="210">
        <v>0</v>
      </c>
      <c r="G572" s="194">
        <f t="shared" si="21"/>
        <v>0</v>
      </c>
      <c r="H572" s="193" t="str">
        <f t="shared" si="20"/>
        <v>Para la vigencia 2020 del Proyecto de Inversión se han realizado doscientas veinte nueve (229) acciones de evaluación, control y seguimiento, así:
•	Julio, 28 Acciones, avance de ejecución del 12%.
•	Agosto, 18 Acciones, avance de ejecución del 8%.
•	Septiembre, 136 Acciones, avance de ejecución del 62%.
•	Octubre, 37 Acciones, avance de ejecución del 16%.
•	Noviembre, No se realizaron acciones de evaluación sobre el resto del Distrito, se encaminaron a las Zonas de Alta Densidad.
Avance Acumulado 97,86%.</v>
      </c>
      <c r="I572" s="251"/>
    </row>
    <row r="573" spans="1:9" s="192" customFormat="1" ht="49.9" customHeight="1" outlineLevel="1" x14ac:dyDescent="0.25">
      <c r="A573" s="614"/>
      <c r="B573" s="185" t="s">
        <v>505</v>
      </c>
      <c r="C573" s="107" t="s">
        <v>499</v>
      </c>
      <c r="D573" s="194">
        <v>0.1</v>
      </c>
      <c r="E573" s="210">
        <v>1</v>
      </c>
      <c r="F573" s="210">
        <v>1</v>
      </c>
      <c r="G573" s="194">
        <f t="shared" si="21"/>
        <v>1</v>
      </c>
      <c r="H573" s="193" t="str">
        <f t="shared" si="20"/>
        <v>Para el cumplimiento de las regulaciones asociadas al control de los factores de deterioro de calidad del Aire, Auditiva y Visual del Distrito Capital, la Secretaría Distrital de Ambiente durante el periodo del 1 de julio al 30 de noviembre de 2020 atendió el 100% de los conceptos técnicos que recomiendan una actuación Administrativa Sancionatoria, obteniendo el siguiente avance: 
Julio 2020:
N° de Conceptos Técnicos que recomiendan actuaciones administrativas sancionatorias: 13 
N° de Conceptos Técnicos atendidos jurídicamente: 13
Agosto 2020
N° de Conceptos Técnicos que recomiendan actuaciones administrativas sancionatorias: 13 
N° de Conceptos Técnicos atendidos jurídicamente: 13.
Septiembre 2020
N° de Conceptos Técnicos que recomiendan actuaciones administrativas sancionatorias: 133
N° de Conceptos Técnicos atendidos jurídicamente: 133.
Octubre 2020
N° de Conceptos Técnicos que recomiendan actuaciones administrativas sancionatorias: 13
N° de Conceptos Técnicos atendidos jurídicamente: 13.
Noviembre 2020
N° de Conceptos Técnicos que recomiendan actuaciones administrativas sancionatorias: 04
N° de Conceptos Técnicos atendidos jurídicamente: 04.  
Total, avance meta Noviembre 2020: 100 %
Por último, es importante tener presente que los avances en la magnitud de la meta están sujetos a la demanda de conceptos técnicos que remitan los grupos técnicos para ser acogidos jurídicamente; por lo tanto, el porcentaje de la magnitud programada corresponde al 100%</v>
      </c>
      <c r="I573" s="251"/>
    </row>
    <row r="574" spans="1:9" s="192" customFormat="1" ht="55.15" customHeight="1" outlineLevel="1" x14ac:dyDescent="0.25">
      <c r="A574" s="612" t="s">
        <v>135</v>
      </c>
      <c r="B574" s="185" t="s">
        <v>498</v>
      </c>
      <c r="C574" s="107" t="s">
        <v>499</v>
      </c>
      <c r="D574" s="194">
        <v>0.15</v>
      </c>
      <c r="E574" s="186">
        <v>20</v>
      </c>
      <c r="F574" s="186">
        <v>20</v>
      </c>
      <c r="G574" s="194">
        <f t="shared" si="21"/>
        <v>1</v>
      </c>
      <c r="H574" s="190" t="s">
        <v>456</v>
      </c>
      <c r="I574" s="251"/>
    </row>
    <row r="575" spans="1:9" s="192" customFormat="1" ht="55.15" customHeight="1" outlineLevel="1" x14ac:dyDescent="0.25">
      <c r="A575" s="613"/>
      <c r="B575" s="185" t="s">
        <v>500</v>
      </c>
      <c r="C575" s="107" t="s">
        <v>499</v>
      </c>
      <c r="D575" s="194">
        <v>0.15</v>
      </c>
      <c r="E575" s="210">
        <v>4</v>
      </c>
      <c r="F575" s="210">
        <v>4</v>
      </c>
      <c r="G575" s="194">
        <f t="shared" si="21"/>
        <v>1</v>
      </c>
      <c r="H575" s="190" t="s">
        <v>457</v>
      </c>
      <c r="I575" s="251"/>
    </row>
    <row r="576" spans="1:9" s="192" customFormat="1" ht="55.15" customHeight="1" outlineLevel="1" x14ac:dyDescent="0.25">
      <c r="A576" s="613"/>
      <c r="B576" s="185" t="s">
        <v>501</v>
      </c>
      <c r="C576" s="107" t="s">
        <v>499</v>
      </c>
      <c r="D576" s="194">
        <v>0.15</v>
      </c>
      <c r="E576" s="210">
        <v>1</v>
      </c>
      <c r="F576" s="210">
        <v>1</v>
      </c>
      <c r="G576" s="194">
        <f t="shared" si="21"/>
        <v>1</v>
      </c>
      <c r="H576" s="190" t="s">
        <v>458</v>
      </c>
      <c r="I576" s="251"/>
    </row>
    <row r="577" spans="1:9" s="192" customFormat="1" ht="55.15" customHeight="1" outlineLevel="1" x14ac:dyDescent="0.25">
      <c r="A577" s="613"/>
      <c r="B577" s="185" t="s">
        <v>502</v>
      </c>
      <c r="C577" s="107" t="s">
        <v>499</v>
      </c>
      <c r="D577" s="194">
        <v>0.15</v>
      </c>
      <c r="E577" s="186">
        <v>362</v>
      </c>
      <c r="F577" s="186">
        <v>362</v>
      </c>
      <c r="G577" s="194">
        <f t="shared" si="21"/>
        <v>1</v>
      </c>
      <c r="H577" s="190" t="s">
        <v>459</v>
      </c>
      <c r="I577" s="251"/>
    </row>
    <row r="578" spans="1:9" s="192" customFormat="1" ht="55.15" customHeight="1" outlineLevel="1" x14ac:dyDescent="0.25">
      <c r="A578" s="613"/>
      <c r="B578" s="185" t="s">
        <v>503</v>
      </c>
      <c r="C578" s="107" t="s">
        <v>499</v>
      </c>
      <c r="D578" s="194">
        <v>0.15</v>
      </c>
      <c r="E578" s="210">
        <v>1</v>
      </c>
      <c r="F578" s="210">
        <v>1</v>
      </c>
      <c r="G578" s="194">
        <f t="shared" si="21"/>
        <v>1</v>
      </c>
      <c r="H578" s="190" t="s">
        <v>460</v>
      </c>
      <c r="I578" s="251"/>
    </row>
    <row r="579" spans="1:9" s="192" customFormat="1" ht="55.15" customHeight="1" outlineLevel="1" x14ac:dyDescent="0.25">
      <c r="A579" s="613"/>
      <c r="B579" s="185" t="s">
        <v>504</v>
      </c>
      <c r="C579" s="107" t="s">
        <v>499</v>
      </c>
      <c r="D579" s="194">
        <v>0.15</v>
      </c>
      <c r="E579" s="210">
        <v>1292</v>
      </c>
      <c r="F579" s="210">
        <v>1292</v>
      </c>
      <c r="G579" s="194">
        <f t="shared" si="21"/>
        <v>1</v>
      </c>
      <c r="H579" s="190" t="s">
        <v>461</v>
      </c>
      <c r="I579" s="251"/>
    </row>
    <row r="580" spans="1:9" s="192" customFormat="1" ht="55.15" customHeight="1" outlineLevel="1" x14ac:dyDescent="0.25">
      <c r="A580" s="614"/>
      <c r="B580" s="185" t="s">
        <v>505</v>
      </c>
      <c r="C580" s="107" t="s">
        <v>499</v>
      </c>
      <c r="D580" s="194">
        <v>0.1</v>
      </c>
      <c r="E580" s="210">
        <v>1</v>
      </c>
      <c r="F580" s="210">
        <v>1</v>
      </c>
      <c r="G580" s="194">
        <f t="shared" si="21"/>
        <v>1</v>
      </c>
      <c r="H580" s="190" t="s">
        <v>462</v>
      </c>
      <c r="I580" s="251"/>
    </row>
    <row r="582" spans="1:9" ht="25.5" customHeight="1" x14ac:dyDescent="0.3">
      <c r="A582" s="631" t="s">
        <v>203</v>
      </c>
      <c r="B582" s="632"/>
      <c r="C582" s="632"/>
      <c r="D582" s="632"/>
      <c r="E582" s="632"/>
      <c r="F582" s="632"/>
      <c r="G582" s="632"/>
      <c r="H582" s="633"/>
    </row>
    <row r="583" spans="1:9" ht="53.25" customHeight="1" x14ac:dyDescent="0.25">
      <c r="A583" s="188" t="s">
        <v>50</v>
      </c>
      <c r="B583" s="46" t="s">
        <v>184</v>
      </c>
      <c r="C583" s="50" t="s">
        <v>150</v>
      </c>
      <c r="D583" s="50" t="s">
        <v>158</v>
      </c>
      <c r="E583" s="50" t="s">
        <v>205</v>
      </c>
      <c r="F583" s="50" t="s">
        <v>206</v>
      </c>
      <c r="G583" s="50" t="s">
        <v>207</v>
      </c>
      <c r="H583" s="46" t="s">
        <v>173</v>
      </c>
    </row>
    <row r="584" spans="1:9" ht="49.9" customHeight="1" x14ac:dyDescent="0.25">
      <c r="A584" s="634" t="s">
        <v>137</v>
      </c>
      <c r="B584" s="185" t="s">
        <v>498</v>
      </c>
      <c r="C584" s="107" t="s">
        <v>499</v>
      </c>
      <c r="D584" s="194">
        <v>0.15</v>
      </c>
      <c r="E584" s="186">
        <v>20</v>
      </c>
      <c r="F584" s="186">
        <v>20</v>
      </c>
      <c r="G584" s="194">
        <f t="shared" ref="G584:G649" si="22">F584/E584</f>
        <v>1</v>
      </c>
      <c r="H584" s="190" t="s">
        <v>456</v>
      </c>
      <c r="I584" s="257"/>
    </row>
    <row r="585" spans="1:9" ht="49.9" customHeight="1" x14ac:dyDescent="0.25">
      <c r="A585" s="635"/>
      <c r="B585" s="185" t="s">
        <v>500</v>
      </c>
      <c r="C585" s="107" t="s">
        <v>499</v>
      </c>
      <c r="D585" s="194">
        <v>0.15</v>
      </c>
      <c r="E585" s="210">
        <v>8</v>
      </c>
      <c r="F585" s="210">
        <v>0.2</v>
      </c>
      <c r="G585" s="194">
        <f t="shared" si="22"/>
        <v>2.5000000000000001E-2</v>
      </c>
      <c r="H585" s="190" t="s">
        <v>457</v>
      </c>
      <c r="I585" s="257"/>
    </row>
    <row r="586" spans="1:9" ht="49.9" customHeight="1" x14ac:dyDescent="0.25">
      <c r="A586" s="635"/>
      <c r="B586" s="185" t="s">
        <v>501</v>
      </c>
      <c r="C586" s="107" t="s">
        <v>499</v>
      </c>
      <c r="D586" s="194">
        <v>0.15</v>
      </c>
      <c r="E586" s="210">
        <v>2</v>
      </c>
      <c r="F586" s="210">
        <v>0.15</v>
      </c>
      <c r="G586" s="194">
        <f t="shared" si="22"/>
        <v>7.4999999999999997E-2</v>
      </c>
      <c r="H586" s="190" t="s">
        <v>458</v>
      </c>
      <c r="I586" s="257"/>
    </row>
    <row r="587" spans="1:9" ht="49.9" customHeight="1" x14ac:dyDescent="0.25">
      <c r="A587" s="635"/>
      <c r="B587" s="185" t="s">
        <v>502</v>
      </c>
      <c r="C587" s="107" t="s">
        <v>499</v>
      </c>
      <c r="D587" s="194">
        <v>0.15</v>
      </c>
      <c r="E587" s="186">
        <v>362</v>
      </c>
      <c r="F587" s="186">
        <v>10</v>
      </c>
      <c r="G587" s="194">
        <f t="shared" si="22"/>
        <v>2.7624309392265192E-2</v>
      </c>
      <c r="H587" s="190" t="s">
        <v>459</v>
      </c>
      <c r="I587" s="257"/>
    </row>
    <row r="588" spans="1:9" ht="49.9" customHeight="1" x14ac:dyDescent="0.25">
      <c r="A588" s="635"/>
      <c r="B588" s="185" t="s">
        <v>503</v>
      </c>
      <c r="C588" s="107" t="s">
        <v>499</v>
      </c>
      <c r="D588" s="194">
        <v>0.15</v>
      </c>
      <c r="E588" s="210">
        <v>1</v>
      </c>
      <c r="F588" s="210">
        <v>1</v>
      </c>
      <c r="G588" s="194">
        <f t="shared" si="22"/>
        <v>1</v>
      </c>
      <c r="H588" s="190" t="s">
        <v>460</v>
      </c>
      <c r="I588" s="257"/>
    </row>
    <row r="589" spans="1:9" ht="49.9" customHeight="1" x14ac:dyDescent="0.25">
      <c r="A589" s="635"/>
      <c r="B589" s="185" t="s">
        <v>504</v>
      </c>
      <c r="C589" s="107" t="s">
        <v>499</v>
      </c>
      <c r="D589" s="194">
        <v>0.15</v>
      </c>
      <c r="E589" s="210">
        <v>759</v>
      </c>
      <c r="F589" s="210">
        <v>278</v>
      </c>
      <c r="G589" s="194">
        <f t="shared" si="22"/>
        <v>0.3662714097496706</v>
      </c>
      <c r="H589" s="190" t="s">
        <v>461</v>
      </c>
      <c r="I589" s="257"/>
    </row>
    <row r="590" spans="1:9" ht="49.9" customHeight="1" x14ac:dyDescent="0.25">
      <c r="A590" s="636"/>
      <c r="B590" s="185" t="s">
        <v>505</v>
      </c>
      <c r="C590" s="107" t="s">
        <v>499</v>
      </c>
      <c r="D590" s="194">
        <v>0.1</v>
      </c>
      <c r="E590" s="210">
        <v>1</v>
      </c>
      <c r="F590" s="210">
        <v>1</v>
      </c>
      <c r="G590" s="194">
        <f t="shared" si="22"/>
        <v>1</v>
      </c>
      <c r="H590" s="190" t="s">
        <v>462</v>
      </c>
      <c r="I590" s="257"/>
    </row>
    <row r="591" spans="1:9" ht="49.9" customHeight="1" x14ac:dyDescent="0.25">
      <c r="A591" s="624" t="s">
        <v>138</v>
      </c>
      <c r="B591" s="185" t="s">
        <v>498</v>
      </c>
      <c r="C591" s="107" t="s">
        <v>499</v>
      </c>
      <c r="D591" s="194">
        <v>0.15</v>
      </c>
      <c r="E591" s="186">
        <v>20</v>
      </c>
      <c r="F591" s="186">
        <v>20</v>
      </c>
      <c r="G591" s="194">
        <f t="shared" si="22"/>
        <v>1</v>
      </c>
      <c r="H591" s="190" t="s">
        <v>463</v>
      </c>
      <c r="I591" s="257"/>
    </row>
    <row r="592" spans="1:9" ht="49.9" customHeight="1" x14ac:dyDescent="0.25">
      <c r="A592" s="625"/>
      <c r="B592" s="185" t="s">
        <v>500</v>
      </c>
      <c r="C592" s="107" t="s">
        <v>499</v>
      </c>
      <c r="D592" s="194">
        <v>0.15</v>
      </c>
      <c r="E592" s="210">
        <v>8</v>
      </c>
      <c r="F592" s="210">
        <v>0.45</v>
      </c>
      <c r="G592" s="194">
        <f t="shared" si="22"/>
        <v>5.6250000000000001E-2</v>
      </c>
      <c r="H592" s="190" t="s">
        <v>464</v>
      </c>
      <c r="I592" s="257"/>
    </row>
    <row r="593" spans="1:9" ht="49.9" customHeight="1" x14ac:dyDescent="0.25">
      <c r="A593" s="625"/>
      <c r="B593" s="185" t="s">
        <v>501</v>
      </c>
      <c r="C593" s="107" t="s">
        <v>499</v>
      </c>
      <c r="D593" s="194">
        <v>0.15</v>
      </c>
      <c r="E593" s="210">
        <v>2</v>
      </c>
      <c r="F593" s="210">
        <v>0.26</v>
      </c>
      <c r="G593" s="194">
        <f t="shared" si="22"/>
        <v>0.13</v>
      </c>
      <c r="H593" s="190" t="s">
        <v>465</v>
      </c>
      <c r="I593" s="257"/>
    </row>
    <row r="594" spans="1:9" ht="49.9" customHeight="1" x14ac:dyDescent="0.25">
      <c r="A594" s="625"/>
      <c r="B594" s="185" t="s">
        <v>502</v>
      </c>
      <c r="C594" s="107" t="s">
        <v>499</v>
      </c>
      <c r="D594" s="194">
        <v>0.15</v>
      </c>
      <c r="E594" s="186">
        <v>362</v>
      </c>
      <c r="F594" s="186">
        <v>16</v>
      </c>
      <c r="G594" s="194">
        <f t="shared" si="22"/>
        <v>4.4198895027624308E-2</v>
      </c>
      <c r="H594" s="190" t="s">
        <v>513</v>
      </c>
      <c r="I594" s="257"/>
    </row>
    <row r="595" spans="1:9" ht="49.9" customHeight="1" x14ac:dyDescent="0.25">
      <c r="A595" s="625"/>
      <c r="B595" s="185" t="s">
        <v>503</v>
      </c>
      <c r="C595" s="107" t="s">
        <v>499</v>
      </c>
      <c r="D595" s="194">
        <v>0.15</v>
      </c>
      <c r="E595" s="210">
        <v>1</v>
      </c>
      <c r="F595" s="210">
        <v>1</v>
      </c>
      <c r="G595" s="194">
        <f t="shared" si="22"/>
        <v>1</v>
      </c>
      <c r="H595" s="190" t="s">
        <v>467</v>
      </c>
      <c r="I595" s="257"/>
    </row>
    <row r="596" spans="1:9" ht="49.9" customHeight="1" x14ac:dyDescent="0.25">
      <c r="A596" s="625"/>
      <c r="B596" s="185" t="s">
        <v>504</v>
      </c>
      <c r="C596" s="107" t="s">
        <v>499</v>
      </c>
      <c r="D596" s="194">
        <v>0.15</v>
      </c>
      <c r="E596" s="210">
        <v>759</v>
      </c>
      <c r="F596" s="210">
        <v>489</v>
      </c>
      <c r="G596" s="194">
        <f t="shared" si="22"/>
        <v>0.64426877470355737</v>
      </c>
      <c r="H596" s="190" t="s">
        <v>468</v>
      </c>
      <c r="I596" s="257"/>
    </row>
    <row r="597" spans="1:9" ht="49.9" customHeight="1" x14ac:dyDescent="0.25">
      <c r="A597" s="626"/>
      <c r="B597" s="185" t="s">
        <v>505</v>
      </c>
      <c r="C597" s="107" t="s">
        <v>499</v>
      </c>
      <c r="D597" s="194">
        <v>0.1</v>
      </c>
      <c r="E597" s="210">
        <v>1</v>
      </c>
      <c r="F597" s="210">
        <v>1</v>
      </c>
      <c r="G597" s="194">
        <f t="shared" si="22"/>
        <v>1</v>
      </c>
      <c r="H597" s="190" t="s">
        <v>469</v>
      </c>
      <c r="I597" s="257"/>
    </row>
    <row r="598" spans="1:9" ht="49.9" customHeight="1" x14ac:dyDescent="0.25">
      <c r="A598" s="624" t="s">
        <v>139</v>
      </c>
      <c r="B598" s="185" t="s">
        <v>498</v>
      </c>
      <c r="C598" s="107" t="s">
        <v>499</v>
      </c>
      <c r="D598" s="194">
        <v>0.15</v>
      </c>
      <c r="E598" s="186">
        <v>20</v>
      </c>
      <c r="F598" s="186">
        <v>20</v>
      </c>
      <c r="G598" s="194">
        <f t="shared" si="22"/>
        <v>1</v>
      </c>
      <c r="H598" s="207" t="s">
        <v>470</v>
      </c>
      <c r="I598" s="257"/>
    </row>
    <row r="599" spans="1:9" ht="49.9" customHeight="1" x14ac:dyDescent="0.25">
      <c r="A599" s="625"/>
      <c r="B599" s="185" t="s">
        <v>500</v>
      </c>
      <c r="C599" s="107" t="s">
        <v>499</v>
      </c>
      <c r="D599" s="194">
        <v>0.15</v>
      </c>
      <c r="E599" s="210">
        <v>8</v>
      </c>
      <c r="F599" s="210">
        <v>1</v>
      </c>
      <c r="G599" s="194">
        <f t="shared" si="22"/>
        <v>0.125</v>
      </c>
      <c r="H599" s="207" t="s">
        <v>471</v>
      </c>
      <c r="I599" s="257"/>
    </row>
    <row r="600" spans="1:9" ht="49.9" customHeight="1" x14ac:dyDescent="0.25">
      <c r="A600" s="625"/>
      <c r="B600" s="185" t="s">
        <v>501</v>
      </c>
      <c r="C600" s="107" t="s">
        <v>499</v>
      </c>
      <c r="D600" s="194">
        <v>0.15</v>
      </c>
      <c r="E600" s="210">
        <v>2</v>
      </c>
      <c r="F600" s="210">
        <v>0.36</v>
      </c>
      <c r="G600" s="194">
        <f t="shared" si="22"/>
        <v>0.18</v>
      </c>
      <c r="H600" s="207" t="s">
        <v>472</v>
      </c>
      <c r="I600" s="257"/>
    </row>
    <row r="601" spans="1:9" ht="49.9" customHeight="1" x14ac:dyDescent="0.25">
      <c r="A601" s="625"/>
      <c r="B601" s="185" t="s">
        <v>502</v>
      </c>
      <c r="C601" s="107" t="s">
        <v>499</v>
      </c>
      <c r="D601" s="194">
        <v>0.15</v>
      </c>
      <c r="E601" s="186">
        <v>362</v>
      </c>
      <c r="F601" s="186">
        <v>16</v>
      </c>
      <c r="G601" s="194">
        <f t="shared" si="22"/>
        <v>4.4198895027624308E-2</v>
      </c>
      <c r="H601" s="207" t="s">
        <v>473</v>
      </c>
      <c r="I601" s="257"/>
    </row>
    <row r="602" spans="1:9" ht="49.9" customHeight="1" x14ac:dyDescent="0.25">
      <c r="A602" s="625"/>
      <c r="B602" s="185" t="s">
        <v>503</v>
      </c>
      <c r="C602" s="107" t="s">
        <v>499</v>
      </c>
      <c r="D602" s="194">
        <v>0.15</v>
      </c>
      <c r="E602" s="210">
        <v>1</v>
      </c>
      <c r="F602" s="210">
        <v>1</v>
      </c>
      <c r="G602" s="194">
        <f t="shared" si="22"/>
        <v>1</v>
      </c>
      <c r="H602" s="207" t="s">
        <v>474</v>
      </c>
      <c r="I602" s="257"/>
    </row>
    <row r="603" spans="1:9" ht="49.9" customHeight="1" x14ac:dyDescent="0.25">
      <c r="A603" s="625"/>
      <c r="B603" s="185" t="s">
        <v>504</v>
      </c>
      <c r="C603" s="107" t="s">
        <v>499</v>
      </c>
      <c r="D603" s="194">
        <v>0.15</v>
      </c>
      <c r="E603" s="210">
        <v>4707</v>
      </c>
      <c r="F603" s="210">
        <v>1326</v>
      </c>
      <c r="G603" s="194">
        <f t="shared" si="22"/>
        <v>0.28170809432759719</v>
      </c>
      <c r="H603" s="207" t="s">
        <v>475</v>
      </c>
      <c r="I603" s="257"/>
    </row>
    <row r="604" spans="1:9" ht="49.9" customHeight="1" x14ac:dyDescent="0.25">
      <c r="A604" s="626"/>
      <c r="B604" s="185" t="s">
        <v>505</v>
      </c>
      <c r="C604" s="107" t="s">
        <v>499</v>
      </c>
      <c r="D604" s="194">
        <v>0.1</v>
      </c>
      <c r="E604" s="210">
        <v>1</v>
      </c>
      <c r="F604" s="210">
        <v>1</v>
      </c>
      <c r="G604" s="194">
        <f t="shared" si="22"/>
        <v>1</v>
      </c>
      <c r="H604" s="207" t="s">
        <v>476</v>
      </c>
      <c r="I604" s="257"/>
    </row>
    <row r="605" spans="1:9" ht="49.9" customHeight="1" x14ac:dyDescent="0.25">
      <c r="A605" s="624" t="s">
        <v>140</v>
      </c>
      <c r="B605" s="185" t="s">
        <v>498</v>
      </c>
      <c r="C605" s="107" t="s">
        <v>499</v>
      </c>
      <c r="D605" s="194">
        <v>0.15</v>
      </c>
      <c r="E605" s="186">
        <v>20</v>
      </c>
      <c r="F605" s="186">
        <v>20</v>
      </c>
      <c r="G605" s="194">
        <f t="shared" si="22"/>
        <v>1</v>
      </c>
      <c r="H605" s="207"/>
      <c r="I605" s="257"/>
    </row>
    <row r="606" spans="1:9" ht="49.9" customHeight="1" x14ac:dyDescent="0.25">
      <c r="A606" s="625"/>
      <c r="B606" s="185" t="s">
        <v>500</v>
      </c>
      <c r="C606" s="107" t="s">
        <v>499</v>
      </c>
      <c r="D606" s="194">
        <v>0.15</v>
      </c>
      <c r="E606" s="210">
        <v>6</v>
      </c>
      <c r="F606" s="210">
        <v>1.6</v>
      </c>
      <c r="G606" s="194">
        <f t="shared" si="22"/>
        <v>0.26666666666666666</v>
      </c>
      <c r="H606" s="207"/>
      <c r="I606" s="257"/>
    </row>
    <row r="607" spans="1:9" ht="49.9" customHeight="1" x14ac:dyDescent="0.25">
      <c r="A607" s="625"/>
      <c r="B607" s="185" t="s">
        <v>501</v>
      </c>
      <c r="C607" s="107" t="s">
        <v>499</v>
      </c>
      <c r="D607" s="194">
        <v>0.15</v>
      </c>
      <c r="E607" s="210">
        <v>1</v>
      </c>
      <c r="F607" s="210">
        <v>0.51</v>
      </c>
      <c r="G607" s="194">
        <f t="shared" si="22"/>
        <v>0.51</v>
      </c>
      <c r="H607" s="207"/>
      <c r="I607" s="257"/>
    </row>
    <row r="608" spans="1:9" ht="49.9" customHeight="1" x14ac:dyDescent="0.25">
      <c r="A608" s="625"/>
      <c r="B608" s="185" t="s">
        <v>502</v>
      </c>
      <c r="C608" s="107" t="s">
        <v>499</v>
      </c>
      <c r="D608" s="194">
        <v>0.15</v>
      </c>
      <c r="E608" s="186">
        <v>362</v>
      </c>
      <c r="F608" s="186">
        <v>16</v>
      </c>
      <c r="G608" s="194">
        <f t="shared" si="22"/>
        <v>4.4198895027624308E-2</v>
      </c>
      <c r="H608" s="207"/>
      <c r="I608" s="257"/>
    </row>
    <row r="609" spans="1:9" ht="49.9" customHeight="1" x14ac:dyDescent="0.25">
      <c r="A609" s="625"/>
      <c r="B609" s="185" t="s">
        <v>503</v>
      </c>
      <c r="C609" s="107" t="s">
        <v>499</v>
      </c>
      <c r="D609" s="194">
        <v>0.15</v>
      </c>
      <c r="E609" s="210">
        <v>1</v>
      </c>
      <c r="F609" s="210">
        <v>1</v>
      </c>
      <c r="G609" s="194">
        <f t="shared" si="22"/>
        <v>1</v>
      </c>
      <c r="H609" s="207"/>
      <c r="I609" s="257"/>
    </row>
    <row r="610" spans="1:9" ht="49.9" customHeight="1" x14ac:dyDescent="0.25">
      <c r="A610" s="625"/>
      <c r="B610" s="185" t="s">
        <v>504</v>
      </c>
      <c r="C610" s="107" t="s">
        <v>499</v>
      </c>
      <c r="D610" s="194">
        <v>0.15</v>
      </c>
      <c r="E610" s="210">
        <v>4707</v>
      </c>
      <c r="F610" s="210">
        <v>1501</v>
      </c>
      <c r="G610" s="194">
        <f t="shared" si="22"/>
        <v>0.31888676439345653</v>
      </c>
      <c r="H610" s="207"/>
      <c r="I610" s="257"/>
    </row>
    <row r="611" spans="1:9" ht="49.9" customHeight="1" x14ac:dyDescent="0.25">
      <c r="A611" s="626"/>
      <c r="B611" s="185" t="s">
        <v>505</v>
      </c>
      <c r="C611" s="107" t="s">
        <v>499</v>
      </c>
      <c r="D611" s="194">
        <v>0.1</v>
      </c>
      <c r="E611" s="210">
        <v>528678000</v>
      </c>
      <c r="F611" s="210">
        <v>516118000</v>
      </c>
      <c r="G611" s="194">
        <f t="shared" si="22"/>
        <v>0.97624262783773863</v>
      </c>
      <c r="H611" s="47"/>
      <c r="I611" s="257"/>
    </row>
    <row r="612" spans="1:9" ht="49.9" customHeight="1" x14ac:dyDescent="0.25">
      <c r="A612" s="624" t="s">
        <v>141</v>
      </c>
      <c r="B612" s="185" t="s">
        <v>498</v>
      </c>
      <c r="C612" s="107" t="s">
        <v>499</v>
      </c>
      <c r="D612" s="194">
        <v>0.15</v>
      </c>
      <c r="E612" s="186">
        <v>20</v>
      </c>
      <c r="F612" s="186">
        <v>20</v>
      </c>
      <c r="G612" s="194">
        <f>F612/E612</f>
        <v>1</v>
      </c>
      <c r="H612" s="208" t="s">
        <v>514</v>
      </c>
      <c r="I612" s="257"/>
    </row>
    <row r="613" spans="1:9" ht="49.9" customHeight="1" x14ac:dyDescent="0.25">
      <c r="A613" s="625"/>
      <c r="B613" s="185" t="s">
        <v>500</v>
      </c>
      <c r="C613" s="107" t="s">
        <v>499</v>
      </c>
      <c r="D613" s="194">
        <v>0.15</v>
      </c>
      <c r="E613" s="226">
        <v>8</v>
      </c>
      <c r="F613" s="210">
        <v>2.4</v>
      </c>
      <c r="G613" s="194">
        <f t="shared" ref="G613:G625" si="23">F613/E613</f>
        <v>0.3</v>
      </c>
      <c r="H613" s="208" t="s">
        <v>507</v>
      </c>
      <c r="I613" s="257"/>
    </row>
    <row r="614" spans="1:9" ht="49.9" customHeight="1" x14ac:dyDescent="0.25">
      <c r="A614" s="625"/>
      <c r="B614" s="185" t="s">
        <v>501</v>
      </c>
      <c r="C614" s="107" t="s">
        <v>499</v>
      </c>
      <c r="D614" s="194">
        <v>0.15</v>
      </c>
      <c r="E614" s="226">
        <v>2</v>
      </c>
      <c r="F614" s="210">
        <v>0.65</v>
      </c>
      <c r="G614" s="194">
        <f t="shared" si="23"/>
        <v>0.32500000000000001</v>
      </c>
      <c r="H614" s="208" t="s">
        <v>515</v>
      </c>
      <c r="I614" s="257"/>
    </row>
    <row r="615" spans="1:9" ht="49.9" customHeight="1" x14ac:dyDescent="0.25">
      <c r="A615" s="625"/>
      <c r="B615" s="185" t="s">
        <v>502</v>
      </c>
      <c r="C615" s="107" t="s">
        <v>499</v>
      </c>
      <c r="D615" s="194">
        <v>0.15</v>
      </c>
      <c r="E615" s="227">
        <v>766</v>
      </c>
      <c r="F615" s="186">
        <v>357</v>
      </c>
      <c r="G615" s="194">
        <f t="shared" si="23"/>
        <v>0.4660574412532637</v>
      </c>
      <c r="H615" s="208" t="s">
        <v>516</v>
      </c>
      <c r="I615" s="257"/>
    </row>
    <row r="616" spans="1:9" ht="49.9" customHeight="1" x14ac:dyDescent="0.25">
      <c r="A616" s="625"/>
      <c r="B616" s="185" t="s">
        <v>503</v>
      </c>
      <c r="C616" s="107" t="s">
        <v>499</v>
      </c>
      <c r="D616" s="194">
        <v>0.15</v>
      </c>
      <c r="E616" s="210">
        <v>1</v>
      </c>
      <c r="F616" s="210">
        <v>1</v>
      </c>
      <c r="G616" s="194">
        <f t="shared" si="23"/>
        <v>1</v>
      </c>
      <c r="H616" s="208" t="s">
        <v>517</v>
      </c>
      <c r="I616" s="257"/>
    </row>
    <row r="617" spans="1:9" ht="49.9" customHeight="1" x14ac:dyDescent="0.25">
      <c r="A617" s="625"/>
      <c r="B617" s="185" t="s">
        <v>504</v>
      </c>
      <c r="C617" s="107" t="s">
        <v>499</v>
      </c>
      <c r="D617" s="194">
        <v>0.15</v>
      </c>
      <c r="E617" s="210">
        <v>4707</v>
      </c>
      <c r="F617" s="210">
        <v>2706</v>
      </c>
      <c r="G617" s="194">
        <f t="shared" si="23"/>
        <v>0.57488846398980242</v>
      </c>
      <c r="H617" s="208" t="s">
        <v>518</v>
      </c>
      <c r="I617" s="257"/>
    </row>
    <row r="618" spans="1:9" ht="49.9" customHeight="1" x14ac:dyDescent="0.25">
      <c r="A618" s="626"/>
      <c r="B618" s="185" t="s">
        <v>505</v>
      </c>
      <c r="C618" s="107" t="s">
        <v>499</v>
      </c>
      <c r="D618" s="194">
        <v>0.1</v>
      </c>
      <c r="E618" s="213">
        <v>1</v>
      </c>
      <c r="F618" s="213">
        <v>1</v>
      </c>
      <c r="G618" s="194">
        <f t="shared" si="23"/>
        <v>1</v>
      </c>
      <c r="H618" s="208" t="s">
        <v>512</v>
      </c>
      <c r="I618" s="257"/>
    </row>
    <row r="619" spans="1:9" ht="49.9" customHeight="1" x14ac:dyDescent="0.25">
      <c r="A619" s="624" t="s">
        <v>142</v>
      </c>
      <c r="B619" s="185" t="s">
        <v>498</v>
      </c>
      <c r="C619" s="107" t="s">
        <v>499</v>
      </c>
      <c r="D619" s="194">
        <v>0.15</v>
      </c>
      <c r="E619" s="186">
        <v>20</v>
      </c>
      <c r="F619" s="186">
        <v>20</v>
      </c>
      <c r="G619" s="194">
        <f>F619/E619</f>
        <v>1</v>
      </c>
      <c r="H619" s="208" t="s">
        <v>525</v>
      </c>
    </row>
    <row r="620" spans="1:9" ht="49.9" customHeight="1" x14ac:dyDescent="0.25">
      <c r="A620" s="625"/>
      <c r="B620" s="185" t="s">
        <v>500</v>
      </c>
      <c r="C620" s="107" t="s">
        <v>499</v>
      </c>
      <c r="D620" s="194">
        <v>0.15</v>
      </c>
      <c r="E620" s="226">
        <v>8</v>
      </c>
      <c r="F620" s="210">
        <v>3</v>
      </c>
      <c r="G620" s="194">
        <f t="shared" si="23"/>
        <v>0.375</v>
      </c>
      <c r="H620" s="208" t="s">
        <v>398</v>
      </c>
    </row>
    <row r="621" spans="1:9" ht="49.9" customHeight="1" x14ac:dyDescent="0.25">
      <c r="A621" s="625"/>
      <c r="B621" s="185" t="s">
        <v>501</v>
      </c>
      <c r="C621" s="107" t="s">
        <v>499</v>
      </c>
      <c r="D621" s="194">
        <v>0.15</v>
      </c>
      <c r="E621" s="226">
        <v>2</v>
      </c>
      <c r="F621" s="210">
        <v>1</v>
      </c>
      <c r="G621" s="194">
        <f t="shared" si="23"/>
        <v>0.5</v>
      </c>
      <c r="H621" s="208" t="s">
        <v>526</v>
      </c>
    </row>
    <row r="622" spans="1:9" ht="49.9" customHeight="1" x14ac:dyDescent="0.25">
      <c r="A622" s="625"/>
      <c r="B622" s="185" t="s">
        <v>502</v>
      </c>
      <c r="C622" s="107" t="s">
        <v>499</v>
      </c>
      <c r="D622" s="194">
        <v>0.15</v>
      </c>
      <c r="E622" s="227">
        <v>766</v>
      </c>
      <c r="F622" s="186">
        <v>463</v>
      </c>
      <c r="G622" s="194">
        <f t="shared" si="23"/>
        <v>0.6044386422976501</v>
      </c>
      <c r="H622" s="208" t="s">
        <v>527</v>
      </c>
    </row>
    <row r="623" spans="1:9" ht="49.9" customHeight="1" x14ac:dyDescent="0.25">
      <c r="A623" s="625"/>
      <c r="B623" s="185" t="s">
        <v>503</v>
      </c>
      <c r="C623" s="107" t="s">
        <v>499</v>
      </c>
      <c r="D623" s="194">
        <v>0.15</v>
      </c>
      <c r="E623" s="210">
        <v>1</v>
      </c>
      <c r="F623" s="210">
        <v>1</v>
      </c>
      <c r="G623" s="194">
        <f t="shared" si="23"/>
        <v>1</v>
      </c>
      <c r="H623" s="208" t="s">
        <v>522</v>
      </c>
    </row>
    <row r="624" spans="1:9" ht="49.9" customHeight="1" x14ac:dyDescent="0.25">
      <c r="A624" s="625"/>
      <c r="B624" s="185" t="s">
        <v>504</v>
      </c>
      <c r="C624" s="107" t="s">
        <v>499</v>
      </c>
      <c r="D624" s="194">
        <v>0.15</v>
      </c>
      <c r="E624" s="210">
        <v>4707</v>
      </c>
      <c r="F624" s="210">
        <v>3504</v>
      </c>
      <c r="G624" s="194">
        <f t="shared" si="23"/>
        <v>0.74442319949012115</v>
      </c>
      <c r="H624" s="208" t="s">
        <v>523</v>
      </c>
    </row>
    <row r="625" spans="1:8" ht="49.9" customHeight="1" x14ac:dyDescent="0.25">
      <c r="A625" s="626"/>
      <c r="B625" s="185" t="s">
        <v>505</v>
      </c>
      <c r="C625" s="107" t="s">
        <v>499</v>
      </c>
      <c r="D625" s="194">
        <v>0.1</v>
      </c>
      <c r="E625" s="213">
        <v>1</v>
      </c>
      <c r="F625" s="213">
        <v>0.92</v>
      </c>
      <c r="G625" s="194">
        <f t="shared" si="23"/>
        <v>0.92</v>
      </c>
      <c r="H625" s="208" t="s">
        <v>524</v>
      </c>
    </row>
    <row r="626" spans="1:8" ht="49.9" customHeight="1" x14ac:dyDescent="0.25">
      <c r="A626" s="624" t="s">
        <v>130</v>
      </c>
      <c r="B626" s="216" t="s">
        <v>498</v>
      </c>
      <c r="C626" s="107" t="s">
        <v>499</v>
      </c>
      <c r="D626" s="194">
        <v>0.15</v>
      </c>
      <c r="E626" s="217">
        <v>20</v>
      </c>
      <c r="F626" s="217">
        <v>20</v>
      </c>
      <c r="G626" s="194">
        <f>F626/E626</f>
        <v>1</v>
      </c>
      <c r="H626" s="225" t="s">
        <v>532</v>
      </c>
    </row>
    <row r="627" spans="1:8" ht="49.9" customHeight="1" x14ac:dyDescent="0.25">
      <c r="A627" s="625"/>
      <c r="B627" s="216" t="s">
        <v>500</v>
      </c>
      <c r="C627" s="107" t="s">
        <v>499</v>
      </c>
      <c r="D627" s="194">
        <v>0.15</v>
      </c>
      <c r="E627" s="226">
        <v>8</v>
      </c>
      <c r="F627" s="210">
        <v>3.8</v>
      </c>
      <c r="G627" s="194">
        <f t="shared" ref="G627:G632" si="24">F627/E627</f>
        <v>0.47499999999999998</v>
      </c>
      <c r="H627" s="225" t="s">
        <v>533</v>
      </c>
    </row>
    <row r="628" spans="1:8" ht="49.9" customHeight="1" x14ac:dyDescent="0.25">
      <c r="A628" s="625"/>
      <c r="B628" s="216" t="s">
        <v>501</v>
      </c>
      <c r="C628" s="107" t="s">
        <v>499</v>
      </c>
      <c r="D628" s="194">
        <v>0.15</v>
      </c>
      <c r="E628" s="226">
        <v>2</v>
      </c>
      <c r="F628" s="210">
        <v>1.26</v>
      </c>
      <c r="G628" s="194">
        <f t="shared" si="24"/>
        <v>0.63</v>
      </c>
      <c r="H628" s="225" t="s">
        <v>534</v>
      </c>
    </row>
    <row r="629" spans="1:8" ht="49.9" customHeight="1" x14ac:dyDescent="0.25">
      <c r="A629" s="625"/>
      <c r="B629" s="216" t="s">
        <v>502</v>
      </c>
      <c r="C629" s="107" t="s">
        <v>499</v>
      </c>
      <c r="D629" s="194">
        <v>0.15</v>
      </c>
      <c r="E629" s="227">
        <v>766</v>
      </c>
      <c r="F629" s="217">
        <v>440</v>
      </c>
      <c r="G629" s="194">
        <f t="shared" si="24"/>
        <v>0.5744125326370757</v>
      </c>
      <c r="H629" s="208" t="s">
        <v>539</v>
      </c>
    </row>
    <row r="630" spans="1:8" ht="49.9" customHeight="1" x14ac:dyDescent="0.25">
      <c r="A630" s="625"/>
      <c r="B630" s="216" t="s">
        <v>503</v>
      </c>
      <c r="C630" s="107" t="s">
        <v>499</v>
      </c>
      <c r="D630" s="194">
        <v>0.15</v>
      </c>
      <c r="E630" s="210">
        <v>1</v>
      </c>
      <c r="F630" s="210">
        <v>1.17</v>
      </c>
      <c r="G630" s="194">
        <f t="shared" si="24"/>
        <v>1.17</v>
      </c>
      <c r="H630" s="225" t="s">
        <v>535</v>
      </c>
    </row>
    <row r="631" spans="1:8" ht="49.9" customHeight="1" x14ac:dyDescent="0.25">
      <c r="A631" s="625"/>
      <c r="B631" s="216" t="s">
        <v>504</v>
      </c>
      <c r="C631" s="107" t="s">
        <v>499</v>
      </c>
      <c r="D631" s="194">
        <v>0.15</v>
      </c>
      <c r="E631" s="210">
        <v>4707</v>
      </c>
      <c r="F631" s="210">
        <v>3769</v>
      </c>
      <c r="G631" s="194">
        <f t="shared" si="24"/>
        <v>0.80072232844699387</v>
      </c>
      <c r="H631" s="225" t="s">
        <v>536</v>
      </c>
    </row>
    <row r="632" spans="1:8" ht="49.9" customHeight="1" x14ac:dyDescent="0.25">
      <c r="A632" s="626"/>
      <c r="B632" s="216" t="s">
        <v>505</v>
      </c>
      <c r="C632" s="107" t="s">
        <v>499</v>
      </c>
      <c r="D632" s="194">
        <v>0.1</v>
      </c>
      <c r="E632" s="213">
        <v>1</v>
      </c>
      <c r="F632" s="213">
        <v>1</v>
      </c>
      <c r="G632" s="194">
        <f t="shared" si="24"/>
        <v>1</v>
      </c>
      <c r="H632" s="225" t="s">
        <v>537</v>
      </c>
    </row>
    <row r="633" spans="1:8" ht="40.15" customHeight="1" x14ac:dyDescent="0.25">
      <c r="A633" s="624" t="s">
        <v>131</v>
      </c>
      <c r="B633" s="242" t="s">
        <v>498</v>
      </c>
      <c r="C633" s="107" t="s">
        <v>499</v>
      </c>
      <c r="D633" s="194">
        <v>0.15</v>
      </c>
      <c r="E633" s="243">
        <v>20</v>
      </c>
      <c r="F633" s="243">
        <v>20</v>
      </c>
      <c r="G633" s="194">
        <f>F633/E633</f>
        <v>1</v>
      </c>
      <c r="H633" s="225" t="s">
        <v>532</v>
      </c>
    </row>
    <row r="634" spans="1:8" ht="40.15" customHeight="1" x14ac:dyDescent="0.25">
      <c r="A634" s="625"/>
      <c r="B634" s="242" t="s">
        <v>500</v>
      </c>
      <c r="C634" s="107" t="s">
        <v>499</v>
      </c>
      <c r="D634" s="194">
        <v>0.15</v>
      </c>
      <c r="E634" s="226">
        <v>8</v>
      </c>
      <c r="F634" s="210">
        <v>4.5999999999999996</v>
      </c>
      <c r="G634" s="194">
        <f t="shared" ref="G634:G639" si="25">F634/E634</f>
        <v>0.57499999999999996</v>
      </c>
      <c r="H634" s="225" t="s">
        <v>533</v>
      </c>
    </row>
    <row r="635" spans="1:8" ht="40.15" customHeight="1" x14ac:dyDescent="0.25">
      <c r="A635" s="625"/>
      <c r="B635" s="242" t="s">
        <v>501</v>
      </c>
      <c r="C635" s="107" t="s">
        <v>499</v>
      </c>
      <c r="D635" s="194">
        <v>0.15</v>
      </c>
      <c r="E635" s="226">
        <v>2</v>
      </c>
      <c r="F635" s="210">
        <v>1.39</v>
      </c>
      <c r="G635" s="194">
        <f t="shared" si="25"/>
        <v>0.69499999999999995</v>
      </c>
      <c r="H635" s="225" t="s">
        <v>534</v>
      </c>
    </row>
    <row r="636" spans="1:8" ht="40.15" customHeight="1" x14ac:dyDescent="0.25">
      <c r="A636" s="625"/>
      <c r="B636" s="242" t="s">
        <v>502</v>
      </c>
      <c r="C636" s="107" t="s">
        <v>499</v>
      </c>
      <c r="D636" s="194">
        <v>0.15</v>
      </c>
      <c r="E636" s="227">
        <v>766</v>
      </c>
      <c r="F636" s="243">
        <v>529</v>
      </c>
      <c r="G636" s="194">
        <f t="shared" si="25"/>
        <v>0.69060052219321144</v>
      </c>
      <c r="H636" s="208" t="s">
        <v>539</v>
      </c>
    </row>
    <row r="637" spans="1:8" ht="40.15" customHeight="1" x14ac:dyDescent="0.25">
      <c r="A637" s="625"/>
      <c r="B637" s="242" t="s">
        <v>503</v>
      </c>
      <c r="C637" s="107" t="s">
        <v>499</v>
      </c>
      <c r="D637" s="194">
        <v>0.15</v>
      </c>
      <c r="E637" s="210">
        <v>1</v>
      </c>
      <c r="F637" s="210">
        <v>1.67</v>
      </c>
      <c r="G637" s="194">
        <f t="shared" si="25"/>
        <v>1.67</v>
      </c>
      <c r="H637" s="225" t="s">
        <v>535</v>
      </c>
    </row>
    <row r="638" spans="1:8" ht="40.15" customHeight="1" x14ac:dyDescent="0.25">
      <c r="A638" s="625"/>
      <c r="B638" s="242" t="s">
        <v>504</v>
      </c>
      <c r="C638" s="107" t="s">
        <v>499</v>
      </c>
      <c r="D638" s="194">
        <v>0.15</v>
      </c>
      <c r="E638" s="210">
        <v>4707</v>
      </c>
      <c r="F638" s="210">
        <v>3972</v>
      </c>
      <c r="G638" s="194">
        <f t="shared" si="25"/>
        <v>0.84384958572339075</v>
      </c>
      <c r="H638" s="225" t="s">
        <v>536</v>
      </c>
    </row>
    <row r="639" spans="1:8" ht="40.15" customHeight="1" x14ac:dyDescent="0.25">
      <c r="A639" s="626"/>
      <c r="B639" s="242" t="s">
        <v>505</v>
      </c>
      <c r="C639" s="107" t="s">
        <v>499</v>
      </c>
      <c r="D639" s="194">
        <v>0.1</v>
      </c>
      <c r="E639" s="213">
        <v>1</v>
      </c>
      <c r="F639" s="213">
        <v>1</v>
      </c>
      <c r="G639" s="194">
        <f t="shared" si="25"/>
        <v>1</v>
      </c>
      <c r="H639" s="225" t="s">
        <v>537</v>
      </c>
    </row>
    <row r="640" spans="1:8" ht="40.15" customHeight="1" x14ac:dyDescent="0.25">
      <c r="A640" s="624" t="s">
        <v>132</v>
      </c>
      <c r="B640" s="248" t="s">
        <v>498</v>
      </c>
      <c r="C640" s="107" t="s">
        <v>499</v>
      </c>
      <c r="D640" s="194">
        <v>0.15</v>
      </c>
      <c r="E640" s="249">
        <v>20</v>
      </c>
      <c r="F640" s="249">
        <v>20</v>
      </c>
      <c r="G640" s="194">
        <f>F640/E640</f>
        <v>1</v>
      </c>
      <c r="H640" s="261" t="s">
        <v>579</v>
      </c>
    </row>
    <row r="641" spans="1:8" ht="40.15" customHeight="1" x14ac:dyDescent="0.25">
      <c r="A641" s="625"/>
      <c r="B641" s="248" t="s">
        <v>500</v>
      </c>
      <c r="C641" s="107" t="s">
        <v>499</v>
      </c>
      <c r="D641" s="194">
        <v>0.15</v>
      </c>
      <c r="E641" s="226">
        <v>8</v>
      </c>
      <c r="F641" s="210">
        <v>5.65</v>
      </c>
      <c r="G641" s="194">
        <f t="shared" ref="G641:G646" si="26">F641/E641</f>
        <v>0.70625000000000004</v>
      </c>
      <c r="H641" s="261" t="s">
        <v>567</v>
      </c>
    </row>
    <row r="642" spans="1:8" ht="40.15" customHeight="1" x14ac:dyDescent="0.25">
      <c r="A642" s="625"/>
      <c r="B642" s="248" t="s">
        <v>501</v>
      </c>
      <c r="C642" s="107" t="s">
        <v>499</v>
      </c>
      <c r="D642" s="194">
        <v>0.15</v>
      </c>
      <c r="E642" s="226">
        <v>2</v>
      </c>
      <c r="F642" s="210">
        <v>1.56</v>
      </c>
      <c r="G642" s="194">
        <f t="shared" si="26"/>
        <v>0.78</v>
      </c>
      <c r="H642" s="261" t="s">
        <v>571</v>
      </c>
    </row>
    <row r="643" spans="1:8" ht="40.15" customHeight="1" x14ac:dyDescent="0.25">
      <c r="A643" s="625"/>
      <c r="B643" s="248" t="s">
        <v>502</v>
      </c>
      <c r="C643" s="107" t="s">
        <v>499</v>
      </c>
      <c r="D643" s="194">
        <v>0.15</v>
      </c>
      <c r="E643" s="227">
        <v>766</v>
      </c>
      <c r="F643" s="249">
        <v>622</v>
      </c>
      <c r="G643" s="194">
        <f t="shared" si="26"/>
        <v>0.81201044386422971</v>
      </c>
      <c r="H643" s="261" t="s">
        <v>557</v>
      </c>
    </row>
    <row r="644" spans="1:8" ht="40.15" customHeight="1" x14ac:dyDescent="0.25">
      <c r="A644" s="625"/>
      <c r="B644" s="248" t="s">
        <v>503</v>
      </c>
      <c r="C644" s="107" t="s">
        <v>499</v>
      </c>
      <c r="D644" s="194">
        <v>0.15</v>
      </c>
      <c r="E644" s="210">
        <v>1</v>
      </c>
      <c r="F644" s="210">
        <v>1</v>
      </c>
      <c r="G644" s="194">
        <f t="shared" si="26"/>
        <v>1</v>
      </c>
      <c r="H644" s="261" t="s">
        <v>561</v>
      </c>
    </row>
    <row r="645" spans="1:8" ht="40.15" customHeight="1" x14ac:dyDescent="0.25">
      <c r="A645" s="625"/>
      <c r="B645" s="248" t="s">
        <v>504</v>
      </c>
      <c r="C645" s="107" t="s">
        <v>499</v>
      </c>
      <c r="D645" s="194">
        <v>0.15</v>
      </c>
      <c r="E645" s="210">
        <v>4707</v>
      </c>
      <c r="F645" s="210">
        <v>3972</v>
      </c>
      <c r="G645" s="194">
        <f t="shared" si="26"/>
        <v>0.84384958572339075</v>
      </c>
      <c r="H645" s="261" t="s">
        <v>551</v>
      </c>
    </row>
    <row r="646" spans="1:8" ht="40.15" customHeight="1" x14ac:dyDescent="0.25">
      <c r="A646" s="626"/>
      <c r="B646" s="248" t="s">
        <v>505</v>
      </c>
      <c r="C646" s="107" t="s">
        <v>499</v>
      </c>
      <c r="D646" s="194">
        <v>0.1</v>
      </c>
      <c r="E646" s="213">
        <v>1</v>
      </c>
      <c r="F646" s="213">
        <v>1</v>
      </c>
      <c r="G646" s="194">
        <f t="shared" si="26"/>
        <v>1</v>
      </c>
      <c r="H646" s="261" t="s">
        <v>591</v>
      </c>
    </row>
    <row r="647" spans="1:8" x14ac:dyDescent="0.25">
      <c r="A647" s="47" t="s">
        <v>133</v>
      </c>
      <c r="B647" s="47"/>
      <c r="C647" s="47"/>
      <c r="D647" s="47"/>
      <c r="E647" s="47"/>
      <c r="F647" s="47"/>
      <c r="G647" s="47" t="e">
        <f t="shared" si="22"/>
        <v>#DIV/0!</v>
      </c>
      <c r="H647" s="47"/>
    </row>
    <row r="648" spans="1:8" x14ac:dyDescent="0.25">
      <c r="A648" s="47" t="s">
        <v>134</v>
      </c>
      <c r="B648" s="47"/>
      <c r="C648" s="47"/>
      <c r="D648" s="47"/>
      <c r="E648" s="47"/>
      <c r="F648" s="47"/>
      <c r="G648" s="47" t="e">
        <f t="shared" si="22"/>
        <v>#DIV/0!</v>
      </c>
      <c r="H648" s="47"/>
    </row>
    <row r="649" spans="1:8" x14ac:dyDescent="0.25">
      <c r="A649" s="47" t="s">
        <v>135</v>
      </c>
      <c r="B649" s="47"/>
      <c r="C649" s="47"/>
      <c r="D649" s="47"/>
      <c r="E649" s="47"/>
      <c r="F649" s="47"/>
      <c r="G649" s="47" t="e">
        <f t="shared" si="22"/>
        <v>#DIV/0!</v>
      </c>
      <c r="H649" s="47"/>
    </row>
    <row r="651" spans="1:8" ht="20.25" hidden="1" x14ac:dyDescent="0.3">
      <c r="A651" s="631" t="s">
        <v>188</v>
      </c>
      <c r="B651" s="632"/>
      <c r="C651" s="632"/>
      <c r="D651" s="632"/>
      <c r="E651" s="632"/>
      <c r="F651" s="632"/>
      <c r="G651" s="632"/>
      <c r="H651" s="633"/>
    </row>
    <row r="652" spans="1:8" ht="54.75" hidden="1" customHeight="1" x14ac:dyDescent="0.25">
      <c r="A652" s="188" t="s">
        <v>62</v>
      </c>
      <c r="B652" s="46" t="s">
        <v>184</v>
      </c>
      <c r="C652" s="50" t="s">
        <v>150</v>
      </c>
      <c r="D652" s="50" t="s">
        <v>161</v>
      </c>
      <c r="E652" s="50" t="s">
        <v>189</v>
      </c>
      <c r="F652" s="50" t="s">
        <v>190</v>
      </c>
      <c r="G652" s="50" t="s">
        <v>191</v>
      </c>
      <c r="H652" s="46" t="s">
        <v>173</v>
      </c>
    </row>
    <row r="653" spans="1:8" ht="16.5" hidden="1" customHeight="1" x14ac:dyDescent="0.25">
      <c r="A653" s="47" t="s">
        <v>137</v>
      </c>
      <c r="B653" s="47"/>
      <c r="C653" s="47"/>
      <c r="D653" s="47"/>
      <c r="E653" s="47"/>
      <c r="F653" s="47"/>
      <c r="G653" s="47" t="e">
        <f>F653/E653</f>
        <v>#DIV/0!</v>
      </c>
      <c r="H653" s="47"/>
    </row>
    <row r="654" spans="1:8" ht="16.5" hidden="1" customHeight="1" x14ac:dyDescent="0.25">
      <c r="A654" s="47" t="s">
        <v>138</v>
      </c>
      <c r="B654" s="47"/>
      <c r="C654" s="47"/>
      <c r="D654" s="47"/>
      <c r="E654" s="47"/>
      <c r="F654" s="47"/>
      <c r="G654" s="47" t="e">
        <f t="shared" ref="G654:G664" si="27">F654/E654</f>
        <v>#DIV/0!</v>
      </c>
      <c r="H654" s="47"/>
    </row>
    <row r="655" spans="1:8" ht="16.5" hidden="1" customHeight="1" x14ac:dyDescent="0.25">
      <c r="A655" s="47" t="s">
        <v>139</v>
      </c>
      <c r="B655" s="47"/>
      <c r="C655" s="47"/>
      <c r="D655" s="47"/>
      <c r="E655" s="47"/>
      <c r="F655" s="47"/>
      <c r="G655" s="47" t="e">
        <f t="shared" si="27"/>
        <v>#DIV/0!</v>
      </c>
      <c r="H655" s="47"/>
    </row>
    <row r="656" spans="1:8" ht="16.5" hidden="1" customHeight="1" x14ac:dyDescent="0.25">
      <c r="A656" s="47" t="s">
        <v>140</v>
      </c>
      <c r="B656" s="47"/>
      <c r="C656" s="47"/>
      <c r="D656" s="47"/>
      <c r="E656" s="47"/>
      <c r="F656" s="47"/>
      <c r="G656" s="47" t="e">
        <f t="shared" si="27"/>
        <v>#DIV/0!</v>
      </c>
      <c r="H656" s="47"/>
    </row>
    <row r="657" spans="1:8" ht="16.5" hidden="1" customHeight="1" x14ac:dyDescent="0.25">
      <c r="A657" s="47" t="s">
        <v>141</v>
      </c>
      <c r="B657" s="47"/>
      <c r="C657" s="47"/>
      <c r="D657" s="47"/>
      <c r="E657" s="47"/>
      <c r="F657" s="47"/>
      <c r="G657" s="47" t="e">
        <f t="shared" si="27"/>
        <v>#DIV/0!</v>
      </c>
      <c r="H657" s="47"/>
    </row>
    <row r="658" spans="1:8" ht="16.5" hidden="1" customHeight="1" x14ac:dyDescent="0.25">
      <c r="A658" s="47" t="s">
        <v>142</v>
      </c>
      <c r="B658" s="47"/>
      <c r="C658" s="47"/>
      <c r="D658" s="47"/>
      <c r="E658" s="47"/>
      <c r="F658" s="47"/>
      <c r="G658" s="47" t="e">
        <f t="shared" si="27"/>
        <v>#DIV/0!</v>
      </c>
      <c r="H658" s="47"/>
    </row>
    <row r="659" spans="1:8" hidden="1" x14ac:dyDescent="0.25">
      <c r="A659" s="47" t="s">
        <v>130</v>
      </c>
      <c r="B659" s="47"/>
      <c r="C659" s="47"/>
      <c r="D659" s="47"/>
      <c r="E659" s="47"/>
      <c r="F659" s="47"/>
      <c r="G659" s="47" t="e">
        <f t="shared" si="27"/>
        <v>#DIV/0!</v>
      </c>
      <c r="H659" s="47"/>
    </row>
    <row r="660" spans="1:8" hidden="1" x14ac:dyDescent="0.25">
      <c r="A660" s="47" t="s">
        <v>131</v>
      </c>
      <c r="B660" s="47"/>
      <c r="C660" s="47"/>
      <c r="D660" s="47"/>
      <c r="E660" s="47"/>
      <c r="F660" s="47"/>
      <c r="G660" s="47" t="e">
        <f t="shared" si="27"/>
        <v>#DIV/0!</v>
      </c>
      <c r="H660" s="47"/>
    </row>
    <row r="661" spans="1:8" hidden="1" x14ac:dyDescent="0.25">
      <c r="A661" s="47" t="s">
        <v>132</v>
      </c>
      <c r="B661" s="47"/>
      <c r="C661" s="47"/>
      <c r="D661" s="47"/>
      <c r="E661" s="47"/>
      <c r="F661" s="47"/>
      <c r="G661" s="47" t="e">
        <f t="shared" si="27"/>
        <v>#DIV/0!</v>
      </c>
      <c r="H661" s="47"/>
    </row>
    <row r="662" spans="1:8" hidden="1" x14ac:dyDescent="0.25">
      <c r="A662" s="47" t="s">
        <v>133</v>
      </c>
      <c r="B662" s="47"/>
      <c r="C662" s="47"/>
      <c r="D662" s="47"/>
      <c r="E662" s="47"/>
      <c r="F662" s="47"/>
      <c r="G662" s="47" t="e">
        <f t="shared" si="27"/>
        <v>#DIV/0!</v>
      </c>
      <c r="H662" s="47"/>
    </row>
    <row r="663" spans="1:8" hidden="1" x14ac:dyDescent="0.25">
      <c r="A663" s="47" t="s">
        <v>134</v>
      </c>
      <c r="B663" s="47"/>
      <c r="C663" s="47"/>
      <c r="D663" s="47"/>
      <c r="E663" s="47"/>
      <c r="F663" s="47"/>
      <c r="G663" s="47" t="e">
        <f t="shared" si="27"/>
        <v>#DIV/0!</v>
      </c>
      <c r="H663" s="47"/>
    </row>
    <row r="664" spans="1:8" hidden="1" x14ac:dyDescent="0.25">
      <c r="A664" s="47" t="s">
        <v>135</v>
      </c>
      <c r="B664" s="47"/>
      <c r="C664" s="47"/>
      <c r="D664" s="47"/>
      <c r="E664" s="47"/>
      <c r="F664" s="47"/>
      <c r="G664" s="47" t="e">
        <f t="shared" si="27"/>
        <v>#DIV/0!</v>
      </c>
      <c r="H664" s="47"/>
    </row>
    <row r="665" spans="1:8" hidden="1" x14ac:dyDescent="0.25"/>
    <row r="666" spans="1:8" ht="20.25" hidden="1" x14ac:dyDescent="0.3">
      <c r="A666" s="631" t="s">
        <v>192</v>
      </c>
      <c r="B666" s="632"/>
      <c r="C666" s="632"/>
      <c r="D666" s="632"/>
      <c r="E666" s="632"/>
      <c r="F666" s="632"/>
      <c r="G666" s="632"/>
      <c r="H666" s="633"/>
    </row>
    <row r="667" spans="1:8" ht="52.5" hidden="1" customHeight="1" x14ac:dyDescent="0.25">
      <c r="A667" s="188" t="s">
        <v>63</v>
      </c>
      <c r="B667" s="46" t="s">
        <v>184</v>
      </c>
      <c r="C667" s="50" t="s">
        <v>150</v>
      </c>
      <c r="D667" s="50" t="s">
        <v>164</v>
      </c>
      <c r="E667" s="50" t="s">
        <v>193</v>
      </c>
      <c r="F667" s="50" t="s">
        <v>194</v>
      </c>
      <c r="G667" s="50" t="s">
        <v>195</v>
      </c>
      <c r="H667" s="46" t="s">
        <v>173</v>
      </c>
    </row>
    <row r="668" spans="1:8" ht="16.5" hidden="1" customHeight="1" x14ac:dyDescent="0.25">
      <c r="A668" s="47" t="s">
        <v>137</v>
      </c>
      <c r="B668" s="47"/>
      <c r="C668" s="47"/>
      <c r="D668" s="47"/>
      <c r="E668" s="47"/>
      <c r="F668" s="47"/>
      <c r="G668" s="47" t="e">
        <f>F668/E668</f>
        <v>#DIV/0!</v>
      </c>
      <c r="H668" s="47"/>
    </row>
    <row r="669" spans="1:8" ht="16.5" hidden="1" customHeight="1" x14ac:dyDescent="0.25">
      <c r="A669" s="47" t="s">
        <v>138</v>
      </c>
      <c r="B669" s="47"/>
      <c r="C669" s="47"/>
      <c r="D669" s="47"/>
      <c r="E669" s="47"/>
      <c r="F669" s="47"/>
      <c r="G669" s="47" t="e">
        <f t="shared" ref="G669:G679" si="28">F669/E669</f>
        <v>#DIV/0!</v>
      </c>
      <c r="H669" s="47"/>
    </row>
    <row r="670" spans="1:8" ht="16.5" hidden="1" customHeight="1" x14ac:dyDescent="0.25">
      <c r="A670" s="47" t="s">
        <v>139</v>
      </c>
      <c r="B670" s="47"/>
      <c r="C670" s="47"/>
      <c r="D670" s="47"/>
      <c r="E670" s="47"/>
      <c r="F670" s="47"/>
      <c r="G670" s="47" t="e">
        <f t="shared" si="28"/>
        <v>#DIV/0!</v>
      </c>
      <c r="H670" s="47"/>
    </row>
    <row r="671" spans="1:8" ht="16.5" hidden="1" customHeight="1" x14ac:dyDescent="0.25">
      <c r="A671" s="47" t="s">
        <v>140</v>
      </c>
      <c r="B671" s="47"/>
      <c r="C671" s="47"/>
      <c r="D671" s="47"/>
      <c r="E671" s="47"/>
      <c r="F671" s="47"/>
      <c r="G671" s="47" t="e">
        <f t="shared" si="28"/>
        <v>#DIV/0!</v>
      </c>
      <c r="H671" s="47"/>
    </row>
    <row r="672" spans="1:8" ht="16.5" hidden="1" customHeight="1" x14ac:dyDescent="0.25">
      <c r="A672" s="47" t="s">
        <v>141</v>
      </c>
      <c r="B672" s="47"/>
      <c r="C672" s="47"/>
      <c r="D672" s="47"/>
      <c r="E672" s="47"/>
      <c r="F672" s="47"/>
      <c r="G672" s="47" t="e">
        <f t="shared" si="28"/>
        <v>#DIV/0!</v>
      </c>
      <c r="H672" s="47"/>
    </row>
    <row r="673" spans="1:8" ht="16.5" hidden="1" customHeight="1" x14ac:dyDescent="0.25">
      <c r="A673" s="47" t="s">
        <v>142</v>
      </c>
      <c r="B673" s="47"/>
      <c r="C673" s="47"/>
      <c r="D673" s="47"/>
      <c r="E673" s="47"/>
      <c r="F673" s="47"/>
      <c r="G673" s="47" t="e">
        <f t="shared" si="28"/>
        <v>#DIV/0!</v>
      </c>
      <c r="H673" s="47"/>
    </row>
    <row r="674" spans="1:8" hidden="1" x14ac:dyDescent="0.25">
      <c r="A674" s="47" t="s">
        <v>130</v>
      </c>
      <c r="B674" s="47"/>
      <c r="C674" s="47"/>
      <c r="D674" s="47"/>
      <c r="E674" s="47"/>
      <c r="F674" s="47"/>
      <c r="G674" s="47" t="e">
        <f t="shared" si="28"/>
        <v>#DIV/0!</v>
      </c>
      <c r="H674" s="47"/>
    </row>
    <row r="675" spans="1:8" hidden="1" x14ac:dyDescent="0.25">
      <c r="A675" s="47" t="s">
        <v>131</v>
      </c>
      <c r="B675" s="47"/>
      <c r="C675" s="47"/>
      <c r="D675" s="47"/>
      <c r="E675" s="47"/>
      <c r="F675" s="47"/>
      <c r="G675" s="47" t="e">
        <f t="shared" si="28"/>
        <v>#DIV/0!</v>
      </c>
      <c r="H675" s="47"/>
    </row>
    <row r="676" spans="1:8" hidden="1" x14ac:dyDescent="0.25">
      <c r="A676" s="47" t="s">
        <v>132</v>
      </c>
      <c r="B676" s="47"/>
      <c r="C676" s="47"/>
      <c r="D676" s="47"/>
      <c r="E676" s="47"/>
      <c r="F676" s="47"/>
      <c r="G676" s="47" t="e">
        <f t="shared" si="28"/>
        <v>#DIV/0!</v>
      </c>
      <c r="H676" s="47"/>
    </row>
    <row r="677" spans="1:8" hidden="1" x14ac:dyDescent="0.25">
      <c r="A677" s="47" t="s">
        <v>133</v>
      </c>
      <c r="B677" s="47"/>
      <c r="C677" s="47"/>
      <c r="D677" s="47"/>
      <c r="E677" s="47"/>
      <c r="F677" s="47"/>
      <c r="G677" s="47" t="e">
        <f t="shared" si="28"/>
        <v>#DIV/0!</v>
      </c>
      <c r="H677" s="47"/>
    </row>
    <row r="678" spans="1:8" hidden="1" x14ac:dyDescent="0.25">
      <c r="A678" s="47" t="s">
        <v>134</v>
      </c>
      <c r="B678" s="47"/>
      <c r="C678" s="47"/>
      <c r="D678" s="47"/>
      <c r="E678" s="47"/>
      <c r="F678" s="47"/>
      <c r="G678" s="47" t="e">
        <f t="shared" si="28"/>
        <v>#DIV/0!</v>
      </c>
      <c r="H678" s="47"/>
    </row>
    <row r="679" spans="1:8" hidden="1" x14ac:dyDescent="0.25">
      <c r="A679" s="47" t="s">
        <v>135</v>
      </c>
      <c r="B679" s="47"/>
      <c r="C679" s="47"/>
      <c r="D679" s="47"/>
      <c r="E679" s="47"/>
      <c r="F679" s="47"/>
      <c r="G679" s="47" t="e">
        <f t="shared" si="28"/>
        <v>#DIV/0!</v>
      </c>
      <c r="H679" s="47"/>
    </row>
    <row r="680" spans="1:8" hidden="1" x14ac:dyDescent="0.25"/>
    <row r="681" spans="1:8" ht="20.25" hidden="1" x14ac:dyDescent="0.3">
      <c r="A681" s="631" t="s">
        <v>196</v>
      </c>
      <c r="B681" s="632"/>
      <c r="C681" s="632"/>
      <c r="D681" s="632"/>
      <c r="E681" s="632"/>
      <c r="F681" s="632"/>
      <c r="G681" s="632"/>
      <c r="H681" s="633"/>
    </row>
    <row r="682" spans="1:8" ht="63.75" hidden="1" customHeight="1" x14ac:dyDescent="0.25">
      <c r="A682" s="188" t="s">
        <v>64</v>
      </c>
      <c r="B682" s="46" t="s">
        <v>184</v>
      </c>
      <c r="C682" s="50" t="s">
        <v>150</v>
      </c>
      <c r="D682" s="50" t="s">
        <v>167</v>
      </c>
      <c r="E682" s="50" t="s">
        <v>197</v>
      </c>
      <c r="F682" s="50" t="s">
        <v>198</v>
      </c>
      <c r="G682" s="50" t="s">
        <v>199</v>
      </c>
      <c r="H682" s="46" t="s">
        <v>173</v>
      </c>
    </row>
    <row r="683" spans="1:8" hidden="1" x14ac:dyDescent="0.25">
      <c r="A683" s="47" t="s">
        <v>137</v>
      </c>
      <c r="B683" s="47"/>
      <c r="C683" s="47"/>
      <c r="D683" s="47"/>
      <c r="E683" s="47"/>
      <c r="F683" s="47"/>
      <c r="G683" s="47" t="e">
        <f>F683/E683</f>
        <v>#DIV/0!</v>
      </c>
      <c r="H683" s="47"/>
    </row>
    <row r="684" spans="1:8" hidden="1" x14ac:dyDescent="0.25">
      <c r="A684" s="47" t="s">
        <v>138</v>
      </c>
      <c r="B684" s="47"/>
      <c r="C684" s="47"/>
      <c r="D684" s="47"/>
      <c r="E684" s="47"/>
      <c r="F684" s="47"/>
      <c r="G684" s="47" t="e">
        <f t="shared" ref="G684:G694" si="29">F684/E684</f>
        <v>#DIV/0!</v>
      </c>
      <c r="H684" s="47"/>
    </row>
    <row r="685" spans="1:8" hidden="1" x14ac:dyDescent="0.25">
      <c r="A685" s="47" t="s">
        <v>139</v>
      </c>
      <c r="B685" s="47"/>
      <c r="C685" s="47"/>
      <c r="D685" s="47"/>
      <c r="E685" s="47"/>
      <c r="F685" s="47"/>
      <c r="G685" s="47" t="e">
        <f t="shared" si="29"/>
        <v>#DIV/0!</v>
      </c>
      <c r="H685" s="47"/>
    </row>
    <row r="686" spans="1:8" hidden="1" x14ac:dyDescent="0.25">
      <c r="A686" s="47" t="s">
        <v>140</v>
      </c>
      <c r="B686" s="47"/>
      <c r="C686" s="47"/>
      <c r="D686" s="47"/>
      <c r="E686" s="47"/>
      <c r="F686" s="47"/>
      <c r="G686" s="47" t="e">
        <f t="shared" si="29"/>
        <v>#DIV/0!</v>
      </c>
      <c r="H686" s="47"/>
    </row>
    <row r="687" spans="1:8" hidden="1" x14ac:dyDescent="0.25">
      <c r="A687" s="47" t="s">
        <v>141</v>
      </c>
      <c r="B687" s="47"/>
      <c r="C687" s="47"/>
      <c r="D687" s="47"/>
      <c r="E687" s="47"/>
      <c r="F687" s="47"/>
      <c r="G687" s="47" t="e">
        <f t="shared" si="29"/>
        <v>#DIV/0!</v>
      </c>
      <c r="H687" s="47"/>
    </row>
    <row r="688" spans="1:8" hidden="1" x14ac:dyDescent="0.25">
      <c r="A688" s="47" t="s">
        <v>142</v>
      </c>
      <c r="B688" s="47"/>
      <c r="C688" s="47"/>
      <c r="D688" s="47"/>
      <c r="E688" s="47"/>
      <c r="F688" s="47"/>
      <c r="G688" s="47" t="e">
        <f t="shared" si="29"/>
        <v>#DIV/0!</v>
      </c>
      <c r="H688" s="47"/>
    </row>
    <row r="689" spans="1:38" hidden="1" x14ac:dyDescent="0.25">
      <c r="A689" s="47" t="s">
        <v>130</v>
      </c>
      <c r="B689" s="47"/>
      <c r="C689" s="47"/>
      <c r="D689" s="47"/>
      <c r="E689" s="47"/>
      <c r="F689" s="47"/>
      <c r="G689" s="47" t="e">
        <f t="shared" si="29"/>
        <v>#DIV/0!</v>
      </c>
      <c r="H689" s="47"/>
    </row>
    <row r="690" spans="1:38" hidden="1" x14ac:dyDescent="0.25">
      <c r="A690" s="47" t="s">
        <v>131</v>
      </c>
      <c r="B690" s="47"/>
      <c r="C690" s="47"/>
      <c r="D690" s="47"/>
      <c r="E690" s="47"/>
      <c r="F690" s="47"/>
      <c r="G690" s="47" t="e">
        <f t="shared" si="29"/>
        <v>#DIV/0!</v>
      </c>
      <c r="H690" s="47"/>
    </row>
    <row r="691" spans="1:38" hidden="1" x14ac:dyDescent="0.25">
      <c r="A691" s="47" t="s">
        <v>132</v>
      </c>
      <c r="B691" s="47"/>
      <c r="C691" s="47"/>
      <c r="D691" s="47"/>
      <c r="E691" s="47"/>
      <c r="F691" s="47"/>
      <c r="G691" s="47" t="e">
        <f t="shared" si="29"/>
        <v>#DIV/0!</v>
      </c>
      <c r="H691" s="47"/>
    </row>
    <row r="692" spans="1:38" hidden="1" x14ac:dyDescent="0.25">
      <c r="A692" s="47" t="s">
        <v>133</v>
      </c>
      <c r="B692" s="47"/>
      <c r="C692" s="47"/>
      <c r="D692" s="47"/>
      <c r="E692" s="47"/>
      <c r="F692" s="47"/>
      <c r="G692" s="47" t="e">
        <f t="shared" si="29"/>
        <v>#DIV/0!</v>
      </c>
      <c r="H692" s="47"/>
    </row>
    <row r="693" spans="1:38" hidden="1" x14ac:dyDescent="0.25">
      <c r="A693" s="47" t="s">
        <v>134</v>
      </c>
      <c r="B693" s="47"/>
      <c r="C693" s="47"/>
      <c r="D693" s="47"/>
      <c r="E693" s="47"/>
      <c r="F693" s="47"/>
      <c r="G693" s="47" t="e">
        <f t="shared" si="29"/>
        <v>#DIV/0!</v>
      </c>
      <c r="H693" s="47"/>
    </row>
    <row r="694" spans="1:38" ht="22.15" hidden="1" customHeight="1" x14ac:dyDescent="0.25">
      <c r="A694" s="47" t="s">
        <v>135</v>
      </c>
      <c r="B694" s="47"/>
      <c r="C694" s="47"/>
      <c r="D694" s="47"/>
      <c r="E694" s="47"/>
      <c r="F694" s="47"/>
      <c r="G694" s="47" t="e">
        <f t="shared" si="29"/>
        <v>#DIV/0!</v>
      </c>
      <c r="H694" s="47"/>
    </row>
    <row r="695" spans="1:38" ht="26.25" customHeight="1" x14ac:dyDescent="0.25">
      <c r="A695" s="29" t="s">
        <v>35</v>
      </c>
      <c r="B695" s="27"/>
      <c r="C695" s="27"/>
      <c r="D695" s="27"/>
      <c r="E695" s="28"/>
      <c r="F695" s="28"/>
      <c r="G695" s="28"/>
      <c r="H695" s="28"/>
      <c r="I695" s="258"/>
      <c r="J695" s="28"/>
      <c r="K695" s="28"/>
      <c r="L695" s="28"/>
      <c r="M695" s="28"/>
      <c r="N695" s="28"/>
      <c r="O695" s="28"/>
      <c r="P695" s="28"/>
      <c r="Q695" s="28"/>
      <c r="R695" s="27"/>
      <c r="S695" s="27"/>
      <c r="T695" s="27"/>
      <c r="U695" s="27"/>
      <c r="V695" s="27"/>
      <c r="W695" s="27"/>
      <c r="X695" s="30"/>
      <c r="Y695" s="30"/>
      <c r="Z695" s="30"/>
      <c r="AA695" s="30"/>
      <c r="AB695" s="30"/>
      <c r="AC695" s="30"/>
      <c r="AD695" s="45"/>
      <c r="AE695" s="45"/>
      <c r="AF695" s="31"/>
      <c r="AG695" s="31"/>
      <c r="AH695" s="31"/>
      <c r="AI695" s="31"/>
      <c r="AJ695" s="31"/>
      <c r="AK695" s="31"/>
      <c r="AL695" s="31"/>
    </row>
    <row r="696" spans="1:38" x14ac:dyDescent="0.25">
      <c r="A696" s="267" t="s">
        <v>36</v>
      </c>
      <c r="B696" s="600" t="s">
        <v>37</v>
      </c>
      <c r="C696" s="601"/>
      <c r="D696" s="601"/>
      <c r="E696" s="601"/>
      <c r="F696" s="601"/>
      <c r="G696" s="601"/>
      <c r="H696" s="602"/>
      <c r="I696" s="603" t="s">
        <v>38</v>
      </c>
      <c r="J696" s="604"/>
      <c r="K696" s="604"/>
      <c r="L696" s="604"/>
      <c r="M696" s="604"/>
      <c r="N696" s="604"/>
      <c r="O696" s="605"/>
    </row>
    <row r="697" spans="1:38" x14ac:dyDescent="0.25">
      <c r="A697" s="268">
        <v>13</v>
      </c>
      <c r="B697" s="466" t="s">
        <v>91</v>
      </c>
      <c r="C697" s="466"/>
      <c r="D697" s="466"/>
      <c r="E697" s="466"/>
      <c r="F697" s="466"/>
      <c r="G697" s="466"/>
      <c r="H697" s="466"/>
      <c r="I697" s="466" t="s">
        <v>82</v>
      </c>
      <c r="J697" s="466"/>
      <c r="K697" s="466"/>
      <c r="L697" s="466"/>
      <c r="M697" s="466"/>
      <c r="N697" s="466"/>
      <c r="O697" s="466"/>
    </row>
    <row r="698" spans="1:38" x14ac:dyDescent="0.25">
      <c r="A698" s="268">
        <v>14</v>
      </c>
      <c r="B698" s="466" t="s">
        <v>265</v>
      </c>
      <c r="C698" s="466"/>
      <c r="D698" s="466"/>
      <c r="E698" s="466"/>
      <c r="F698" s="466"/>
      <c r="G698" s="466"/>
      <c r="H698" s="466"/>
      <c r="I698" s="467" t="s">
        <v>602</v>
      </c>
      <c r="J698" s="467"/>
      <c r="K698" s="467"/>
      <c r="L698" s="467"/>
      <c r="M698" s="467"/>
      <c r="N698" s="467"/>
      <c r="O698" s="467"/>
    </row>
  </sheetData>
  <mergeCells count="350">
    <mergeCell ref="F327:F328"/>
    <mergeCell ref="F313:F314"/>
    <mergeCell ref="F320:F321"/>
    <mergeCell ref="B481:B483"/>
    <mergeCell ref="C481:C483"/>
    <mergeCell ref="B486:B487"/>
    <mergeCell ref="C486:C487"/>
    <mergeCell ref="A481:A487"/>
    <mergeCell ref="B164:B165"/>
    <mergeCell ref="B167:B168"/>
    <mergeCell ref="B322:B324"/>
    <mergeCell ref="C322:C324"/>
    <mergeCell ref="A308:A314"/>
    <mergeCell ref="A460:A466"/>
    <mergeCell ref="B460:B462"/>
    <mergeCell ref="A474:A480"/>
    <mergeCell ref="B474:B476"/>
    <mergeCell ref="C474:C476"/>
    <mergeCell ref="B479:B480"/>
    <mergeCell ref="C479:C480"/>
    <mergeCell ref="A467:A473"/>
    <mergeCell ref="B467:B469"/>
    <mergeCell ref="C467:C469"/>
    <mergeCell ref="B472:B473"/>
    <mergeCell ref="F315:F317"/>
    <mergeCell ref="B320:B321"/>
    <mergeCell ref="A560:A566"/>
    <mergeCell ref="C420:C421"/>
    <mergeCell ref="A423:G423"/>
    <mergeCell ref="A401:A407"/>
    <mergeCell ref="B401:B403"/>
    <mergeCell ref="C401:C403"/>
    <mergeCell ref="C425:C427"/>
    <mergeCell ref="B430:B431"/>
    <mergeCell ref="C430:C431"/>
    <mergeCell ref="B432:B434"/>
    <mergeCell ref="C432:C434"/>
    <mergeCell ref="B437:B438"/>
    <mergeCell ref="C437:C438"/>
    <mergeCell ref="B444:B445"/>
    <mergeCell ref="C444:C445"/>
    <mergeCell ref="A446:A452"/>
    <mergeCell ref="B446:B448"/>
    <mergeCell ref="D322:D324"/>
    <mergeCell ref="E322:E324"/>
    <mergeCell ref="F322:F324"/>
    <mergeCell ref="B327:B328"/>
    <mergeCell ref="C327:C328"/>
    <mergeCell ref="A539:A545"/>
    <mergeCell ref="A546:A552"/>
    <mergeCell ref="A553:A559"/>
    <mergeCell ref="C451:C452"/>
    <mergeCell ref="C465:C466"/>
    <mergeCell ref="A453:A459"/>
    <mergeCell ref="B453:B455"/>
    <mergeCell ref="C453:C455"/>
    <mergeCell ref="B458:B459"/>
    <mergeCell ref="C472:C473"/>
    <mergeCell ref="C460:C462"/>
    <mergeCell ref="B465:B466"/>
    <mergeCell ref="B415:B417"/>
    <mergeCell ref="C415:C417"/>
    <mergeCell ref="B420:B421"/>
    <mergeCell ref="A301:A307"/>
    <mergeCell ref="B301:B303"/>
    <mergeCell ref="C301:C303"/>
    <mergeCell ref="F301:F303"/>
    <mergeCell ref="B306:B307"/>
    <mergeCell ref="C306:C307"/>
    <mergeCell ref="D306:D307"/>
    <mergeCell ref="B308:B310"/>
    <mergeCell ref="C308:C310"/>
    <mergeCell ref="D308:D310"/>
    <mergeCell ref="E308:E310"/>
    <mergeCell ref="F308:F310"/>
    <mergeCell ref="B313:B314"/>
    <mergeCell ref="C313:C314"/>
    <mergeCell ref="D313:D314"/>
    <mergeCell ref="E313:E314"/>
    <mergeCell ref="B387:B389"/>
    <mergeCell ref="C387:C389"/>
    <mergeCell ref="B392:B393"/>
    <mergeCell ref="C392:C393"/>
    <mergeCell ref="A394:A400"/>
    <mergeCell ref="B394:B396"/>
    <mergeCell ref="C394:C396"/>
    <mergeCell ref="B399:B400"/>
    <mergeCell ref="C399:C400"/>
    <mergeCell ref="A315:A321"/>
    <mergeCell ref="D315:D317"/>
    <mergeCell ref="E315:E317"/>
    <mergeCell ref="C320:C321"/>
    <mergeCell ref="D320:D321"/>
    <mergeCell ref="E320:E321"/>
    <mergeCell ref="B315:B317"/>
    <mergeCell ref="C315:C317"/>
    <mergeCell ref="A322:A328"/>
    <mergeCell ref="D327:D328"/>
    <mergeCell ref="E327:E328"/>
    <mergeCell ref="D294:D296"/>
    <mergeCell ref="E294:E296"/>
    <mergeCell ref="F294:F296"/>
    <mergeCell ref="B299:B300"/>
    <mergeCell ref="C299:C300"/>
    <mergeCell ref="D299:D300"/>
    <mergeCell ref="E299:E300"/>
    <mergeCell ref="A439:A445"/>
    <mergeCell ref="B439:B441"/>
    <mergeCell ref="C439:C441"/>
    <mergeCell ref="E306:E307"/>
    <mergeCell ref="F306:F307"/>
    <mergeCell ref="D301:D303"/>
    <mergeCell ref="E301:E303"/>
    <mergeCell ref="A432:A438"/>
    <mergeCell ref="A415:A421"/>
    <mergeCell ref="B406:B407"/>
    <mergeCell ref="C406:C407"/>
    <mergeCell ref="A408:A414"/>
    <mergeCell ref="B408:B410"/>
    <mergeCell ref="C408:C410"/>
    <mergeCell ref="B413:B414"/>
    <mergeCell ref="C413:C414"/>
    <mergeCell ref="A387:A393"/>
    <mergeCell ref="A425:A431"/>
    <mergeCell ref="C458:C459"/>
    <mergeCell ref="B425:B427"/>
    <mergeCell ref="A591:A597"/>
    <mergeCell ref="A598:A604"/>
    <mergeCell ref="A605:A611"/>
    <mergeCell ref="A651:H651"/>
    <mergeCell ref="A666:H666"/>
    <mergeCell ref="A681:H681"/>
    <mergeCell ref="A612:A618"/>
    <mergeCell ref="A619:A625"/>
    <mergeCell ref="A633:A639"/>
    <mergeCell ref="A626:A632"/>
    <mergeCell ref="A567:A573"/>
    <mergeCell ref="A574:A580"/>
    <mergeCell ref="A582:H582"/>
    <mergeCell ref="A584:A590"/>
    <mergeCell ref="A640:A646"/>
    <mergeCell ref="C446:C448"/>
    <mergeCell ref="B451:B452"/>
    <mergeCell ref="A492:G492"/>
    <mergeCell ref="A507:G507"/>
    <mergeCell ref="A522:G522"/>
    <mergeCell ref="A537:H537"/>
    <mergeCell ref="F292:F293"/>
    <mergeCell ref="A333:L333"/>
    <mergeCell ref="A348:L348"/>
    <mergeCell ref="A363:L363"/>
    <mergeCell ref="A378:G378"/>
    <mergeCell ref="A380:A386"/>
    <mergeCell ref="B380:B382"/>
    <mergeCell ref="C380:C382"/>
    <mergeCell ref="B385:B386"/>
    <mergeCell ref="C385:C386"/>
    <mergeCell ref="A287:A293"/>
    <mergeCell ref="B287:B289"/>
    <mergeCell ref="C287:C289"/>
    <mergeCell ref="D287:D289"/>
    <mergeCell ref="E287:E289"/>
    <mergeCell ref="F287:F289"/>
    <mergeCell ref="B292:B293"/>
    <mergeCell ref="C292:C293"/>
    <mergeCell ref="D292:D293"/>
    <mergeCell ref="E292:E293"/>
    <mergeCell ref="F299:F300"/>
    <mergeCell ref="A294:A300"/>
    <mergeCell ref="B294:B296"/>
    <mergeCell ref="C294:C296"/>
    <mergeCell ref="B285:B286"/>
    <mergeCell ref="C285:C286"/>
    <mergeCell ref="D285:D286"/>
    <mergeCell ref="E285:E286"/>
    <mergeCell ref="F285:F286"/>
    <mergeCell ref="B278:B279"/>
    <mergeCell ref="C278:C279"/>
    <mergeCell ref="D278:D279"/>
    <mergeCell ref="E278:E279"/>
    <mergeCell ref="F278:F279"/>
    <mergeCell ref="A264:L264"/>
    <mergeCell ref="A266:A272"/>
    <mergeCell ref="B266:B268"/>
    <mergeCell ref="C266:C268"/>
    <mergeCell ref="D266:D268"/>
    <mergeCell ref="E266:E268"/>
    <mergeCell ref="F266:F268"/>
    <mergeCell ref="B271:B272"/>
    <mergeCell ref="A280:A286"/>
    <mergeCell ref="B280:B282"/>
    <mergeCell ref="C280:C282"/>
    <mergeCell ref="D280:D282"/>
    <mergeCell ref="E280:E282"/>
    <mergeCell ref="C271:C272"/>
    <mergeCell ref="D271:D272"/>
    <mergeCell ref="E271:E272"/>
    <mergeCell ref="F271:F272"/>
    <mergeCell ref="A273:A279"/>
    <mergeCell ref="B273:B275"/>
    <mergeCell ref="C273:C275"/>
    <mergeCell ref="D273:D275"/>
    <mergeCell ref="E273:E275"/>
    <mergeCell ref="F273:F275"/>
    <mergeCell ref="F280:F282"/>
    <mergeCell ref="F254:F255"/>
    <mergeCell ref="A256:A262"/>
    <mergeCell ref="B256:B258"/>
    <mergeCell ref="C256:C258"/>
    <mergeCell ref="D256:D258"/>
    <mergeCell ref="E256:E258"/>
    <mergeCell ref="F256:F258"/>
    <mergeCell ref="B261:B262"/>
    <mergeCell ref="C261:C262"/>
    <mergeCell ref="D261:D262"/>
    <mergeCell ref="A249:A255"/>
    <mergeCell ref="B249:B251"/>
    <mergeCell ref="C249:C251"/>
    <mergeCell ref="D249:D251"/>
    <mergeCell ref="E249:E251"/>
    <mergeCell ref="F249:F251"/>
    <mergeCell ref="B254:B255"/>
    <mergeCell ref="C254:C255"/>
    <mergeCell ref="D254:D255"/>
    <mergeCell ref="E254:E255"/>
    <mergeCell ref="E261:E262"/>
    <mergeCell ref="F261:F262"/>
    <mergeCell ref="C247:C248"/>
    <mergeCell ref="D247:D248"/>
    <mergeCell ref="E247:E248"/>
    <mergeCell ref="F247:F248"/>
    <mergeCell ref="B240:B241"/>
    <mergeCell ref="C240:C241"/>
    <mergeCell ref="D240:D241"/>
    <mergeCell ref="E240:E241"/>
    <mergeCell ref="F240:F241"/>
    <mergeCell ref="A228:A234"/>
    <mergeCell ref="B228:B230"/>
    <mergeCell ref="C228:C230"/>
    <mergeCell ref="D228:D230"/>
    <mergeCell ref="E228:E230"/>
    <mergeCell ref="F228:F230"/>
    <mergeCell ref="B233:B234"/>
    <mergeCell ref="A242:A248"/>
    <mergeCell ref="B242:B244"/>
    <mergeCell ref="C242:C244"/>
    <mergeCell ref="D242:D244"/>
    <mergeCell ref="E242:E244"/>
    <mergeCell ref="C233:C234"/>
    <mergeCell ref="D233:D234"/>
    <mergeCell ref="E233:E234"/>
    <mergeCell ref="F233:F234"/>
    <mergeCell ref="A235:A241"/>
    <mergeCell ref="B235:B237"/>
    <mergeCell ref="C235:C237"/>
    <mergeCell ref="D235:D237"/>
    <mergeCell ref="E235:E237"/>
    <mergeCell ref="F235:F237"/>
    <mergeCell ref="F242:F244"/>
    <mergeCell ref="B247:B248"/>
    <mergeCell ref="A204:H204"/>
    <mergeCell ref="A219:L219"/>
    <mergeCell ref="A221:A227"/>
    <mergeCell ref="B221:B223"/>
    <mergeCell ref="C221:C223"/>
    <mergeCell ref="D221:D223"/>
    <mergeCell ref="E221:E223"/>
    <mergeCell ref="F221:F223"/>
    <mergeCell ref="B226:B227"/>
    <mergeCell ref="C226:C227"/>
    <mergeCell ref="D226:D227"/>
    <mergeCell ref="E226:E227"/>
    <mergeCell ref="F226:F227"/>
    <mergeCell ref="A104:A114"/>
    <mergeCell ref="B106:B108"/>
    <mergeCell ref="B109:B110"/>
    <mergeCell ref="B112:B113"/>
    <mergeCell ref="A174:H174"/>
    <mergeCell ref="A189:H189"/>
    <mergeCell ref="A115:A125"/>
    <mergeCell ref="A126:A136"/>
    <mergeCell ref="B117:B119"/>
    <mergeCell ref="B120:B121"/>
    <mergeCell ref="B123:B124"/>
    <mergeCell ref="A137:A147"/>
    <mergeCell ref="B139:B141"/>
    <mergeCell ref="B142:B143"/>
    <mergeCell ref="B145:B146"/>
    <mergeCell ref="B128:B130"/>
    <mergeCell ref="B131:B132"/>
    <mergeCell ref="B134:B135"/>
    <mergeCell ref="A148:A158"/>
    <mergeCell ref="B150:B152"/>
    <mergeCell ref="B153:B154"/>
    <mergeCell ref="B156:B157"/>
    <mergeCell ref="A159:A169"/>
    <mergeCell ref="B161:B163"/>
    <mergeCell ref="B101:B102"/>
    <mergeCell ref="A59:A68"/>
    <mergeCell ref="B60:B61"/>
    <mergeCell ref="B63:B64"/>
    <mergeCell ref="B65:B66"/>
    <mergeCell ref="A70:H70"/>
    <mergeCell ref="A72:A81"/>
    <mergeCell ref="B73:B74"/>
    <mergeCell ref="B75:B76"/>
    <mergeCell ref="B77:B78"/>
    <mergeCell ref="A1:B3"/>
    <mergeCell ref="C1:L1"/>
    <mergeCell ref="C2:L2"/>
    <mergeCell ref="C3:G3"/>
    <mergeCell ref="H3:L3"/>
    <mergeCell ref="A4:B4"/>
    <mergeCell ref="C4:L4"/>
    <mergeCell ref="A39:A48"/>
    <mergeCell ref="B40:B41"/>
    <mergeCell ref="B43:B44"/>
    <mergeCell ref="B45:B46"/>
    <mergeCell ref="A19:A28"/>
    <mergeCell ref="B20:B21"/>
    <mergeCell ref="B23:B24"/>
    <mergeCell ref="B25:B26"/>
    <mergeCell ref="A29:A38"/>
    <mergeCell ref="B30:B31"/>
    <mergeCell ref="B33:B34"/>
    <mergeCell ref="B35:B36"/>
    <mergeCell ref="B698:H698"/>
    <mergeCell ref="I698:O698"/>
    <mergeCell ref="B696:H696"/>
    <mergeCell ref="I696:O696"/>
    <mergeCell ref="B697:H697"/>
    <mergeCell ref="I697:O697"/>
    <mergeCell ref="A5:B5"/>
    <mergeCell ref="C5:L5"/>
    <mergeCell ref="A7:H7"/>
    <mergeCell ref="A9:A18"/>
    <mergeCell ref="B10:B11"/>
    <mergeCell ref="B13:B14"/>
    <mergeCell ref="B15:B16"/>
    <mergeCell ref="A49:A58"/>
    <mergeCell ref="B50:B51"/>
    <mergeCell ref="B53:B54"/>
    <mergeCell ref="B55:B56"/>
    <mergeCell ref="A82:A92"/>
    <mergeCell ref="B84:B86"/>
    <mergeCell ref="B87:B88"/>
    <mergeCell ref="B90:B91"/>
    <mergeCell ref="A93:A103"/>
    <mergeCell ref="B95:B97"/>
    <mergeCell ref="B98:B99"/>
  </mergeCells>
  <pageMargins left="0.7" right="0.7" top="0.75" bottom="0.75" header="0.3" footer="0.3"/>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GESTIÓN</vt:lpstr>
      <vt:lpstr>INVERSIÓN</vt:lpstr>
      <vt:lpstr>ACTIVIDADES</vt:lpstr>
      <vt:lpstr>TERRITORIALIZACIÓN </vt:lpstr>
      <vt:lpstr>SPI</vt:lpstr>
      <vt:lpstr>ACTIVIDADES!Área_de_impresión</vt:lpstr>
      <vt:lpstr>GESTIÓN!Área_de_impresión</vt:lpstr>
      <vt:lpstr>INVERSIÓN!Área_de_impresión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YULIED.PENARANDA</cp:lastModifiedBy>
  <cp:lastPrinted>2020-01-27T23:43:22Z</cp:lastPrinted>
  <dcterms:created xsi:type="dcterms:W3CDTF">2010-03-25T16:40:43Z</dcterms:created>
  <dcterms:modified xsi:type="dcterms:W3CDTF">2021-12-14T22:18:44Z</dcterms:modified>
</cp:coreProperties>
</file>