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B4AB9830-3B08-42A9-A243-CC4A023E0932}" xr6:coauthVersionLast="47" xr6:coauthVersionMax="47" xr10:uidLastSave="{00000000-0000-0000-0000-000000000000}"/>
  <bookViews>
    <workbookView xWindow="-120" yWindow="-120" windowWidth="20730" windowHeight="11160" xr2:uid="{00000000-000D-0000-FFFF-FFFF00000000}"/>
  </bookViews>
  <sheets>
    <sheet name="GESTIÓN" sheetId="1" r:id="rId1"/>
    <sheet name="INVERSIÓN" sheetId="2" r:id="rId2"/>
    <sheet name="ACTIVIDADES" sheetId="3" r:id="rId3"/>
    <sheet name="TERRITORIALIZACION" sheetId="7" r:id="rId4"/>
    <sheet name="SPI-" sheetId="8" r:id="rId5"/>
    <sheet name="SPI" sheetId="6" state="hidden" r:id="rId6"/>
  </sheets>
  <externalReferences>
    <externalReference r:id="rId7"/>
    <externalReference r:id="rId8"/>
    <externalReference r:id="rId9"/>
  </externalReferences>
  <definedNames>
    <definedName name="_xlnm._FilterDatabase" localSheetId="1" hidden="1">INVERSIÓN!$A$9:$FB$47</definedName>
    <definedName name="_xlnm.Print_Area" localSheetId="2">ACTIVIDADES!$A$1:$V$48</definedName>
    <definedName name="_xlnm.Print_Area" localSheetId="0">GESTIÓN!$A$1:$FC$14</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4" i="3" l="1"/>
  <c r="R118" i="7"/>
  <c r="R40" i="7" l="1"/>
  <c r="BF45" i="2" l="1"/>
  <c r="R119" i="7" l="1"/>
  <c r="H20" i="8" l="1"/>
  <c r="AE267" i="7"/>
  <c r="AE266" i="7"/>
  <c r="AE261" i="7"/>
  <c r="AE255" i="7"/>
  <c r="AE239" i="7"/>
  <c r="AE243" i="7" s="1"/>
  <c r="AE238" i="7"/>
  <c r="AE232" i="7"/>
  <c r="AE226" i="7"/>
  <c r="AE220" i="7"/>
  <c r="AE214" i="7"/>
  <c r="AE208" i="7"/>
  <c r="AE202" i="7"/>
  <c r="AE196" i="7"/>
  <c r="AE190" i="7"/>
  <c r="AE184" i="7"/>
  <c r="AE178" i="7"/>
  <c r="AE172" i="7"/>
  <c r="AE166" i="7"/>
  <c r="AE160" i="7"/>
  <c r="AE154" i="7"/>
  <c r="AE148" i="7"/>
  <c r="AE142" i="7"/>
  <c r="AE136" i="7"/>
  <c r="AE130" i="7"/>
  <c r="AE233" i="7"/>
  <c r="AE227" i="7"/>
  <c r="AE221" i="7"/>
  <c r="AE215" i="7"/>
  <c r="AE209" i="7"/>
  <c r="AE203" i="7"/>
  <c r="AE197" i="7"/>
  <c r="AE191" i="7"/>
  <c r="AE185" i="7"/>
  <c r="AE179" i="7"/>
  <c r="AE173" i="7"/>
  <c r="AE167" i="7"/>
  <c r="AE161" i="7"/>
  <c r="AE155" i="7"/>
  <c r="AE149" i="7"/>
  <c r="AE143" i="7"/>
  <c r="AE137" i="7"/>
  <c r="AE131" i="7"/>
  <c r="AZ49" i="2"/>
  <c r="AE244" i="7" l="1"/>
  <c r="AE248" i="7" s="1"/>
  <c r="AE245" i="7"/>
  <c r="AE249" i="7" s="1"/>
  <c r="AE242" i="7"/>
  <c r="R239" i="7" l="1"/>
  <c r="R131" i="7"/>
  <c r="R137" i="7"/>
  <c r="R143" i="7"/>
  <c r="R149" i="7"/>
  <c r="R155" i="7"/>
  <c r="R161" i="7"/>
  <c r="R167" i="7"/>
  <c r="R173" i="7"/>
  <c r="R179" i="7"/>
  <c r="R185" i="7"/>
  <c r="R191" i="7"/>
  <c r="R197" i="7"/>
  <c r="R203" i="7"/>
  <c r="R209" i="7"/>
  <c r="R215" i="7"/>
  <c r="R221" i="7"/>
  <c r="R227" i="7"/>
  <c r="R233" i="7"/>
  <c r="R238" i="7"/>
  <c r="R260" i="7"/>
  <c r="R261" i="7"/>
  <c r="R232" i="7"/>
  <c r="R226" i="7"/>
  <c r="R220" i="7"/>
  <c r="R214" i="7"/>
  <c r="R208" i="7"/>
  <c r="R196" i="7"/>
  <c r="R202" i="7"/>
  <c r="R190" i="7"/>
  <c r="R184" i="7"/>
  <c r="R178" i="7"/>
  <c r="R172" i="7"/>
  <c r="R166" i="7"/>
  <c r="R160" i="7"/>
  <c r="R154" i="7"/>
  <c r="R148" i="7"/>
  <c r="R142" i="7"/>
  <c r="R136" i="7"/>
  <c r="R130" i="7"/>
  <c r="R244" i="7" l="1"/>
  <c r="R248" i="7" s="1"/>
  <c r="R245" i="7"/>
  <c r="R242" i="7"/>
  <c r="R243" i="7"/>
  <c r="R249" i="7" l="1"/>
  <c r="AY12" i="2" l="1"/>
  <c r="AE119" i="7"/>
  <c r="AE123" i="7" s="1"/>
  <c r="AE11" i="7"/>
  <c r="AE122" i="7"/>
  <c r="AE113" i="7"/>
  <c r="AE107" i="7"/>
  <c r="AE101" i="7"/>
  <c r="AE95" i="7"/>
  <c r="AE89" i="7"/>
  <c r="AE83" i="7"/>
  <c r="AE77" i="7"/>
  <c r="AE71" i="7"/>
  <c r="AE65" i="7"/>
  <c r="AE59" i="7"/>
  <c r="AE53" i="7"/>
  <c r="AE47" i="7"/>
  <c r="AE41" i="7"/>
  <c r="AE35" i="7"/>
  <c r="AE29" i="7"/>
  <c r="AE23" i="7"/>
  <c r="AE17" i="7"/>
  <c r="AE127" i="7"/>
  <c r="AE269" i="7" s="1"/>
  <c r="AE126" i="7"/>
  <c r="AE112" i="7"/>
  <c r="AE100" i="7"/>
  <c r="AE94" i="7"/>
  <c r="AE88" i="7"/>
  <c r="AE82" i="7"/>
  <c r="AE76" i="7"/>
  <c r="AE64" i="7"/>
  <c r="AE58" i="7"/>
  <c r="AE52" i="7"/>
  <c r="AE40" i="7"/>
  <c r="AE34" i="7"/>
  <c r="AE28" i="7"/>
  <c r="AE22" i="7"/>
  <c r="AE16" i="7"/>
  <c r="R113" i="7"/>
  <c r="R107" i="7"/>
  <c r="R101" i="7"/>
  <c r="R95" i="7"/>
  <c r="R89" i="7"/>
  <c r="R83" i="7"/>
  <c r="R77" i="7"/>
  <c r="R71" i="7"/>
  <c r="R65" i="7"/>
  <c r="R59" i="7"/>
  <c r="R53" i="7"/>
  <c r="R47" i="7"/>
  <c r="R41" i="7"/>
  <c r="R35" i="7"/>
  <c r="R29" i="7"/>
  <c r="R23" i="7"/>
  <c r="R17" i="7"/>
  <c r="R11" i="7"/>
  <c r="R112" i="7"/>
  <c r="R100" i="7"/>
  <c r="R94" i="7"/>
  <c r="R88" i="7"/>
  <c r="R82" i="7"/>
  <c r="R76" i="7"/>
  <c r="R64" i="7"/>
  <c r="R58" i="7"/>
  <c r="R52" i="7"/>
  <c r="R34" i="7"/>
  <c r="R28" i="7"/>
  <c r="R22" i="7"/>
  <c r="R16" i="7"/>
  <c r="AW45" i="2"/>
  <c r="AU45" i="2"/>
  <c r="AV45" i="2"/>
  <c r="AT45" i="2"/>
  <c r="AX45" i="2"/>
  <c r="AZ45" i="2"/>
  <c r="AS45" i="2"/>
  <c r="AQ45" i="2"/>
  <c r="AP45" i="2"/>
  <c r="AE125" i="7" l="1"/>
  <c r="AE268" i="7" s="1"/>
  <c r="AE270" i="7" s="1"/>
  <c r="AE124" i="7"/>
  <c r="AE128" i="7" s="1"/>
  <c r="R125" i="7"/>
  <c r="R268" i="7" s="1"/>
  <c r="AE129" i="7" l="1"/>
  <c r="AY33" i="2"/>
  <c r="AY32" i="2"/>
  <c r="AY19" i="2"/>
  <c r="AY18" i="2"/>
  <c r="R127" i="7" l="1"/>
  <c r="R269" i="7" s="1"/>
  <c r="R270" i="7" s="1"/>
  <c r="R126" i="7"/>
  <c r="R122" i="7"/>
  <c r="R124" i="7"/>
  <c r="R128" i="7" s="1"/>
  <c r="R129" i="7" l="1"/>
  <c r="R123" i="7"/>
  <c r="BE13" i="1" l="1"/>
  <c r="EU13" i="1" s="1"/>
  <c r="BD14" i="1"/>
  <c r="BD13" i="1"/>
  <c r="BC13" i="1"/>
  <c r="ET14" i="1"/>
  <c r="ET13" i="1"/>
  <c r="Y31" i="2" l="1"/>
  <c r="Y24" i="2" l="1"/>
  <c r="AA31" i="2"/>
  <c r="BD31" i="2"/>
  <c r="BC31" i="2"/>
  <c r="BE31" i="2"/>
  <c r="ET31" i="2" l="1"/>
  <c r="ER12" i="2" l="1"/>
  <c r="ER13" i="2"/>
  <c r="ER14" i="2"/>
  <c r="ER17" i="2"/>
  <c r="ER18" i="2"/>
  <c r="ER19" i="2"/>
  <c r="ER20" i="2"/>
  <c r="ER21" i="2"/>
  <c r="ER24" i="2"/>
  <c r="ER25" i="2"/>
  <c r="ER26" i="2"/>
  <c r="ER27" i="2"/>
  <c r="ER28" i="2"/>
  <c r="ER31" i="2"/>
  <c r="ER32" i="2"/>
  <c r="ER33" i="2"/>
  <c r="ER35" i="2"/>
  <c r="ER38" i="2"/>
  <c r="ER39" i="2"/>
  <c r="ER40" i="2"/>
  <c r="ER41" i="2"/>
  <c r="ER42" i="2"/>
  <c r="ER10" i="2"/>
  <c r="BD10" i="2"/>
  <c r="BE11" i="2"/>
  <c r="BE12" i="2"/>
  <c r="BE13" i="2"/>
  <c r="BE14" i="2"/>
  <c r="BE17" i="2"/>
  <c r="BE19" i="2"/>
  <c r="BE20" i="2"/>
  <c r="BE21" i="2"/>
  <c r="BE24" i="2"/>
  <c r="BE25" i="2"/>
  <c r="BE26" i="2"/>
  <c r="BE27" i="2"/>
  <c r="BE28" i="2"/>
  <c r="BE32" i="2"/>
  <c r="BE33" i="2"/>
  <c r="BE35" i="2"/>
  <c r="BE38" i="2"/>
  <c r="BE39" i="2"/>
  <c r="BE40" i="2"/>
  <c r="BE41" i="2"/>
  <c r="BE42" i="2"/>
  <c r="BE10" i="2"/>
  <c r="ET10" i="2" s="1"/>
  <c r="BC10" i="2"/>
  <c r="BC11" i="2"/>
  <c r="BC12" i="2"/>
  <c r="BC13" i="2"/>
  <c r="BC14" i="2"/>
  <c r="BC17" i="2"/>
  <c r="BC19" i="2"/>
  <c r="BC20" i="2"/>
  <c r="BC21" i="2"/>
  <c r="BC24" i="2"/>
  <c r="BC25" i="2"/>
  <c r="BC26" i="2"/>
  <c r="BC27" i="2"/>
  <c r="BC28" i="2"/>
  <c r="BC32" i="2"/>
  <c r="BC33" i="2"/>
  <c r="BC35" i="2"/>
  <c r="BC38" i="2"/>
  <c r="BC39" i="2"/>
  <c r="BC40" i="2"/>
  <c r="BC41" i="2"/>
  <c r="BC42" i="2"/>
  <c r="BB12" i="2"/>
  <c r="BB13" i="2"/>
  <c r="BB14" i="2"/>
  <c r="BB17" i="2"/>
  <c r="BB18" i="2"/>
  <c r="BB19" i="2"/>
  <c r="BB20" i="2"/>
  <c r="BB21" i="2"/>
  <c r="BB24" i="2"/>
  <c r="BB25" i="2"/>
  <c r="BB26" i="2"/>
  <c r="BB27" i="2"/>
  <c r="BB28" i="2"/>
  <c r="BB31" i="2"/>
  <c r="BB32" i="2"/>
  <c r="BB33" i="2"/>
  <c r="BB34" i="2"/>
  <c r="BB35" i="2"/>
  <c r="BB38" i="2"/>
  <c r="BB39" i="2"/>
  <c r="BB40" i="2"/>
  <c r="BB41" i="2"/>
  <c r="BB42" i="2"/>
  <c r="BB10" i="2"/>
  <c r="BC49" i="2" l="1"/>
  <c r="ES10" i="2"/>
  <c r="AD267" i="7"/>
  <c r="AD266" i="7"/>
  <c r="Q257" i="7"/>
  <c r="Q261" i="7" s="1"/>
  <c r="Q260" i="7"/>
  <c r="Q255" i="7"/>
  <c r="Q254" i="7"/>
  <c r="Q249" i="7"/>
  <c r="Q248" i="7"/>
  <c r="Q243" i="7"/>
  <c r="Q242" i="7"/>
  <c r="AD113" i="7"/>
  <c r="AD112" i="7"/>
  <c r="AD107" i="7"/>
  <c r="AD106" i="7"/>
  <c r="AD100" i="7"/>
  <c r="AD101" i="7"/>
  <c r="AD89" i="7"/>
  <c r="AD88" i="7"/>
  <c r="AD71" i="7"/>
  <c r="AD70" i="7"/>
  <c r="AD65" i="7"/>
  <c r="AD64" i="7"/>
  <c r="AD59" i="7"/>
  <c r="AD58" i="7"/>
  <c r="AD53" i="7"/>
  <c r="AD52" i="7"/>
  <c r="AD47" i="7"/>
  <c r="AD46" i="7"/>
  <c r="AD41" i="7"/>
  <c r="AD40" i="7"/>
  <c r="AC35" i="7"/>
  <c r="AD35" i="7"/>
  <c r="AD29" i="7"/>
  <c r="AD28" i="7"/>
  <c r="AD17" i="7"/>
  <c r="AD16" i="7"/>
  <c r="AD127" i="7"/>
  <c r="AD269" i="7" s="1"/>
  <c r="AD126" i="7"/>
  <c r="AD123" i="7"/>
  <c r="AD122" i="7"/>
  <c r="AD95" i="7"/>
  <c r="AD94" i="7"/>
  <c r="AD83" i="7"/>
  <c r="AD82" i="7"/>
  <c r="AD77" i="7"/>
  <c r="AD76" i="7"/>
  <c r="AD34" i="7"/>
  <c r="AD23" i="7"/>
  <c r="AD22" i="7"/>
  <c r="AD11" i="7"/>
  <c r="AD10" i="7"/>
  <c r="Q119" i="7"/>
  <c r="Q118" i="7"/>
  <c r="Q115" i="7"/>
  <c r="AD125" i="7" l="1"/>
  <c r="AD124" i="7"/>
  <c r="AD128" i="7" s="1"/>
  <c r="AD129" i="7" l="1"/>
  <c r="AD268" i="7"/>
  <c r="AD270" i="7" s="1"/>
  <c r="Q123" i="7"/>
  <c r="AC107" i="7" l="1"/>
  <c r="AC95" i="7"/>
  <c r="AC83" i="7"/>
  <c r="AC71" i="7"/>
  <c r="AC65" i="7"/>
  <c r="AC59" i="7"/>
  <c r="AC53" i="7"/>
  <c r="AC47" i="7"/>
  <c r="AC41" i="7"/>
  <c r="AC23" i="7"/>
  <c r="AC17" i="7"/>
  <c r="AC11" i="7"/>
  <c r="Q113" i="7"/>
  <c r="Q112" i="7"/>
  <c r="Q107" i="7"/>
  <c r="Q106" i="7"/>
  <c r="Q101" i="7"/>
  <c r="Q100" i="7"/>
  <c r="Q95" i="7"/>
  <c r="Q89" i="7"/>
  <c r="Q88" i="7"/>
  <c r="Q83" i="7"/>
  <c r="Q82" i="7"/>
  <c r="Q77" i="7"/>
  <c r="Q71" i="7"/>
  <c r="Q70" i="7"/>
  <c r="Q65" i="7"/>
  <c r="Q64" i="7"/>
  <c r="Q59" i="7"/>
  <c r="Q58" i="7"/>
  <c r="Q53" i="7"/>
  <c r="Q47" i="7"/>
  <c r="Q46" i="7"/>
  <c r="Q41" i="7"/>
  <c r="Q40" i="7"/>
  <c r="Q29" i="7"/>
  <c r="Q28" i="7"/>
  <c r="Q17" i="7"/>
  <c r="Q16" i="7"/>
  <c r="Q127" i="7"/>
  <c r="Q269" i="7" s="1"/>
  <c r="Q126" i="7"/>
  <c r="Q122" i="7"/>
  <c r="Q94" i="7"/>
  <c r="Q76" i="7"/>
  <c r="Q52" i="7"/>
  <c r="Q34" i="7"/>
  <c r="Q23" i="7"/>
  <c r="Q22" i="7"/>
  <c r="Q11" i="7"/>
  <c r="Q10" i="7"/>
  <c r="Q124" i="7" l="1"/>
  <c r="Q128" i="7" s="1"/>
  <c r="Q125" i="7"/>
  <c r="Q129" i="7" l="1"/>
  <c r="Q268" i="7"/>
  <c r="Q270" i="7" s="1"/>
  <c r="AY11" i="2"/>
  <c r="AY45" i="2" l="1"/>
  <c r="ER11" i="2"/>
  <c r="BB11" i="2"/>
  <c r="H19" i="8"/>
  <c r="BD17" i="2" l="1"/>
  <c r="ET17" i="2" s="1"/>
  <c r="ES17" i="2" l="1"/>
  <c r="AV44" i="2" l="1"/>
  <c r="AV37" i="2"/>
  <c r="BD39" i="2"/>
  <c r="AB255" i="7"/>
  <c r="AC255" i="7"/>
  <c r="AB261" i="7"/>
  <c r="AC261" i="7"/>
  <c r="AB249" i="7"/>
  <c r="AC249" i="7"/>
  <c r="AB243" i="7"/>
  <c r="AC243" i="7"/>
  <c r="AC118" i="7"/>
  <c r="AC106" i="7"/>
  <c r="AC94" i="7"/>
  <c r="AC82" i="7"/>
  <c r="AC70" i="7"/>
  <c r="AC64" i="7"/>
  <c r="AC58" i="7"/>
  <c r="AC52" i="7"/>
  <c r="AC46" i="7"/>
  <c r="AC40" i="7"/>
  <c r="AC34" i="7"/>
  <c r="AC22" i="7"/>
  <c r="AC16" i="7"/>
  <c r="AC10" i="7"/>
  <c r="P118" i="7"/>
  <c r="P106" i="7" l="1"/>
  <c r="P94" i="7"/>
  <c r="P82" i="7"/>
  <c r="P70" i="7"/>
  <c r="P64" i="7"/>
  <c r="P58" i="7"/>
  <c r="P52" i="7"/>
  <c r="P46" i="7"/>
  <c r="P40" i="7"/>
  <c r="P34" i="7"/>
  <c r="P22" i="7"/>
  <c r="P16" i="7"/>
  <c r="P10" i="7"/>
  <c r="H18" i="8" l="1"/>
  <c r="AC267" i="7"/>
  <c r="AC266" i="7"/>
  <c r="AC127" i="7"/>
  <c r="AC269" i="7" s="1"/>
  <c r="AC126" i="7"/>
  <c r="AC123" i="7"/>
  <c r="AC122" i="7"/>
  <c r="AC113" i="7"/>
  <c r="AC112" i="7"/>
  <c r="AC101" i="7"/>
  <c r="AC100" i="7"/>
  <c r="AC89" i="7"/>
  <c r="AC88" i="7"/>
  <c r="AC77" i="7"/>
  <c r="AC76" i="7"/>
  <c r="AC29" i="7"/>
  <c r="AC28" i="7"/>
  <c r="P261" i="7"/>
  <c r="P260" i="7"/>
  <c r="P255" i="7"/>
  <c r="P254" i="7"/>
  <c r="P249" i="7"/>
  <c r="P248" i="7"/>
  <c r="P243" i="7"/>
  <c r="P242" i="7"/>
  <c r="P127" i="7"/>
  <c r="P269" i="7" s="1"/>
  <c r="P126" i="7"/>
  <c r="P119" i="7"/>
  <c r="P123" i="7" s="1"/>
  <c r="P112" i="7"/>
  <c r="P107" i="7"/>
  <c r="P101" i="7"/>
  <c r="P100" i="7"/>
  <c r="P89" i="7"/>
  <c r="P88" i="7"/>
  <c r="P83" i="7"/>
  <c r="P76" i="7"/>
  <c r="P65" i="7"/>
  <c r="P59" i="7"/>
  <c r="P53" i="7"/>
  <c r="P47" i="7"/>
  <c r="P41" i="7"/>
  <c r="P29" i="7"/>
  <c r="P28" i="7"/>
  <c r="P23" i="7"/>
  <c r="P17" i="7"/>
  <c r="P11" i="7"/>
  <c r="P124" i="7" l="1"/>
  <c r="P128" i="7" s="1"/>
  <c r="AC125" i="7"/>
  <c r="AC129" i="7" s="1"/>
  <c r="P125" i="7"/>
  <c r="P268" i="7" s="1"/>
  <c r="P270" i="7" s="1"/>
  <c r="AC124" i="7"/>
  <c r="AC128" i="7" s="1"/>
  <c r="P122" i="7"/>
  <c r="AC268" i="7" l="1"/>
  <c r="AC270" i="7" s="1"/>
  <c r="P129" i="7"/>
  <c r="S34" i="3"/>
  <c r="BA10" i="2" l="1"/>
  <c r="H16" i="8" l="1"/>
  <c r="H17" i="8"/>
  <c r="BF13" i="1"/>
  <c r="EV13" i="1" s="1"/>
  <c r="AB267" i="7"/>
  <c r="AB266" i="7"/>
  <c r="O261" i="7"/>
  <c r="O260" i="7"/>
  <c r="M125" i="7"/>
  <c r="O255" i="7"/>
  <c r="O254" i="7"/>
  <c r="O249" i="7"/>
  <c r="O248" i="7"/>
  <c r="O243" i="7"/>
  <c r="O242" i="7"/>
  <c r="M268" i="7" l="1"/>
  <c r="AB127" i="7" l="1"/>
  <c r="AB269" i="7" s="1"/>
  <c r="AB126" i="7"/>
  <c r="AB123" i="7"/>
  <c r="AB118" i="7"/>
  <c r="AB122" i="7" s="1"/>
  <c r="AB112" i="7"/>
  <c r="AB106" i="7"/>
  <c r="AB100" i="7"/>
  <c r="AB94" i="7"/>
  <c r="AB88" i="7"/>
  <c r="AB82" i="7"/>
  <c r="AB76" i="7"/>
  <c r="AB70" i="7"/>
  <c r="AB64" i="7"/>
  <c r="AB58" i="7"/>
  <c r="AB52" i="7"/>
  <c r="AB46" i="7"/>
  <c r="AB40" i="7"/>
  <c r="AB34" i="7"/>
  <c r="AB28" i="7"/>
  <c r="AB22" i="7"/>
  <c r="AB16" i="7"/>
  <c r="AB10" i="7"/>
  <c r="O127" i="7"/>
  <c r="O269" i="7" s="1"/>
  <c r="O126" i="7"/>
  <c r="O119" i="7"/>
  <c r="O123" i="7" s="1"/>
  <c r="O118" i="7"/>
  <c r="O122" i="7" s="1"/>
  <c r="O112" i="7"/>
  <c r="O106" i="7"/>
  <c r="O100" i="7"/>
  <c r="O94" i="7"/>
  <c r="O88" i="7"/>
  <c r="O82" i="7"/>
  <c r="O76" i="7"/>
  <c r="O70" i="7"/>
  <c r="O64" i="7"/>
  <c r="O58" i="7"/>
  <c r="O52" i="7"/>
  <c r="O46" i="7"/>
  <c r="O40" i="7"/>
  <c r="O34" i="7"/>
  <c r="O28" i="7"/>
  <c r="O22" i="7"/>
  <c r="O16" i="7"/>
  <c r="O10" i="7"/>
  <c r="AB124" i="7" l="1"/>
  <c r="AB128" i="7" s="1"/>
  <c r="O124" i="7"/>
  <c r="O128" i="7" s="1"/>
  <c r="AB113" i="7"/>
  <c r="AB107" i="7"/>
  <c r="AB101" i="7"/>
  <c r="AB95" i="7"/>
  <c r="AB89" i="7"/>
  <c r="AB83" i="7"/>
  <c r="AB77" i="7"/>
  <c r="AB71" i="7"/>
  <c r="AB65" i="7"/>
  <c r="AB59" i="7"/>
  <c r="AB53" i="7"/>
  <c r="AB47" i="7"/>
  <c r="AB41" i="7"/>
  <c r="AB35" i="7"/>
  <c r="AB29" i="7"/>
  <c r="AB23" i="7"/>
  <c r="AB17" i="7"/>
  <c r="AB11" i="7"/>
  <c r="O107" i="7"/>
  <c r="O101" i="7"/>
  <c r="O89" i="7"/>
  <c r="O83" i="7"/>
  <c r="O65" i="7"/>
  <c r="O59" i="7"/>
  <c r="O53" i="7"/>
  <c r="O47" i="7"/>
  <c r="O41" i="7"/>
  <c r="O29" i="7"/>
  <c r="O23" i="7"/>
  <c r="O17" i="7"/>
  <c r="O11" i="7"/>
  <c r="O125" i="7" l="1"/>
  <c r="AB125" i="7"/>
  <c r="M127" i="7"/>
  <c r="M129" i="7" s="1"/>
  <c r="M126" i="7"/>
  <c r="M124" i="7"/>
  <c r="M123" i="7"/>
  <c r="M122" i="7"/>
  <c r="M128" i="7" l="1"/>
  <c r="AB268" i="7"/>
  <c r="AB270" i="7" s="1"/>
  <c r="AB129" i="7"/>
  <c r="O268" i="7"/>
  <c r="O270" i="7" s="1"/>
  <c r="O129" i="7"/>
  <c r="AT37" i="2"/>
  <c r="BD32" i="2" l="1"/>
  <c r="AR18" i="2"/>
  <c r="BE18" i="2" s="1"/>
  <c r="G338" i="8"/>
  <c r="G337" i="8"/>
  <c r="G336" i="8"/>
  <c r="G335" i="8"/>
  <c r="G334" i="8"/>
  <c r="G333" i="8"/>
  <c r="G332" i="8"/>
  <c r="G331" i="8"/>
  <c r="G330" i="8"/>
  <c r="G329" i="8"/>
  <c r="G328" i="8"/>
  <c r="G327" i="8"/>
  <c r="G323" i="8"/>
  <c r="G322" i="8"/>
  <c r="G321" i="8"/>
  <c r="G320" i="8"/>
  <c r="G319" i="8"/>
  <c r="G318" i="8"/>
  <c r="G317" i="8"/>
  <c r="G316" i="8"/>
  <c r="G315" i="8"/>
  <c r="G314" i="8"/>
  <c r="G313" i="8"/>
  <c r="G312" i="8"/>
  <c r="G308" i="8"/>
  <c r="G307" i="8"/>
  <c r="G306" i="8"/>
  <c r="G305" i="8"/>
  <c r="G304" i="8"/>
  <c r="G303" i="8"/>
  <c r="G302" i="8"/>
  <c r="G301" i="8"/>
  <c r="G300" i="8"/>
  <c r="G299" i="8"/>
  <c r="G298" i="8"/>
  <c r="G297" i="8"/>
  <c r="G293" i="8"/>
  <c r="G292" i="8"/>
  <c r="G291" i="8"/>
  <c r="G290" i="8"/>
  <c r="G289" i="8"/>
  <c r="G288" i="8"/>
  <c r="G287" i="8"/>
  <c r="G286" i="8"/>
  <c r="G285" i="8"/>
  <c r="G284" i="8"/>
  <c r="G283" i="8"/>
  <c r="G282" i="8"/>
  <c r="G267" i="8"/>
  <c r="M139" i="8"/>
  <c r="J139" i="8"/>
  <c r="M138" i="8"/>
  <c r="J138" i="8"/>
  <c r="M137" i="8"/>
  <c r="J137" i="8"/>
  <c r="M136" i="8"/>
  <c r="J136" i="8"/>
  <c r="M135" i="8"/>
  <c r="J135" i="8"/>
  <c r="M134" i="8"/>
  <c r="J134" i="8"/>
  <c r="M133" i="8"/>
  <c r="J133" i="8"/>
  <c r="M132" i="8"/>
  <c r="J132" i="8"/>
  <c r="M131" i="8"/>
  <c r="J131" i="8"/>
  <c r="M130" i="8"/>
  <c r="J130" i="8"/>
  <c r="M129" i="8"/>
  <c r="J129" i="8"/>
  <c r="M128" i="8"/>
  <c r="J128" i="8"/>
  <c r="M124" i="8"/>
  <c r="J124" i="8"/>
  <c r="M123" i="8"/>
  <c r="J123" i="8"/>
  <c r="M122" i="8"/>
  <c r="J122" i="8"/>
  <c r="M121" i="8"/>
  <c r="J121" i="8"/>
  <c r="M120" i="8"/>
  <c r="J120" i="8"/>
  <c r="M119" i="8"/>
  <c r="J119" i="8"/>
  <c r="M118" i="8"/>
  <c r="J118" i="8"/>
  <c r="M117" i="8"/>
  <c r="J117" i="8"/>
  <c r="M116" i="8"/>
  <c r="J116" i="8"/>
  <c r="M115" i="8"/>
  <c r="J115" i="8"/>
  <c r="M114" i="8"/>
  <c r="J114" i="8"/>
  <c r="M113" i="8"/>
  <c r="J113" i="8"/>
  <c r="M109" i="8"/>
  <c r="J109" i="8"/>
  <c r="M108" i="8"/>
  <c r="J108" i="8"/>
  <c r="M107" i="8"/>
  <c r="J107" i="8"/>
  <c r="M106" i="8"/>
  <c r="J106" i="8"/>
  <c r="M105" i="8"/>
  <c r="J105" i="8"/>
  <c r="M104" i="8"/>
  <c r="J104" i="8"/>
  <c r="M103" i="8"/>
  <c r="J103" i="8"/>
  <c r="M102" i="8"/>
  <c r="J102" i="8"/>
  <c r="M101" i="8"/>
  <c r="J101" i="8"/>
  <c r="M100" i="8"/>
  <c r="J100" i="8"/>
  <c r="M99" i="8"/>
  <c r="J99" i="8"/>
  <c r="M98" i="8"/>
  <c r="J98" i="8"/>
  <c r="J93" i="8"/>
  <c r="J92" i="8"/>
  <c r="J91" i="8"/>
  <c r="J90" i="8"/>
  <c r="J89" i="8"/>
  <c r="J88" i="8"/>
  <c r="J87" i="8"/>
  <c r="J86" i="8"/>
  <c r="J85" i="8"/>
  <c r="J84" i="8"/>
  <c r="J83" i="8"/>
  <c r="J82" i="8"/>
  <c r="J81" i="8"/>
  <c r="J80" i="8"/>
  <c r="J79" i="8"/>
  <c r="J78" i="8"/>
  <c r="J77" i="8"/>
  <c r="J76" i="8"/>
  <c r="J75" i="8"/>
  <c r="J74" i="8"/>
  <c r="J73" i="8"/>
  <c r="J72" i="8"/>
  <c r="J71" i="8"/>
  <c r="J70" i="8"/>
  <c r="H66" i="8"/>
  <c r="H65" i="8"/>
  <c r="H64" i="8"/>
  <c r="H63" i="8"/>
  <c r="H62" i="8"/>
  <c r="H61" i="8"/>
  <c r="H60" i="8"/>
  <c r="H59" i="8"/>
  <c r="H58" i="8"/>
  <c r="H57" i="8"/>
  <c r="H56" i="8"/>
  <c r="H55" i="8"/>
  <c r="H51" i="8"/>
  <c r="H50" i="8"/>
  <c r="H49" i="8"/>
  <c r="H48" i="8"/>
  <c r="H47" i="8"/>
  <c r="H46" i="8"/>
  <c r="H45" i="8"/>
  <c r="H44" i="8"/>
  <c r="H43" i="8"/>
  <c r="H42" i="8"/>
  <c r="H41" i="8"/>
  <c r="H40" i="8"/>
  <c r="H36" i="8"/>
  <c r="H35" i="8"/>
  <c r="H34" i="8"/>
  <c r="H33" i="8"/>
  <c r="H32" i="8"/>
  <c r="H31" i="8"/>
  <c r="H30" i="8"/>
  <c r="H29" i="8"/>
  <c r="H28" i="8"/>
  <c r="H27" i="8"/>
  <c r="H26" i="8"/>
  <c r="H25" i="8"/>
  <c r="H15" i="8"/>
  <c r="H14" i="8"/>
  <c r="H13" i="8"/>
  <c r="H12" i="8"/>
  <c r="H11" i="8"/>
  <c r="H10" i="8"/>
  <c r="AA267" i="7"/>
  <c r="AA266" i="7"/>
  <c r="AA261" i="7"/>
  <c r="AA260" i="7"/>
  <c r="AA255" i="7"/>
  <c r="AA254" i="7"/>
  <c r="AA249" i="7"/>
  <c r="AA248" i="7"/>
  <c r="AA243" i="7"/>
  <c r="AA242" i="7"/>
  <c r="Z243" i="7"/>
  <c r="Z242" i="7"/>
  <c r="L269" i="7"/>
  <c r="M269" i="7"/>
  <c r="M270" i="7" s="1"/>
  <c r="N261" i="7"/>
  <c r="N260" i="7"/>
  <c r="N255" i="7"/>
  <c r="N254" i="7"/>
  <c r="I243" i="7"/>
  <c r="J243" i="7"/>
  <c r="K243" i="7"/>
  <c r="L243" i="7"/>
  <c r="M243" i="7"/>
  <c r="N243" i="7"/>
  <c r="I242" i="7"/>
  <c r="J242" i="7"/>
  <c r="K242" i="7"/>
  <c r="L242" i="7"/>
  <c r="M242" i="7"/>
  <c r="N242" i="7"/>
  <c r="H243" i="7"/>
  <c r="H242" i="7"/>
  <c r="N121" i="7"/>
  <c r="AR45" i="2" l="1"/>
  <c r="BC18" i="2"/>
  <c r="BA14" i="2"/>
  <c r="Z127" i="7" l="1"/>
  <c r="Z269" i="7" s="1"/>
  <c r="AA127" i="7"/>
  <c r="AA269" i="7" s="1"/>
  <c r="Y127" i="7"/>
  <c r="Y269" i="7" s="1"/>
  <c r="Z126" i="7"/>
  <c r="AA126" i="7"/>
  <c r="Y126" i="7"/>
  <c r="AA119" i="7"/>
  <c r="AA123" i="7" s="1"/>
  <c r="Z125" i="7"/>
  <c r="Z124" i="7"/>
  <c r="Y124" i="7"/>
  <c r="Y125" i="7"/>
  <c r="Y129" i="7" s="1"/>
  <c r="Z123" i="7"/>
  <c r="Z122" i="7"/>
  <c r="AA122" i="7"/>
  <c r="Y123" i="7"/>
  <c r="Y122" i="7"/>
  <c r="AA113" i="7"/>
  <c r="AA112" i="7"/>
  <c r="AA107" i="7"/>
  <c r="AA106" i="7"/>
  <c r="AA101" i="7"/>
  <c r="AA100" i="7"/>
  <c r="AA95" i="7"/>
  <c r="AA94" i="7"/>
  <c r="AA89" i="7"/>
  <c r="AA88" i="7"/>
  <c r="AA83" i="7"/>
  <c r="AA82" i="7"/>
  <c r="AA71" i="7"/>
  <c r="AA70" i="7"/>
  <c r="AA65" i="7"/>
  <c r="AA64" i="7"/>
  <c r="AA59" i="7"/>
  <c r="AA58" i="7"/>
  <c r="AA53" i="7"/>
  <c r="AA52" i="7"/>
  <c r="AA47" i="7"/>
  <c r="AA46" i="7"/>
  <c r="AA41" i="7"/>
  <c r="AA40" i="7"/>
  <c r="AA35" i="7"/>
  <c r="AA34" i="7"/>
  <c r="AA29" i="7"/>
  <c r="AA28" i="7"/>
  <c r="AA23" i="7"/>
  <c r="AA22" i="7"/>
  <c r="AA17" i="7"/>
  <c r="AA16" i="7"/>
  <c r="AA11" i="7"/>
  <c r="AA10" i="7"/>
  <c r="N127" i="7"/>
  <c r="N126" i="7"/>
  <c r="L125" i="7"/>
  <c r="L268" i="7" s="1"/>
  <c r="L270" i="7" s="1"/>
  <c r="N123" i="7"/>
  <c r="N122" i="7"/>
  <c r="N113" i="7"/>
  <c r="N112" i="7"/>
  <c r="N107" i="7"/>
  <c r="N106" i="7"/>
  <c r="N101" i="7"/>
  <c r="N100" i="7"/>
  <c r="N95" i="7"/>
  <c r="N94" i="7"/>
  <c r="N89" i="7"/>
  <c r="N88" i="7"/>
  <c r="N77" i="7"/>
  <c r="N76" i="7"/>
  <c r="N71" i="7"/>
  <c r="N70" i="7"/>
  <c r="N65" i="7"/>
  <c r="N64" i="7"/>
  <c r="N59" i="7"/>
  <c r="N58" i="7"/>
  <c r="N53" i="7"/>
  <c r="N52" i="7"/>
  <c r="N47" i="7"/>
  <c r="N46" i="7"/>
  <c r="N41" i="7"/>
  <c r="N40" i="7"/>
  <c r="N35" i="7"/>
  <c r="N34" i="7"/>
  <c r="N29" i="7"/>
  <c r="N28" i="7"/>
  <c r="N23" i="7"/>
  <c r="N22" i="7"/>
  <c r="N17" i="7"/>
  <c r="N16" i="7"/>
  <c r="N11" i="7"/>
  <c r="N125" i="7" l="1"/>
  <c r="N268" i="7" s="1"/>
  <c r="Y128" i="7"/>
  <c r="Z128" i="7"/>
  <c r="N124" i="7"/>
  <c r="N128" i="7" s="1"/>
  <c r="Z129" i="7"/>
  <c r="AA125" i="7"/>
  <c r="AA268" i="7" s="1"/>
  <c r="AA270" i="7" s="1"/>
  <c r="AA124" i="7"/>
  <c r="AA128" i="7" s="1"/>
  <c r="N269" i="7"/>
  <c r="N129" i="7" l="1"/>
  <c r="N270" i="7"/>
  <c r="AA129" i="7"/>
  <c r="BD25" i="2"/>
  <c r="BA25" i="2"/>
  <c r="AU30" i="2"/>
  <c r="AR46" i="2"/>
  <c r="W269" i="7" l="1"/>
  <c r="V269" i="7"/>
  <c r="U269" i="7"/>
  <c r="T269" i="7"/>
  <c r="K269" i="7"/>
  <c r="J269" i="7"/>
  <c r="I269" i="7"/>
  <c r="H269" i="7"/>
  <c r="G269" i="7"/>
  <c r="F269" i="7"/>
  <c r="E269" i="7"/>
  <c r="W268" i="7"/>
  <c r="V268" i="7"/>
  <c r="U268" i="7"/>
  <c r="T268" i="7"/>
  <c r="K268" i="7"/>
  <c r="K270" i="7" s="1"/>
  <c r="J268" i="7"/>
  <c r="J270" i="7" s="1"/>
  <c r="I268" i="7"/>
  <c r="I270" i="7" s="1"/>
  <c r="H268" i="7"/>
  <c r="H270" i="7" s="1"/>
  <c r="G268" i="7"/>
  <c r="G270" i="7" s="1"/>
  <c r="F268" i="7"/>
  <c r="F270" i="7" s="1"/>
  <c r="E268" i="7"/>
  <c r="E270" i="7" s="1"/>
  <c r="W267" i="7"/>
  <c r="V267" i="7"/>
  <c r="U267" i="7"/>
  <c r="F267" i="7"/>
  <c r="E267" i="7"/>
  <c r="W266" i="7"/>
  <c r="V266" i="7"/>
  <c r="U266" i="7"/>
  <c r="X261" i="7"/>
  <c r="W261" i="7"/>
  <c r="V261" i="7"/>
  <c r="U261" i="7"/>
  <c r="T261" i="7"/>
  <c r="G261" i="7"/>
  <c r="F261" i="7"/>
  <c r="E261" i="7"/>
  <c r="X260" i="7"/>
  <c r="W260" i="7"/>
  <c r="V260" i="7"/>
  <c r="U260" i="7"/>
  <c r="T260" i="7"/>
  <c r="G260" i="7"/>
  <c r="X259" i="7"/>
  <c r="X269" i="7" s="1"/>
  <c r="X258" i="7"/>
  <c r="X257" i="7"/>
  <c r="X268" i="7" s="1"/>
  <c r="X256" i="7"/>
  <c r="W255" i="7"/>
  <c r="V255" i="7"/>
  <c r="U255" i="7"/>
  <c r="T255" i="7"/>
  <c r="G255" i="7"/>
  <c r="F255" i="7"/>
  <c r="E255" i="7"/>
  <c r="W254" i="7"/>
  <c r="U254" i="7"/>
  <c r="T254" i="7"/>
  <c r="G254" i="7"/>
  <c r="F254" i="7"/>
  <c r="E254" i="7"/>
  <c r="W249" i="7"/>
  <c r="V249" i="7"/>
  <c r="U249" i="7"/>
  <c r="T249" i="7"/>
  <c r="G249" i="7"/>
  <c r="F249" i="7"/>
  <c r="E249" i="7"/>
  <c r="W248" i="7"/>
  <c r="V248" i="7"/>
  <c r="U248" i="7"/>
  <c r="T248" i="7"/>
  <c r="G248" i="7"/>
  <c r="F248" i="7"/>
  <c r="E248" i="7"/>
  <c r="W243" i="7"/>
  <c r="V243" i="7"/>
  <c r="U243" i="7"/>
  <c r="T243" i="7"/>
  <c r="G243" i="7"/>
  <c r="F243" i="7"/>
  <c r="E243" i="7"/>
  <c r="W242" i="7"/>
  <c r="V242" i="7"/>
  <c r="U242" i="7"/>
  <c r="T242" i="7"/>
  <c r="G242" i="7"/>
  <c r="F242" i="7"/>
  <c r="E242" i="7"/>
  <c r="V129" i="7"/>
  <c r="U129" i="7"/>
  <c r="F129" i="7"/>
  <c r="E129" i="7"/>
  <c r="V128" i="7"/>
  <c r="U128" i="7"/>
  <c r="F128" i="7"/>
  <c r="E128" i="7"/>
  <c r="Z268" i="7"/>
  <c r="Y268" i="7"/>
  <c r="L124" i="7"/>
  <c r="V123" i="7"/>
  <c r="U123" i="7"/>
  <c r="F123" i="7"/>
  <c r="E123" i="7"/>
  <c r="V122" i="7"/>
  <c r="U122" i="7"/>
  <c r="F122" i="7"/>
  <c r="E122" i="7"/>
  <c r="V270" i="7" l="1"/>
  <c r="W270" i="7"/>
  <c r="Z270" i="7"/>
  <c r="T270" i="7"/>
  <c r="U270" i="7"/>
  <c r="Y270" i="7"/>
  <c r="X270" i="7"/>
  <c r="BG49" i="2"/>
  <c r="BH49" i="2"/>
  <c r="BI49" i="2"/>
  <c r="BJ49" i="2"/>
  <c r="BK49" i="2"/>
  <c r="BL49" i="2"/>
  <c r="BM49" i="2"/>
  <c r="BN49" i="2"/>
  <c r="BO49" i="2"/>
  <c r="BP49" i="2"/>
  <c r="BQ49" i="2"/>
  <c r="BR49" i="2"/>
  <c r="BS49" i="2"/>
  <c r="BT49" i="2"/>
  <c r="BU49" i="2"/>
  <c r="BV49" i="2"/>
  <c r="BW49" i="2"/>
  <c r="BX49" i="2"/>
  <c r="BY49" i="2"/>
  <c r="BZ49" i="2"/>
  <c r="CA49" i="2"/>
  <c r="CB49" i="2"/>
  <c r="CC49" i="2"/>
  <c r="CD49" i="2"/>
  <c r="CE49" i="2"/>
  <c r="CF49" i="2"/>
  <c r="CG49" i="2"/>
  <c r="CH49" i="2"/>
  <c r="CI49" i="2"/>
  <c r="ES21" i="2"/>
  <c r="ES32" i="2"/>
  <c r="ES39" i="2"/>
  <c r="F491" i="6"/>
  <c r="G491" i="6" s="1"/>
  <c r="F476" i="6"/>
  <c r="G476" i="6" s="1"/>
  <c r="F446" i="6"/>
  <c r="F440" i="6"/>
  <c r="G440" i="6" s="1"/>
  <c r="F432" i="6"/>
  <c r="G432" i="6" s="1"/>
  <c r="F431" i="6"/>
  <c r="G431" i="6" s="1"/>
  <c r="F422" i="6"/>
  <c r="G422" i="6" s="1"/>
  <c r="F413" i="6"/>
  <c r="G413" i="6" s="1"/>
  <c r="E354" i="6"/>
  <c r="E339" i="6"/>
  <c r="E324" i="6"/>
  <c r="E309" i="6"/>
  <c r="F303" i="6"/>
  <c r="E303" i="6"/>
  <c r="F302" i="6"/>
  <c r="E302" i="6"/>
  <c r="F301" i="6"/>
  <c r="F294" i="6"/>
  <c r="E294" i="6"/>
  <c r="F293" i="6"/>
  <c r="E293" i="6"/>
  <c r="F292" i="6"/>
  <c r="F285" i="6"/>
  <c r="E285" i="6"/>
  <c r="F284" i="6"/>
  <c r="E284" i="6"/>
  <c r="F283" i="6"/>
  <c r="F276" i="6"/>
  <c r="E276" i="6"/>
  <c r="F275" i="6"/>
  <c r="E275" i="6"/>
  <c r="F274" i="6"/>
  <c r="K191" i="6"/>
  <c r="M191" i="6" s="1"/>
  <c r="I191" i="6"/>
  <c r="J191" i="6" s="1"/>
  <c r="I176" i="6"/>
  <c r="F24" i="6"/>
  <c r="E24" i="6"/>
  <c r="E19" i="6"/>
  <c r="F19" i="6" s="1"/>
  <c r="E14" i="6"/>
  <c r="F14" i="6" s="1"/>
  <c r="E9" i="6"/>
  <c r="F9" i="6" s="1"/>
  <c r="G563" i="6"/>
  <c r="G562" i="6"/>
  <c r="G561" i="6"/>
  <c r="G560" i="6"/>
  <c r="G559" i="6"/>
  <c r="G558" i="6"/>
  <c r="G557" i="6"/>
  <c r="G556" i="6"/>
  <c r="G555" i="6"/>
  <c r="G554" i="6"/>
  <c r="G553" i="6"/>
  <c r="G552" i="6"/>
  <c r="G548" i="6"/>
  <c r="G547" i="6"/>
  <c r="G546" i="6"/>
  <c r="G545" i="6"/>
  <c r="G544" i="6"/>
  <c r="G543" i="6"/>
  <c r="G542" i="6"/>
  <c r="G541" i="6"/>
  <c r="G540" i="6"/>
  <c r="G539" i="6"/>
  <c r="G538" i="6"/>
  <c r="G537" i="6"/>
  <c r="G533" i="6"/>
  <c r="G532" i="6"/>
  <c r="G531" i="6"/>
  <c r="G530" i="6"/>
  <c r="G529" i="6"/>
  <c r="G528" i="6"/>
  <c r="G527" i="6"/>
  <c r="G526" i="6"/>
  <c r="G525" i="6"/>
  <c r="G524" i="6"/>
  <c r="G523" i="6"/>
  <c r="G522" i="6"/>
  <c r="G518" i="6"/>
  <c r="G517" i="6"/>
  <c r="G516" i="6"/>
  <c r="G515" i="6"/>
  <c r="G514" i="6"/>
  <c r="G513" i="6"/>
  <c r="G512" i="6"/>
  <c r="G511" i="6"/>
  <c r="G510" i="6"/>
  <c r="G509" i="6"/>
  <c r="G508" i="6"/>
  <c r="G507" i="6"/>
  <c r="I502" i="6"/>
  <c r="G502" i="6"/>
  <c r="I501" i="6"/>
  <c r="G501" i="6"/>
  <c r="I500" i="6"/>
  <c r="G500" i="6"/>
  <c r="I499" i="6"/>
  <c r="G499" i="6"/>
  <c r="I498" i="6"/>
  <c r="G498" i="6"/>
  <c r="I497" i="6"/>
  <c r="G497" i="6"/>
  <c r="I496" i="6"/>
  <c r="G496" i="6"/>
  <c r="I495" i="6"/>
  <c r="G495" i="6"/>
  <c r="I494" i="6"/>
  <c r="G494" i="6"/>
  <c r="I493" i="6"/>
  <c r="G493" i="6"/>
  <c r="I492" i="6"/>
  <c r="G492" i="6"/>
  <c r="I491" i="6"/>
  <c r="I487" i="6"/>
  <c r="G487" i="6"/>
  <c r="I486" i="6"/>
  <c r="G486" i="6"/>
  <c r="I485" i="6"/>
  <c r="G485" i="6"/>
  <c r="I484" i="6"/>
  <c r="G484" i="6"/>
  <c r="I483" i="6"/>
  <c r="G483" i="6"/>
  <c r="I482" i="6"/>
  <c r="G482" i="6"/>
  <c r="I481" i="6"/>
  <c r="G481" i="6"/>
  <c r="I480" i="6"/>
  <c r="G480" i="6"/>
  <c r="I479" i="6"/>
  <c r="G479" i="6"/>
  <c r="I478" i="6"/>
  <c r="G478" i="6"/>
  <c r="I477" i="6"/>
  <c r="G477" i="6"/>
  <c r="I476" i="6"/>
  <c r="I472" i="6"/>
  <c r="G472" i="6"/>
  <c r="I471" i="6"/>
  <c r="G471" i="6"/>
  <c r="I470" i="6"/>
  <c r="G470" i="6"/>
  <c r="I469" i="6"/>
  <c r="G469" i="6"/>
  <c r="I468" i="6"/>
  <c r="G468" i="6"/>
  <c r="I467" i="6"/>
  <c r="G467" i="6"/>
  <c r="I466" i="6"/>
  <c r="G466" i="6"/>
  <c r="I465" i="6"/>
  <c r="G465" i="6"/>
  <c r="I464" i="6"/>
  <c r="G464" i="6"/>
  <c r="I463" i="6"/>
  <c r="G463" i="6"/>
  <c r="I462" i="6"/>
  <c r="G462" i="6"/>
  <c r="I461" i="6"/>
  <c r="I457" i="6"/>
  <c r="G457" i="6"/>
  <c r="I456" i="6"/>
  <c r="G456" i="6"/>
  <c r="I455" i="6"/>
  <c r="G455" i="6"/>
  <c r="I454" i="6"/>
  <c r="G454" i="6"/>
  <c r="I453" i="6"/>
  <c r="G453" i="6"/>
  <c r="I452" i="6"/>
  <c r="G452" i="6"/>
  <c r="I451" i="6"/>
  <c r="G451" i="6"/>
  <c r="I450" i="6"/>
  <c r="G450" i="6"/>
  <c r="I449" i="6"/>
  <c r="G449" i="6"/>
  <c r="I448" i="6"/>
  <c r="G448" i="6"/>
  <c r="I447" i="6"/>
  <c r="G447" i="6"/>
  <c r="I446" i="6"/>
  <c r="G446" i="6"/>
  <c r="I441" i="6"/>
  <c r="G441" i="6"/>
  <c r="I440" i="6"/>
  <c r="I439" i="6"/>
  <c r="G439" i="6"/>
  <c r="I438" i="6"/>
  <c r="G438" i="6"/>
  <c r="I437" i="6"/>
  <c r="G437" i="6"/>
  <c r="I436" i="6"/>
  <c r="G436" i="6"/>
  <c r="I432" i="6"/>
  <c r="I431" i="6"/>
  <c r="I430" i="6"/>
  <c r="G430" i="6"/>
  <c r="I429" i="6"/>
  <c r="G429" i="6"/>
  <c r="I428" i="6"/>
  <c r="G428" i="6"/>
  <c r="I427" i="6"/>
  <c r="G427" i="6"/>
  <c r="I423" i="6"/>
  <c r="G423" i="6"/>
  <c r="I422" i="6"/>
  <c r="I421" i="6"/>
  <c r="G421" i="6"/>
  <c r="I420" i="6"/>
  <c r="G420" i="6"/>
  <c r="I419" i="6"/>
  <c r="G419" i="6"/>
  <c r="I418" i="6"/>
  <c r="G418" i="6"/>
  <c r="I414" i="6"/>
  <c r="G414" i="6"/>
  <c r="I413" i="6"/>
  <c r="I412" i="6"/>
  <c r="G412" i="6"/>
  <c r="I411" i="6"/>
  <c r="G411" i="6"/>
  <c r="I410" i="6"/>
  <c r="G410" i="6"/>
  <c r="I409" i="6"/>
  <c r="G409" i="6"/>
  <c r="H365" i="6"/>
  <c r="H364" i="6"/>
  <c r="H363" i="6"/>
  <c r="H362" i="6"/>
  <c r="H361" i="6"/>
  <c r="H360" i="6"/>
  <c r="H359" i="6"/>
  <c r="H358" i="6"/>
  <c r="H357" i="6"/>
  <c r="H356" i="6"/>
  <c r="H355" i="6"/>
  <c r="H354" i="6"/>
  <c r="H350" i="6"/>
  <c r="H349" i="6"/>
  <c r="H348" i="6"/>
  <c r="H347" i="6"/>
  <c r="H346" i="6"/>
  <c r="H345" i="6"/>
  <c r="H344" i="6"/>
  <c r="H343" i="6"/>
  <c r="H342" i="6"/>
  <c r="H341" i="6"/>
  <c r="H340" i="6"/>
  <c r="H339" i="6"/>
  <c r="H335" i="6"/>
  <c r="H334" i="6"/>
  <c r="H333" i="6"/>
  <c r="H332" i="6"/>
  <c r="H331" i="6"/>
  <c r="H330" i="6"/>
  <c r="H329" i="6"/>
  <c r="H328" i="6"/>
  <c r="H327" i="6"/>
  <c r="H326" i="6"/>
  <c r="H325" i="6"/>
  <c r="H324" i="6"/>
  <c r="H320" i="6"/>
  <c r="H319" i="6"/>
  <c r="H318" i="6"/>
  <c r="H317" i="6"/>
  <c r="H316" i="6"/>
  <c r="H315" i="6"/>
  <c r="H314" i="6"/>
  <c r="H313" i="6"/>
  <c r="H312" i="6"/>
  <c r="H311" i="6"/>
  <c r="H310" i="6"/>
  <c r="H309" i="6"/>
  <c r="H303" i="6"/>
  <c r="H302" i="6"/>
  <c r="H301" i="6"/>
  <c r="H300" i="6"/>
  <c r="H299" i="6"/>
  <c r="H298" i="6"/>
  <c r="H294" i="6"/>
  <c r="H293" i="6"/>
  <c r="H292" i="6"/>
  <c r="H291" i="6"/>
  <c r="H290" i="6"/>
  <c r="H289" i="6"/>
  <c r="H285" i="6"/>
  <c r="H284" i="6"/>
  <c r="H283" i="6"/>
  <c r="H282" i="6"/>
  <c r="H281" i="6"/>
  <c r="H280" i="6"/>
  <c r="H276" i="6"/>
  <c r="H275" i="6"/>
  <c r="H274" i="6"/>
  <c r="H273" i="6"/>
  <c r="H272" i="6"/>
  <c r="H271" i="6"/>
  <c r="M266" i="6"/>
  <c r="J266" i="6"/>
  <c r="M265" i="6"/>
  <c r="J265" i="6"/>
  <c r="M264" i="6"/>
  <c r="J264" i="6"/>
  <c r="M263" i="6"/>
  <c r="J263" i="6"/>
  <c r="M262" i="6"/>
  <c r="J262" i="6"/>
  <c r="M261" i="6"/>
  <c r="J261" i="6"/>
  <c r="M260" i="6"/>
  <c r="J260" i="6"/>
  <c r="M259" i="6"/>
  <c r="J259" i="6"/>
  <c r="M258" i="6"/>
  <c r="J258" i="6"/>
  <c r="M257" i="6"/>
  <c r="J257" i="6"/>
  <c r="M256" i="6"/>
  <c r="J256" i="6"/>
  <c r="M255" i="6"/>
  <c r="J255" i="6"/>
  <c r="M251" i="6"/>
  <c r="J251" i="6"/>
  <c r="M250" i="6"/>
  <c r="J250" i="6"/>
  <c r="M249" i="6"/>
  <c r="J249" i="6"/>
  <c r="M248" i="6"/>
  <c r="J248" i="6"/>
  <c r="M247" i="6"/>
  <c r="J247" i="6"/>
  <c r="M246" i="6"/>
  <c r="J246" i="6"/>
  <c r="M245" i="6"/>
  <c r="J245" i="6"/>
  <c r="M244" i="6"/>
  <c r="J244" i="6"/>
  <c r="M243" i="6"/>
  <c r="J243" i="6"/>
  <c r="M242" i="6"/>
  <c r="J242" i="6"/>
  <c r="M241" i="6"/>
  <c r="J241" i="6"/>
  <c r="M240" i="6"/>
  <c r="J240" i="6"/>
  <c r="M236" i="6"/>
  <c r="J236" i="6"/>
  <c r="M235" i="6"/>
  <c r="J235" i="6"/>
  <c r="M234" i="6"/>
  <c r="J234" i="6"/>
  <c r="M233" i="6"/>
  <c r="J233" i="6"/>
  <c r="M232" i="6"/>
  <c r="J232" i="6"/>
  <c r="M231" i="6"/>
  <c r="J231" i="6"/>
  <c r="M230" i="6"/>
  <c r="J230" i="6"/>
  <c r="M229" i="6"/>
  <c r="J229" i="6"/>
  <c r="M228" i="6"/>
  <c r="J228" i="6"/>
  <c r="M227" i="6"/>
  <c r="J227" i="6"/>
  <c r="M226" i="6"/>
  <c r="J226" i="6"/>
  <c r="M225" i="6"/>
  <c r="J225" i="6"/>
  <c r="M221" i="6"/>
  <c r="J221" i="6"/>
  <c r="O220" i="6"/>
  <c r="M220" i="6"/>
  <c r="J220" i="6"/>
  <c r="O219" i="6"/>
  <c r="M219" i="6"/>
  <c r="J219" i="6"/>
  <c r="O218" i="6"/>
  <c r="M218" i="6"/>
  <c r="J218" i="6"/>
  <c r="O217" i="6"/>
  <c r="M217" i="6"/>
  <c r="J217" i="6"/>
  <c r="O216" i="6"/>
  <c r="M216" i="6"/>
  <c r="J216" i="6"/>
  <c r="O215" i="6"/>
  <c r="M215" i="6"/>
  <c r="J215" i="6"/>
  <c r="O214" i="6"/>
  <c r="M214" i="6"/>
  <c r="J214" i="6"/>
  <c r="O213" i="6"/>
  <c r="M213" i="6"/>
  <c r="J213" i="6"/>
  <c r="O212" i="6"/>
  <c r="M212" i="6"/>
  <c r="J212" i="6"/>
  <c r="O211" i="6"/>
  <c r="M211" i="6"/>
  <c r="J211" i="6"/>
  <c r="O210" i="6"/>
  <c r="M210" i="6"/>
  <c r="J210" i="6"/>
  <c r="O202" i="6"/>
  <c r="J202" i="6"/>
  <c r="O201" i="6"/>
  <c r="J201" i="6"/>
  <c r="O200" i="6"/>
  <c r="J200" i="6"/>
  <c r="O199" i="6"/>
  <c r="J199" i="6"/>
  <c r="O198" i="6"/>
  <c r="J198" i="6"/>
  <c r="J197" i="6"/>
  <c r="J196" i="6"/>
  <c r="J195" i="6"/>
  <c r="J194" i="6"/>
  <c r="J193" i="6"/>
  <c r="J192" i="6"/>
  <c r="O191" i="6"/>
  <c r="O187" i="6"/>
  <c r="J187" i="6"/>
  <c r="O186" i="6"/>
  <c r="J186" i="6"/>
  <c r="O185" i="6"/>
  <c r="J185" i="6"/>
  <c r="O184" i="6"/>
  <c r="J184" i="6"/>
  <c r="O183" i="6"/>
  <c r="J183" i="6"/>
  <c r="O182" i="6"/>
  <c r="J182" i="6"/>
  <c r="O181" i="6"/>
  <c r="J181" i="6"/>
  <c r="O180" i="6"/>
  <c r="J180" i="6"/>
  <c r="O179" i="6"/>
  <c r="J179" i="6"/>
  <c r="O178" i="6"/>
  <c r="J178" i="6"/>
  <c r="O177" i="6"/>
  <c r="J177" i="6"/>
  <c r="O176" i="6"/>
  <c r="J176" i="6"/>
  <c r="O172" i="6"/>
  <c r="J172" i="6"/>
  <c r="O171" i="6"/>
  <c r="J171" i="6"/>
  <c r="O170" i="6"/>
  <c r="J170" i="6"/>
  <c r="O169" i="6"/>
  <c r="J169" i="6"/>
  <c r="O168" i="6"/>
  <c r="J168" i="6"/>
  <c r="O167" i="6"/>
  <c r="J167" i="6"/>
  <c r="O166" i="6"/>
  <c r="J166" i="6"/>
  <c r="O165" i="6"/>
  <c r="J165" i="6"/>
  <c r="O164" i="6"/>
  <c r="J164" i="6"/>
  <c r="O163" i="6"/>
  <c r="J163" i="6"/>
  <c r="O162" i="6"/>
  <c r="J162" i="6"/>
  <c r="O161" i="6"/>
  <c r="O157" i="6"/>
  <c r="J157" i="6"/>
  <c r="O156" i="6"/>
  <c r="J156" i="6"/>
  <c r="O155" i="6"/>
  <c r="J155" i="6"/>
  <c r="O154" i="6"/>
  <c r="J154" i="6"/>
  <c r="O153" i="6"/>
  <c r="J153" i="6"/>
  <c r="O152" i="6"/>
  <c r="J152" i="6"/>
  <c r="O151" i="6"/>
  <c r="J151" i="6"/>
  <c r="O150" i="6"/>
  <c r="J150" i="6"/>
  <c r="O149" i="6"/>
  <c r="J149" i="6"/>
  <c r="O148" i="6"/>
  <c r="J148" i="6"/>
  <c r="O147" i="6"/>
  <c r="J147" i="6"/>
  <c r="O146" i="6"/>
  <c r="J146" i="6"/>
  <c r="O141" i="6"/>
  <c r="J141" i="6"/>
  <c r="O140" i="6"/>
  <c r="J140" i="6"/>
  <c r="O139" i="6"/>
  <c r="J139" i="6"/>
  <c r="O138" i="6"/>
  <c r="J138" i="6"/>
  <c r="O137" i="6"/>
  <c r="J137" i="6"/>
  <c r="O136" i="6"/>
  <c r="J136" i="6"/>
  <c r="O132" i="6"/>
  <c r="J132" i="6"/>
  <c r="O131" i="6"/>
  <c r="J131" i="6"/>
  <c r="O130" i="6"/>
  <c r="J130" i="6"/>
  <c r="O129" i="6"/>
  <c r="J129" i="6"/>
  <c r="O128" i="6"/>
  <c r="J128" i="6"/>
  <c r="O127" i="6"/>
  <c r="J127" i="6"/>
  <c r="O123" i="6"/>
  <c r="J123" i="6"/>
  <c r="O122" i="6"/>
  <c r="J122" i="6"/>
  <c r="O121" i="6"/>
  <c r="J121" i="6"/>
  <c r="O120" i="6"/>
  <c r="J120" i="6"/>
  <c r="O119" i="6"/>
  <c r="J119" i="6"/>
  <c r="O118" i="6"/>
  <c r="J118" i="6"/>
  <c r="O114" i="6"/>
  <c r="O113" i="6"/>
  <c r="J113" i="6"/>
  <c r="Q108" i="6" s="1"/>
  <c r="O112" i="6"/>
  <c r="J112" i="6"/>
  <c r="O111" i="6"/>
  <c r="J111" i="6"/>
  <c r="O110" i="6"/>
  <c r="J110" i="6"/>
  <c r="O109" i="6"/>
  <c r="J109" i="6"/>
  <c r="H105" i="6"/>
  <c r="H104" i="6"/>
  <c r="H103" i="6"/>
  <c r="H102" i="6"/>
  <c r="H101" i="6"/>
  <c r="H100" i="6"/>
  <c r="H99" i="6"/>
  <c r="H98" i="6"/>
  <c r="H97" i="6"/>
  <c r="H96" i="6"/>
  <c r="H95" i="6"/>
  <c r="H94" i="6"/>
  <c r="H90" i="6"/>
  <c r="H89" i="6"/>
  <c r="H88" i="6"/>
  <c r="H87" i="6"/>
  <c r="H86" i="6"/>
  <c r="H85" i="6"/>
  <c r="H84" i="6"/>
  <c r="H83" i="6"/>
  <c r="H82" i="6"/>
  <c r="H81" i="6"/>
  <c r="H80" i="6"/>
  <c r="H79" i="6"/>
  <c r="H75" i="6"/>
  <c r="H74" i="6"/>
  <c r="H73" i="6"/>
  <c r="H72" i="6"/>
  <c r="H71" i="6"/>
  <c r="H70" i="6"/>
  <c r="H69" i="6"/>
  <c r="H68" i="6"/>
  <c r="H67" i="6"/>
  <c r="H66" i="6"/>
  <c r="H65" i="6"/>
  <c r="H64" i="6"/>
  <c r="H60" i="6"/>
  <c r="H59" i="6"/>
  <c r="H58" i="6"/>
  <c r="H57" i="6"/>
  <c r="H56" i="6"/>
  <c r="H55" i="6"/>
  <c r="H54" i="6"/>
  <c r="H53" i="6"/>
  <c r="H52" i="6"/>
  <c r="H51" i="6"/>
  <c r="H50" i="6"/>
  <c r="D47" i="6"/>
  <c r="C47" i="6"/>
  <c r="G34" i="6"/>
  <c r="U47" i="3"/>
  <c r="T47" i="3"/>
  <c r="S46" i="3"/>
  <c r="S45" i="3"/>
  <c r="S44" i="3"/>
  <c r="S43" i="3"/>
  <c r="S42" i="3"/>
  <c r="S41" i="3"/>
  <c r="S40" i="3"/>
  <c r="S39" i="3"/>
  <c r="S38" i="3"/>
  <c r="S37" i="3"/>
  <c r="S36" i="3"/>
  <c r="S35" i="3"/>
  <c r="S33" i="3"/>
  <c r="S32" i="3"/>
  <c r="S31" i="3"/>
  <c r="S30" i="3"/>
  <c r="S29" i="3"/>
  <c r="S28" i="3"/>
  <c r="S27" i="3"/>
  <c r="S26" i="3"/>
  <c r="S25" i="3"/>
  <c r="S23" i="3"/>
  <c r="S22" i="3"/>
  <c r="S21" i="3"/>
  <c r="S20" i="3"/>
  <c r="S19" i="3"/>
  <c r="S18" i="3"/>
  <c r="S17" i="3"/>
  <c r="S16" i="3"/>
  <c r="S15" i="3"/>
  <c r="S14" i="3"/>
  <c r="S13" i="3"/>
  <c r="S12" i="3"/>
  <c r="S11" i="3"/>
  <c r="S10" i="3"/>
  <c r="S9" i="3"/>
  <c r="DN46" i="2"/>
  <c r="AZ46" i="2"/>
  <c r="AY46" i="2"/>
  <c r="AX46" i="2"/>
  <c r="AW46" i="2"/>
  <c r="AV46" i="2"/>
  <c r="AU46" i="2"/>
  <c r="AU47" i="2" s="1"/>
  <c r="AT46" i="2"/>
  <c r="AS46" i="2"/>
  <c r="AQ46" i="2"/>
  <c r="AP46" i="2"/>
  <c r="AO46" i="2"/>
  <c r="AN46" i="2"/>
  <c r="AM46" i="2"/>
  <c r="AL46" i="2"/>
  <c r="AK46" i="2"/>
  <c r="AJ46" i="2"/>
  <c r="AI46" i="2"/>
  <c r="AH46" i="2"/>
  <c r="AG46" i="2"/>
  <c r="AF46" i="2"/>
  <c r="AE46" i="2"/>
  <c r="AD46" i="2"/>
  <c r="AC46" i="2"/>
  <c r="AB46" i="2"/>
  <c r="Y46" i="2"/>
  <c r="AA46" i="2" s="1"/>
  <c r="X46" i="2"/>
  <c r="Z46" i="2" s="1"/>
  <c r="W46" i="2"/>
  <c r="DN45" i="2"/>
  <c r="AO45" i="2"/>
  <c r="AN45" i="2"/>
  <c r="AM45" i="2"/>
  <c r="AL45" i="2"/>
  <c r="AK45" i="2"/>
  <c r="AJ45" i="2"/>
  <c r="AI45" i="2"/>
  <c r="AH45" i="2"/>
  <c r="AG45" i="2"/>
  <c r="AF45" i="2"/>
  <c r="AE45" i="2"/>
  <c r="AD45" i="2"/>
  <c r="AC45" i="2"/>
  <c r="BB45" i="2" s="1"/>
  <c r="AB45" i="2"/>
  <c r="V45" i="2"/>
  <c r="V47" i="2" s="1"/>
  <c r="U45" i="2"/>
  <c r="U47" i="2" s="1"/>
  <c r="T45" i="2"/>
  <c r="T47" i="2" s="1"/>
  <c r="S45" i="2"/>
  <c r="S47" i="2" s="1"/>
  <c r="R45" i="2"/>
  <c r="R47" i="2" s="1"/>
  <c r="Q45" i="2"/>
  <c r="Q47" i="2" s="1"/>
  <c r="P45" i="2"/>
  <c r="P47" i="2" s="1"/>
  <c r="O45" i="2"/>
  <c r="O47" i="2" s="1"/>
  <c r="N45" i="2"/>
  <c r="N47" i="2" s="1"/>
  <c r="M45" i="2"/>
  <c r="M47" i="2" s="1"/>
  <c r="L45" i="2"/>
  <c r="L47" i="2" s="1"/>
  <c r="K45" i="2"/>
  <c r="J45" i="2"/>
  <c r="J47" i="2" s="1"/>
  <c r="I45" i="2"/>
  <c r="H45" i="2"/>
  <c r="H47" i="2" s="1"/>
  <c r="EM44" i="2"/>
  <c r="DN44" i="2"/>
  <c r="DI44" i="2"/>
  <c r="AZ44" i="2"/>
  <c r="AY44" i="2"/>
  <c r="AX44" i="2"/>
  <c r="AW44" i="2"/>
  <c r="AU44" i="2"/>
  <c r="AT44" i="2"/>
  <c r="AS44" i="2"/>
  <c r="AR44" i="2"/>
  <c r="AQ44" i="2"/>
  <c r="AP44" i="2"/>
  <c r="AO44" i="2"/>
  <c r="AN44" i="2"/>
  <c r="AM44" i="2"/>
  <c r="AL44" i="2"/>
  <c r="AK44" i="2"/>
  <c r="AJ44" i="2"/>
  <c r="AI44" i="2"/>
  <c r="AH44" i="2"/>
  <c r="AG44" i="2"/>
  <c r="AF44" i="2"/>
  <c r="AE44" i="2"/>
  <c r="AD44" i="2"/>
  <c r="AC44" i="2"/>
  <c r="AB44" i="2"/>
  <c r="V44" i="2"/>
  <c r="U44" i="2"/>
  <c r="T44" i="2"/>
  <c r="S44" i="2"/>
  <c r="R44" i="2"/>
  <c r="Q44" i="2"/>
  <c r="P44" i="2"/>
  <c r="O44" i="2"/>
  <c r="N44" i="2"/>
  <c r="M44" i="2"/>
  <c r="L44" i="2"/>
  <c r="K44" i="2"/>
  <c r="J44" i="2"/>
  <c r="H44" i="2"/>
  <c r="EQ43" i="2"/>
  <c r="EP43" i="2"/>
  <c r="EO43" i="2"/>
  <c r="EM43" i="2"/>
  <c r="DM43" i="2"/>
  <c r="DL43" i="2"/>
  <c r="DK43" i="2"/>
  <c r="DI43" i="2"/>
  <c r="AZ43" i="2"/>
  <c r="AY43" i="2"/>
  <c r="AX43" i="2"/>
  <c r="AW43" i="2"/>
  <c r="AV43" i="2"/>
  <c r="AU43" i="2"/>
  <c r="AT43" i="2"/>
  <c r="AS43" i="2"/>
  <c r="AR43" i="2"/>
  <c r="AQ43" i="2"/>
  <c r="AP43" i="2"/>
  <c r="AO43" i="2"/>
  <c r="AN43" i="2"/>
  <c r="AM43" i="2"/>
  <c r="AL43" i="2"/>
  <c r="AK43" i="2"/>
  <c r="AJ43" i="2"/>
  <c r="AI43" i="2"/>
  <c r="AH43" i="2"/>
  <c r="AG43" i="2"/>
  <c r="AF43" i="2"/>
  <c r="AE43" i="2"/>
  <c r="AD43" i="2"/>
  <c r="AC43" i="2"/>
  <c r="V43" i="2"/>
  <c r="U43" i="2"/>
  <c r="T43" i="2"/>
  <c r="S43" i="2"/>
  <c r="R43" i="2"/>
  <c r="Q43" i="2"/>
  <c r="P43" i="2"/>
  <c r="O43" i="2"/>
  <c r="N43" i="2"/>
  <c r="M43" i="2"/>
  <c r="L43" i="2"/>
  <c r="K43" i="2"/>
  <c r="EQ42" i="2"/>
  <c r="EP42" i="2"/>
  <c r="EO42" i="2"/>
  <c r="EN42" i="2"/>
  <c r="EM42" i="2"/>
  <c r="DM42" i="2"/>
  <c r="DL42" i="2"/>
  <c r="DK42" i="2"/>
  <c r="DJ42" i="2"/>
  <c r="DI42" i="2"/>
  <c r="BD42" i="2"/>
  <c r="ET42" i="2" s="1"/>
  <c r="BA42" i="2"/>
  <c r="Y42" i="2"/>
  <c r="AA42" i="2" s="1"/>
  <c r="X42" i="2"/>
  <c r="Z42" i="2" s="1"/>
  <c r="W42" i="2"/>
  <c r="EP41" i="2"/>
  <c r="EO41" i="2"/>
  <c r="EN41" i="2"/>
  <c r="EM41" i="2"/>
  <c r="DL41" i="2"/>
  <c r="DK41" i="2"/>
  <c r="DJ41" i="2"/>
  <c r="DI41" i="2"/>
  <c r="BD41" i="2"/>
  <c r="ET41" i="2" s="1"/>
  <c r="BA41" i="2"/>
  <c r="Y41" i="2"/>
  <c r="AA41" i="2" s="1"/>
  <c r="X41" i="2"/>
  <c r="Z41" i="2" s="1"/>
  <c r="W41" i="2"/>
  <c r="EQ40" i="2"/>
  <c r="EP40" i="2"/>
  <c r="EO40" i="2"/>
  <c r="EN40" i="2"/>
  <c r="EM40" i="2"/>
  <c r="DM40" i="2"/>
  <c r="DL40" i="2"/>
  <c r="DK40" i="2"/>
  <c r="DJ40" i="2"/>
  <c r="DI40" i="2"/>
  <c r="BD40" i="2"/>
  <c r="ET40" i="2" s="1"/>
  <c r="BA40" i="2"/>
  <c r="Y40" i="2"/>
  <c r="AA40" i="2" s="1"/>
  <c r="X40" i="2"/>
  <c r="Z40" i="2" s="1"/>
  <c r="W40" i="2"/>
  <c r="EQ39" i="2"/>
  <c r="EP39" i="2"/>
  <c r="EP44" i="2" s="1"/>
  <c r="EO39" i="2"/>
  <c r="EN39" i="2"/>
  <c r="EM39" i="2"/>
  <c r="DM39" i="2"/>
  <c r="DL39" i="2"/>
  <c r="DK39" i="2"/>
  <c r="DJ39" i="2"/>
  <c r="DI39" i="2"/>
  <c r="ET39" i="2"/>
  <c r="BA39" i="2"/>
  <c r="Y39" i="2"/>
  <c r="AA39" i="2" s="1"/>
  <c r="X39" i="2"/>
  <c r="Z39" i="2" s="1"/>
  <c r="W39" i="2"/>
  <c r="EQ38" i="2"/>
  <c r="EP38" i="2"/>
  <c r="EO38" i="2"/>
  <c r="EN38" i="2"/>
  <c r="EM38" i="2"/>
  <c r="DM38" i="2"/>
  <c r="DL38" i="2"/>
  <c r="DK38" i="2"/>
  <c r="DJ38" i="2"/>
  <c r="DI38" i="2"/>
  <c r="BD38" i="2"/>
  <c r="ET38" i="2" s="1"/>
  <c r="BA38" i="2"/>
  <c r="Y38" i="2"/>
  <c r="AA38" i="2" s="1"/>
  <c r="X38" i="2"/>
  <c r="Z38" i="2" s="1"/>
  <c r="W38" i="2"/>
  <c r="EM37" i="2"/>
  <c r="DN37" i="2"/>
  <c r="DI37" i="2"/>
  <c r="AZ37" i="2"/>
  <c r="AY37" i="2"/>
  <c r="AX37" i="2"/>
  <c r="AW37" i="2"/>
  <c r="AU37" i="2"/>
  <c r="AS37" i="2"/>
  <c r="AR37" i="2"/>
  <c r="AQ37" i="2"/>
  <c r="AP37" i="2"/>
  <c r="AO37" i="2"/>
  <c r="AN37" i="2"/>
  <c r="AM37" i="2"/>
  <c r="AL37" i="2"/>
  <c r="AK37" i="2"/>
  <c r="AJ37" i="2"/>
  <c r="AI37" i="2"/>
  <c r="AH37" i="2"/>
  <c r="AG37" i="2"/>
  <c r="AF37" i="2"/>
  <c r="AE37" i="2"/>
  <c r="AD37" i="2"/>
  <c r="AC37" i="2"/>
  <c r="AB37" i="2"/>
  <c r="V37" i="2"/>
  <c r="U37" i="2"/>
  <c r="T37" i="2"/>
  <c r="S37" i="2"/>
  <c r="R37" i="2"/>
  <c r="Q37" i="2"/>
  <c r="P37" i="2"/>
  <c r="O37" i="2"/>
  <c r="N37" i="2"/>
  <c r="M37" i="2"/>
  <c r="L37" i="2"/>
  <c r="K37" i="2"/>
  <c r="J37" i="2"/>
  <c r="H37" i="2"/>
  <c r="EQ36" i="2"/>
  <c r="EP36" i="2"/>
  <c r="EO36" i="2"/>
  <c r="EN36" i="2"/>
  <c r="EM36" i="2"/>
  <c r="DM36" i="2"/>
  <c r="DL36" i="2"/>
  <c r="DK36" i="2"/>
  <c r="DJ36" i="2"/>
  <c r="DI36" i="2"/>
  <c r="AY36" i="2"/>
  <c r="AX36" i="2"/>
  <c r="AW36" i="2"/>
  <c r="AV36" i="2"/>
  <c r="AU36" i="2"/>
  <c r="AT36" i="2"/>
  <c r="AS36" i="2"/>
  <c r="AR36" i="2"/>
  <c r="AQ36" i="2"/>
  <c r="AP36" i="2"/>
  <c r="AO36" i="2"/>
  <c r="AN36" i="2"/>
  <c r="AM36" i="2"/>
  <c r="AL36" i="2"/>
  <c r="AK36" i="2"/>
  <c r="AJ36" i="2"/>
  <c r="AI36" i="2"/>
  <c r="AH36" i="2"/>
  <c r="AG36" i="2"/>
  <c r="AF36" i="2"/>
  <c r="AE36" i="2"/>
  <c r="AD36" i="2"/>
  <c r="AC36" i="2"/>
  <c r="V36" i="2"/>
  <c r="U36" i="2"/>
  <c r="T36" i="2"/>
  <c r="S36" i="2"/>
  <c r="R36" i="2"/>
  <c r="Q36" i="2"/>
  <c r="P36" i="2"/>
  <c r="O36" i="2"/>
  <c r="N36" i="2"/>
  <c r="M36" i="2"/>
  <c r="L36" i="2"/>
  <c r="K36" i="2"/>
  <c r="EQ35" i="2"/>
  <c r="EP35" i="2"/>
  <c r="EO35" i="2"/>
  <c r="EN35" i="2"/>
  <c r="EM35" i="2"/>
  <c r="DM35" i="2"/>
  <c r="DL35" i="2"/>
  <c r="DK35" i="2"/>
  <c r="DJ35" i="2"/>
  <c r="DI35" i="2"/>
  <c r="BD35" i="2"/>
  <c r="ET35" i="2" s="1"/>
  <c r="BA35" i="2"/>
  <c r="Y35" i="2"/>
  <c r="AA35" i="2" s="1"/>
  <c r="X35" i="2"/>
  <c r="Z35" i="2" s="1"/>
  <c r="W35" i="2"/>
  <c r="EQ34" i="2"/>
  <c r="EP34" i="2"/>
  <c r="EO34" i="2"/>
  <c r="EN34" i="2"/>
  <c r="EM34" i="2"/>
  <c r="DM34" i="2"/>
  <c r="DL34" i="2"/>
  <c r="DK34" i="2"/>
  <c r="DJ34" i="2"/>
  <c r="DI34" i="2"/>
  <c r="BD34" i="2"/>
  <c r="BA34" i="2"/>
  <c r="Y34" i="2"/>
  <c r="AA34" i="2" s="1"/>
  <c r="X34" i="2"/>
  <c r="Z34" i="2" s="1"/>
  <c r="W34" i="2"/>
  <c r="EQ33" i="2"/>
  <c r="EP33" i="2"/>
  <c r="EO33" i="2"/>
  <c r="EN33" i="2"/>
  <c r="EM33" i="2"/>
  <c r="DM33" i="2"/>
  <c r="DL33" i="2"/>
  <c r="DK33" i="2"/>
  <c r="DJ33" i="2"/>
  <c r="DI33" i="2"/>
  <c r="BD33" i="2"/>
  <c r="ET33" i="2" s="1"/>
  <c r="BA33" i="2"/>
  <c r="Y33" i="2"/>
  <c r="AA33" i="2" s="1"/>
  <c r="X33" i="2"/>
  <c r="Z33" i="2" s="1"/>
  <c r="W33" i="2"/>
  <c r="EQ32" i="2"/>
  <c r="EP32" i="2"/>
  <c r="EO32" i="2"/>
  <c r="EN32" i="2"/>
  <c r="EM32" i="2"/>
  <c r="DM32" i="2"/>
  <c r="DL32" i="2"/>
  <c r="DK32" i="2"/>
  <c r="DJ32" i="2"/>
  <c r="DI32" i="2"/>
  <c r="ET32" i="2"/>
  <c r="BA32" i="2"/>
  <c r="Y32" i="2"/>
  <c r="AA32" i="2" s="1"/>
  <c r="X32" i="2"/>
  <c r="Z32" i="2" s="1"/>
  <c r="W32" i="2"/>
  <c r="EQ31" i="2"/>
  <c r="EP31" i="2"/>
  <c r="EO31" i="2"/>
  <c r="EN31" i="2"/>
  <c r="EM31" i="2"/>
  <c r="DM31" i="2"/>
  <c r="DL31" i="2"/>
  <c r="DK31" i="2"/>
  <c r="DJ31" i="2"/>
  <c r="DI31" i="2"/>
  <c r="BA31" i="2"/>
  <c r="X31" i="2"/>
  <c r="Z31" i="2" s="1"/>
  <c r="EU31" i="2" s="1"/>
  <c r="W31" i="2"/>
  <c r="AZ30" i="2"/>
  <c r="AY30" i="2"/>
  <c r="AX30" i="2"/>
  <c r="AW30" i="2"/>
  <c r="AV30" i="2"/>
  <c r="AT30" i="2"/>
  <c r="AS30" i="2"/>
  <c r="AR30" i="2"/>
  <c r="AQ30" i="2"/>
  <c r="AP30" i="2"/>
  <c r="AO30" i="2"/>
  <c r="AN30" i="2"/>
  <c r="AM30" i="2"/>
  <c r="AL30" i="2"/>
  <c r="AJ30" i="2"/>
  <c r="AI30" i="2"/>
  <c r="AH30" i="2"/>
  <c r="AG30" i="2"/>
  <c r="AF30" i="2"/>
  <c r="AE30" i="2"/>
  <c r="AD30" i="2"/>
  <c r="AC30" i="2"/>
  <c r="AB30" i="2"/>
  <c r="V30" i="2"/>
  <c r="U30" i="2"/>
  <c r="T30" i="2"/>
  <c r="S30" i="2"/>
  <c r="R30" i="2"/>
  <c r="Q30" i="2"/>
  <c r="P30" i="2"/>
  <c r="O30" i="2"/>
  <c r="N30" i="2"/>
  <c r="M30" i="2"/>
  <c r="L30" i="2"/>
  <c r="K30"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V29" i="2"/>
  <c r="U29" i="2"/>
  <c r="T29" i="2"/>
  <c r="S29" i="2"/>
  <c r="R29" i="2"/>
  <c r="Q29" i="2"/>
  <c r="P29" i="2"/>
  <c r="O29" i="2"/>
  <c r="N29" i="2"/>
  <c r="M29" i="2"/>
  <c r="L29" i="2"/>
  <c r="K29" i="2"/>
  <c r="BD28" i="2"/>
  <c r="ET28" i="2" s="1"/>
  <c r="BA28" i="2"/>
  <c r="Y28" i="2"/>
  <c r="AA28" i="2" s="1"/>
  <c r="X28" i="2"/>
  <c r="Z28" i="2" s="1"/>
  <c r="W28" i="2"/>
  <c r="BD27" i="2"/>
  <c r="ET27" i="2" s="1"/>
  <c r="ES27" i="2"/>
  <c r="BA27" i="2"/>
  <c r="Y27" i="2"/>
  <c r="AA27" i="2" s="1"/>
  <c r="X27" i="2"/>
  <c r="Z27" i="2" s="1"/>
  <c r="W27" i="2"/>
  <c r="BD26" i="2"/>
  <c r="ET26" i="2" s="1"/>
  <c r="BA26" i="2"/>
  <c r="Y26" i="2"/>
  <c r="AA26" i="2" s="1"/>
  <c r="X26" i="2"/>
  <c r="Z26" i="2" s="1"/>
  <c r="W26" i="2"/>
  <c r="ET25" i="2"/>
  <c r="Y25" i="2"/>
  <c r="AA25" i="2" s="1"/>
  <c r="G25" i="2" s="1"/>
  <c r="X25" i="2"/>
  <c r="Z25" i="2" s="1"/>
  <c r="W25" i="2"/>
  <c r="BD24" i="2"/>
  <c r="ET24" i="2" s="1"/>
  <c r="BA24" i="2"/>
  <c r="AA24" i="2"/>
  <c r="X24" i="2"/>
  <c r="Z24" i="2" s="1"/>
  <c r="W24" i="2"/>
  <c r="DN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V23" i="2"/>
  <c r="U23" i="2"/>
  <c r="T23" i="2"/>
  <c r="S23" i="2"/>
  <c r="R23" i="2"/>
  <c r="Q23" i="2"/>
  <c r="P23" i="2"/>
  <c r="O23" i="2"/>
  <c r="N23" i="2"/>
  <c r="M23" i="2"/>
  <c r="L23" i="2"/>
  <c r="K23" i="2"/>
  <c r="J23" i="2"/>
  <c r="H23"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V22" i="2"/>
  <c r="U22" i="2"/>
  <c r="T22" i="2"/>
  <c r="S22" i="2"/>
  <c r="R22" i="2"/>
  <c r="Q22" i="2"/>
  <c r="P22" i="2"/>
  <c r="O22" i="2"/>
  <c r="N22" i="2"/>
  <c r="M22" i="2"/>
  <c r="L22" i="2"/>
  <c r="K22" i="2"/>
  <c r="BD21" i="2"/>
  <c r="ET21" i="2" s="1"/>
  <c r="BA21" i="2"/>
  <c r="Y21" i="2"/>
  <c r="AA21" i="2" s="1"/>
  <c r="X21" i="2"/>
  <c r="Z21" i="2" s="1"/>
  <c r="W21" i="2"/>
  <c r="BD20" i="2"/>
  <c r="ET20" i="2" s="1"/>
  <c r="ES20" i="2"/>
  <c r="BA20" i="2"/>
  <c r="Y20" i="2"/>
  <c r="AA20" i="2" s="1"/>
  <c r="X20" i="2"/>
  <c r="Z20" i="2" s="1"/>
  <c r="W20" i="2"/>
  <c r="BD19" i="2"/>
  <c r="ET19" i="2" s="1"/>
  <c r="ES19" i="2"/>
  <c r="BA19" i="2"/>
  <c r="Y19" i="2"/>
  <c r="AA19" i="2" s="1"/>
  <c r="X19" i="2"/>
  <c r="Z19" i="2" s="1"/>
  <c r="W19" i="2"/>
  <c r="BD18" i="2"/>
  <c r="ET18" i="2" s="1"/>
  <c r="ES18" i="2"/>
  <c r="BA18" i="2"/>
  <c r="Y18" i="2"/>
  <c r="AA18" i="2" s="1"/>
  <c r="X18" i="2"/>
  <c r="Z18" i="2" s="1"/>
  <c r="W18" i="2"/>
  <c r="BA17" i="2"/>
  <c r="Y17" i="2"/>
  <c r="AA17" i="2" s="1"/>
  <c r="X17" i="2"/>
  <c r="Z17" i="2" s="1"/>
  <c r="W17" i="2"/>
  <c r="EM16" i="2"/>
  <c r="DN16" i="2"/>
  <c r="DI16" i="2"/>
  <c r="AZ16" i="2"/>
  <c r="AY16" i="2"/>
  <c r="AX16" i="2"/>
  <c r="AW16" i="2"/>
  <c r="AV16" i="2"/>
  <c r="AU16" i="2"/>
  <c r="AT16" i="2"/>
  <c r="AS16" i="2"/>
  <c r="AR16" i="2"/>
  <c r="AQ16" i="2"/>
  <c r="AP16" i="2"/>
  <c r="AO16" i="2"/>
  <c r="AN16" i="2"/>
  <c r="AM16" i="2"/>
  <c r="AL16" i="2"/>
  <c r="AK16" i="2"/>
  <c r="AJ16" i="2"/>
  <c r="AI16" i="2"/>
  <c r="AH16" i="2"/>
  <c r="AG16" i="2"/>
  <c r="AF16" i="2"/>
  <c r="AE16" i="2"/>
  <c r="AD16" i="2"/>
  <c r="AC16" i="2"/>
  <c r="AB16" i="2"/>
  <c r="V16" i="2"/>
  <c r="U16" i="2"/>
  <c r="T16" i="2"/>
  <c r="S16" i="2"/>
  <c r="R16" i="2"/>
  <c r="Q16" i="2"/>
  <c r="P16" i="2"/>
  <c r="O16" i="2"/>
  <c r="N16" i="2"/>
  <c r="M16" i="2"/>
  <c r="L16" i="2"/>
  <c r="K16" i="2"/>
  <c r="J16" i="2"/>
  <c r="H16" i="2"/>
  <c r="AX15" i="2"/>
  <c r="AW15" i="2"/>
  <c r="AV15" i="2"/>
  <c r="AU15" i="2"/>
  <c r="AT15" i="2"/>
  <c r="AS15" i="2"/>
  <c r="AR15" i="2"/>
  <c r="AQ15" i="2"/>
  <c r="AP15" i="2"/>
  <c r="AO15" i="2"/>
  <c r="AN15" i="2"/>
  <c r="AM15" i="2"/>
  <c r="AL15" i="2"/>
  <c r="AK15" i="2"/>
  <c r="AJ15" i="2"/>
  <c r="AI15" i="2"/>
  <c r="AH15" i="2"/>
  <c r="AG15" i="2"/>
  <c r="AF15" i="2"/>
  <c r="AE15" i="2"/>
  <c r="AD15" i="2"/>
  <c r="AC15" i="2"/>
  <c r="AB15" i="2"/>
  <c r="V15" i="2"/>
  <c r="U15" i="2"/>
  <c r="T15" i="2"/>
  <c r="S15" i="2"/>
  <c r="R15" i="2"/>
  <c r="Q15" i="2"/>
  <c r="P15" i="2"/>
  <c r="O15" i="2"/>
  <c r="N15" i="2"/>
  <c r="M15" i="2"/>
  <c r="L15" i="2"/>
  <c r="K15" i="2"/>
  <c r="ES14" i="2"/>
  <c r="EQ14" i="2"/>
  <c r="EP14" i="2"/>
  <c r="EO14" i="2"/>
  <c r="EN14" i="2"/>
  <c r="EM14" i="2"/>
  <c r="DM14" i="2"/>
  <c r="DL14" i="2"/>
  <c r="DK14" i="2"/>
  <c r="DJ14" i="2"/>
  <c r="DI14" i="2"/>
  <c r="BD14" i="2"/>
  <c r="ET14" i="2" s="1"/>
  <c r="Y14" i="2"/>
  <c r="AA14" i="2" s="1"/>
  <c r="G14" i="2" s="1"/>
  <c r="X14" i="2"/>
  <c r="Z14" i="2" s="1"/>
  <c r="W14" i="2"/>
  <c r="EP13" i="2"/>
  <c r="EO13" i="2"/>
  <c r="EN13" i="2"/>
  <c r="DL13" i="2"/>
  <c r="DK13" i="2"/>
  <c r="DJ13" i="2"/>
  <c r="ES13" i="2"/>
  <c r="Y13" i="2"/>
  <c r="AA13" i="2" s="1"/>
  <c r="X13" i="2"/>
  <c r="Z13" i="2" s="1"/>
  <c r="W13" i="2"/>
  <c r="EQ12" i="2"/>
  <c r="EP12" i="2"/>
  <c r="EO12" i="2"/>
  <c r="EN12" i="2"/>
  <c r="EM12" i="2"/>
  <c r="DM12" i="2"/>
  <c r="DL12" i="2"/>
  <c r="DK12" i="2"/>
  <c r="DJ12" i="2"/>
  <c r="DI12" i="2"/>
  <c r="BD12" i="2"/>
  <c r="ET12" i="2" s="1"/>
  <c r="ES12" i="2"/>
  <c r="BA12" i="2"/>
  <c r="BA13" i="2" s="1"/>
  <c r="Y12" i="2"/>
  <c r="AA12" i="2" s="1"/>
  <c r="X12" i="2"/>
  <c r="Z12" i="2" s="1"/>
  <c r="W12" i="2"/>
  <c r="EQ11" i="2"/>
  <c r="EP11" i="2"/>
  <c r="EO11" i="2"/>
  <c r="EN11" i="2"/>
  <c r="EN16" i="2" s="1"/>
  <c r="EM11" i="2"/>
  <c r="DM11" i="2"/>
  <c r="DL11" i="2"/>
  <c r="DK11" i="2"/>
  <c r="DK16" i="2" s="1"/>
  <c r="DJ11" i="2"/>
  <c r="DI11" i="2"/>
  <c r="BD11" i="2"/>
  <c r="BA11" i="2"/>
  <c r="Y11" i="2"/>
  <c r="AA11" i="2" s="1"/>
  <c r="X11" i="2"/>
  <c r="Z11" i="2" s="1"/>
  <c r="W11" i="2"/>
  <c r="EO10" i="2"/>
  <c r="EO15" i="2" s="1"/>
  <c r="EN10" i="2"/>
  <c r="EM10" i="2"/>
  <c r="EM15" i="2" s="1"/>
  <c r="DK10" i="2"/>
  <c r="DM10" i="2" s="1"/>
  <c r="DM15" i="2" s="1"/>
  <c r="DJ10" i="2"/>
  <c r="DI10" i="2"/>
  <c r="DL10" i="2" s="1"/>
  <c r="Y10" i="2"/>
  <c r="AA10" i="2" s="1"/>
  <c r="X10" i="2"/>
  <c r="Z10" i="2" s="1"/>
  <c r="W10" i="2"/>
  <c r="BE14" i="1"/>
  <c r="BG14" i="1" s="1"/>
  <c r="EX14" i="1" s="1"/>
  <c r="BC14" i="1"/>
  <c r="AA14" i="1"/>
  <c r="AC14" i="1" s="1"/>
  <c r="Z14" i="1"/>
  <c r="AB14" i="1" s="1"/>
  <c r="Y14" i="1"/>
  <c r="AA13" i="1"/>
  <c r="AC13" i="1" s="1"/>
  <c r="EW13" i="1" s="1"/>
  <c r="Z13" i="1"/>
  <c r="AB13" i="1" s="1"/>
  <c r="Y13" i="1"/>
  <c r="ES24" i="2"/>
  <c r="ES28" i="2"/>
  <c r="ES38" i="2"/>
  <c r="ES40" i="2"/>
  <c r="ES42" i="2"/>
  <c r="ES26" i="2"/>
  <c r="ES35" i="2"/>
  <c r="ES25" i="2"/>
  <c r="ES33" i="2"/>
  <c r="ES11" i="2"/>
  <c r="ES31" i="2"/>
  <c r="BB43" i="2" l="1"/>
  <c r="BB16" i="2"/>
  <c r="BA46" i="2"/>
  <c r="ES50" i="2"/>
  <c r="ES51" i="2" s="1"/>
  <c r="BA45" i="2"/>
  <c r="BB29" i="2"/>
  <c r="BC45" i="2"/>
  <c r="BD45" i="2"/>
  <c r="BB44" i="2"/>
  <c r="AE47" i="2"/>
  <c r="BB46" i="2"/>
  <c r="BC46" i="2"/>
  <c r="BE46" i="2"/>
  <c r="BB30" i="2"/>
  <c r="BB22" i="2"/>
  <c r="BE44" i="2"/>
  <c r="BC44" i="2"/>
  <c r="ER44" i="2"/>
  <c r="BE37" i="2"/>
  <c r="BC37" i="2"/>
  <c r="BE30" i="2"/>
  <c r="BC30" i="2"/>
  <c r="ER30" i="2"/>
  <c r="BE23" i="2"/>
  <c r="BC23" i="2"/>
  <c r="BE45" i="2"/>
  <c r="ER16" i="2"/>
  <c r="BE16" i="2"/>
  <c r="BC16" i="2"/>
  <c r="BE34" i="2"/>
  <c r="BC34" i="2"/>
  <c r="ER34" i="2"/>
  <c r="BB37" i="2"/>
  <c r="ER37" i="2"/>
  <c r="BB23" i="2"/>
  <c r="ER23" i="2"/>
  <c r="ER43" i="2"/>
  <c r="BC43" i="2"/>
  <c r="BE43" i="2"/>
  <c r="BB36" i="2"/>
  <c r="BE36" i="2"/>
  <c r="BC36" i="2"/>
  <c r="ER36" i="2"/>
  <c r="ER22" i="2"/>
  <c r="BE22" i="2"/>
  <c r="BC22" i="2"/>
  <c r="BE29" i="2"/>
  <c r="BC29" i="2"/>
  <c r="ER29" i="2"/>
  <c r="AM47" i="2"/>
  <c r="EP37" i="2"/>
  <c r="DK37" i="2"/>
  <c r="DJ44" i="2"/>
  <c r="X16" i="2"/>
  <c r="Z16" i="2" s="1"/>
  <c r="DM37" i="2"/>
  <c r="DL44" i="2"/>
  <c r="G11" i="2"/>
  <c r="EV11" i="2" s="1"/>
  <c r="EO37" i="2"/>
  <c r="G38" i="2"/>
  <c r="EV38" i="2" s="1"/>
  <c r="EO44" i="2"/>
  <c r="AG47" i="2"/>
  <c r="EN37" i="2"/>
  <c r="AN47" i="2"/>
  <c r="AV47" i="2"/>
  <c r="EQ44" i="2"/>
  <c r="DN47" i="2"/>
  <c r="BF14" i="1"/>
  <c r="EV14" i="1" s="1"/>
  <c r="EV19" i="2"/>
  <c r="EV12" i="2"/>
  <c r="G20" i="2"/>
  <c r="EV20" i="2" s="1"/>
  <c r="G24" i="2"/>
  <c r="EV24" i="2" s="1"/>
  <c r="G32" i="2"/>
  <c r="EV32" i="2" s="1"/>
  <c r="Y37" i="2"/>
  <c r="AA37" i="2" s="1"/>
  <c r="G37" i="2" s="1"/>
  <c r="G42" i="2"/>
  <c r="EV42" i="2" s="1"/>
  <c r="W16" i="2"/>
  <c r="G18" i="2"/>
  <c r="EV18" i="2" s="1"/>
  <c r="G28" i="2"/>
  <c r="EV28" i="2" s="1"/>
  <c r="DJ37" i="2"/>
  <c r="EQ37" i="2"/>
  <c r="EU39" i="2"/>
  <c r="G39" i="2"/>
  <c r="EV39" i="2" s="1"/>
  <c r="BD44" i="2"/>
  <c r="I161" i="6"/>
  <c r="J161" i="6" s="1"/>
  <c r="G10" i="2"/>
  <c r="EV10" i="2" s="1"/>
  <c r="EU10" i="2"/>
  <c r="G35" i="2"/>
  <c r="EV35" i="2" s="1"/>
  <c r="G41" i="2"/>
  <c r="G17" i="2"/>
  <c r="EV17" i="2" s="1"/>
  <c r="G21" i="2"/>
  <c r="EV21" i="2" s="1"/>
  <c r="EU27" i="2"/>
  <c r="G27" i="2"/>
  <c r="EV27" i="2" s="1"/>
  <c r="G34" i="2"/>
  <c r="BA37" i="2"/>
  <c r="Q145" i="6"/>
  <c r="DI15" i="2"/>
  <c r="EV33" i="2"/>
  <c r="G13" i="2"/>
  <c r="EV13" i="2" s="1"/>
  <c r="Y29" i="2"/>
  <c r="AA29" i="2" s="1"/>
  <c r="EV26" i="2"/>
  <c r="G31" i="2"/>
  <c r="EV31" i="2" s="1"/>
  <c r="F461" i="6"/>
  <c r="G461" i="6" s="1"/>
  <c r="EU28" i="2"/>
  <c r="DL15" i="2"/>
  <c r="DM16" i="2"/>
  <c r="Y36" i="2"/>
  <c r="AA36" i="2" s="1"/>
  <c r="AH47" i="2"/>
  <c r="AO47" i="2"/>
  <c r="AY47" i="2"/>
  <c r="AJ47" i="2"/>
  <c r="W30" i="2"/>
  <c r="BD37" i="2"/>
  <c r="AI47" i="2"/>
  <c r="AZ47" i="2"/>
  <c r="Y45" i="2"/>
  <c r="AA45" i="2" s="1"/>
  <c r="G45" i="2" s="1"/>
  <c r="AC47" i="2"/>
  <c r="AK47" i="2"/>
  <c r="EN15" i="2"/>
  <c r="EO16" i="2"/>
  <c r="Y23" i="2"/>
  <c r="AA23" i="2" s="1"/>
  <c r="G23" i="2" s="1"/>
  <c r="AD47" i="2"/>
  <c r="AT47" i="2"/>
  <c r="AF47" i="2"/>
  <c r="Y22" i="2"/>
  <c r="AA22" i="2" s="1"/>
  <c r="X44" i="2"/>
  <c r="Z44" i="2" s="1"/>
  <c r="AX47" i="2"/>
  <c r="EQ16" i="2"/>
  <c r="W47" i="2"/>
  <c r="Y15" i="2"/>
  <c r="AA15" i="2" s="1"/>
  <c r="DJ16" i="2"/>
  <c r="X45" i="2"/>
  <c r="Z45" i="2" s="1"/>
  <c r="DL16" i="2"/>
  <c r="Y16" i="2"/>
  <c r="AA16" i="2" s="1"/>
  <c r="G16" i="2" s="1"/>
  <c r="W23" i="2"/>
  <c r="Y30" i="2"/>
  <c r="AA30" i="2" s="1"/>
  <c r="G30" i="2" s="1"/>
  <c r="DL37" i="2"/>
  <c r="X37" i="2"/>
  <c r="Z37" i="2" s="1"/>
  <c r="Y44" i="2"/>
  <c r="AA44" i="2" s="1"/>
  <c r="G44" i="2" s="1"/>
  <c r="DJ15" i="2"/>
  <c r="EU11" i="2"/>
  <c r="BA22" i="2"/>
  <c r="W29" i="2"/>
  <c r="W44" i="2"/>
  <c r="W22" i="2"/>
  <c r="X30" i="2"/>
  <c r="Z30" i="2" s="1"/>
  <c r="DK44" i="2"/>
  <c r="BA44" i="2"/>
  <c r="W45" i="2"/>
  <c r="EU24" i="2"/>
  <c r="EU18" i="2"/>
  <c r="BD22" i="2"/>
  <c r="EU42" i="2"/>
  <c r="X43" i="2"/>
  <c r="Z43" i="2" s="1"/>
  <c r="X15" i="2"/>
  <c r="Z15" i="2" s="1"/>
  <c r="DM44" i="2"/>
  <c r="Y43" i="2"/>
  <c r="AA43" i="2" s="1"/>
  <c r="EP16" i="2"/>
  <c r="EU32" i="2"/>
  <c r="AW47" i="2"/>
  <c r="EU21" i="2"/>
  <c r="X36" i="2"/>
  <c r="Z36" i="2" s="1"/>
  <c r="W37" i="2"/>
  <c r="EN44" i="2"/>
  <c r="AB47" i="2"/>
  <c r="G46" i="2"/>
  <c r="AP47" i="2"/>
  <c r="EU20" i="2"/>
  <c r="EU13" i="2"/>
  <c r="EU19" i="2"/>
  <c r="EU33" i="2"/>
  <c r="EU17" i="2"/>
  <c r="EU25" i="2"/>
  <c r="EV25" i="2"/>
  <c r="Y47" i="2"/>
  <c r="AA47" i="2" s="1"/>
  <c r="EU12" i="2"/>
  <c r="EU14" i="2"/>
  <c r="EV14" i="2"/>
  <c r="X47" i="2"/>
  <c r="Z47" i="2" s="1"/>
  <c r="EW14" i="1"/>
  <c r="EV40" i="2"/>
  <c r="EU40" i="2"/>
  <c r="EP10" i="2"/>
  <c r="EP15" i="2" s="1"/>
  <c r="BD36" i="2"/>
  <c r="W36" i="2"/>
  <c r="X23" i="2"/>
  <c r="Z23" i="2" s="1"/>
  <c r="DK15" i="2"/>
  <c r="W15" i="2"/>
  <c r="BA36" i="2"/>
  <c r="BA43" i="2"/>
  <c r="X29" i="2"/>
  <c r="Z29" i="2" s="1"/>
  <c r="EX13" i="1"/>
  <c r="EU38" i="2"/>
  <c r="X22" i="2"/>
  <c r="Z22" i="2" s="1"/>
  <c r="EU26" i="2"/>
  <c r="W43" i="2"/>
  <c r="BD43" i="2"/>
  <c r="EU35" i="2"/>
  <c r="EQ10" i="2"/>
  <c r="EQ15" i="2" s="1"/>
  <c r="BA29" i="2"/>
  <c r="AL47" i="2"/>
  <c r="AS47" i="2"/>
  <c r="ET11" i="2"/>
  <c r="BD30" i="2"/>
  <c r="BD46" i="2"/>
  <c r="BA30" i="2"/>
  <c r="BD29" i="2"/>
  <c r="BA16" i="2"/>
  <c r="AQ47" i="2"/>
  <c r="BA23" i="2"/>
  <c r="BD23" i="2"/>
  <c r="BD13" i="2"/>
  <c r="ET13" i="2" s="1"/>
  <c r="AY15" i="2"/>
  <c r="BB15" i="2" s="1"/>
  <c r="AZ15" i="2"/>
  <c r="BD16" i="2"/>
  <c r="AR47" i="2"/>
  <c r="E34" i="6"/>
  <c r="EV23" i="2" l="1"/>
  <c r="BB47" i="2"/>
  <c r="BE47" i="2"/>
  <c r="BC47" i="2"/>
  <c r="BC15" i="2"/>
  <c r="EU15" i="2" s="1"/>
  <c r="BE15" i="2"/>
  <c r="ER15" i="2"/>
  <c r="ET44" i="2"/>
  <c r="ET22" i="2"/>
  <c r="G22" i="2"/>
  <c r="EV22" i="2" s="1"/>
  <c r="ET37" i="2"/>
  <c r="G43" i="2"/>
  <c r="EV43" i="2" s="1"/>
  <c r="G36" i="2"/>
  <c r="EV36" i="2" s="1"/>
  <c r="G29" i="2"/>
  <c r="EV29" i="2" s="1"/>
  <c r="G47" i="2"/>
  <c r="ET36" i="2"/>
  <c r="ET23" i="2"/>
  <c r="ET43" i="2"/>
  <c r="ET29" i="2"/>
  <c r="EV37" i="2"/>
  <c r="ES37" i="2"/>
  <c r="EU37" i="2"/>
  <c r="ES44" i="2"/>
  <c r="EV44" i="2"/>
  <c r="EU44" i="2"/>
  <c r="EU30" i="2"/>
  <c r="ES30" i="2"/>
  <c r="EV30" i="2"/>
  <c r="ET30" i="2"/>
  <c r="ET16" i="2"/>
  <c r="BD47" i="2"/>
  <c r="BA47" i="2"/>
  <c r="EU23" i="2"/>
  <c r="ES23" i="2"/>
  <c r="BA15" i="2"/>
  <c r="G15" i="2" s="1"/>
  <c r="BD15" i="2"/>
  <c r="EU16" i="2"/>
  <c r="EV16" i="2"/>
  <c r="ES16" i="2"/>
  <c r="ES43" i="2"/>
  <c r="EU43" i="2"/>
  <c r="EU36" i="2"/>
  <c r="ES36" i="2"/>
  <c r="EU29" i="2"/>
  <c r="ES29" i="2"/>
  <c r="ES22" i="2"/>
  <c r="EU22" i="2"/>
  <c r="ET15" i="2" l="1"/>
  <c r="EV15" i="2"/>
  <c r="ES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
            <rFont val="Tahoma"/>
            <family val="2"/>
          </rPr>
          <t>YULIED.PENARANDA:</t>
        </r>
        <r>
          <rPr>
            <sz val="9"/>
            <color indexed="8"/>
            <rFont val="Tahoma"/>
            <family val="2"/>
          </rPr>
          <t xml:space="preserve">
Describir el número y nombre completo del proyecto de inversión. </t>
        </r>
      </text>
    </comment>
    <comment ref="A7" authorId="0" shapeId="0" xr:uid="{00000000-0006-0000-0000-000003000000}">
      <text>
        <r>
          <rPr>
            <b/>
            <sz val="9"/>
            <color indexed="8"/>
            <rFont val="Tahoma"/>
            <family val="2"/>
          </rPr>
          <t>YULIED.PENARANDA:</t>
        </r>
        <r>
          <rPr>
            <sz val="9"/>
            <color indexed="8"/>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
            <rFont val="Tahoma"/>
            <family val="2"/>
          </rPr>
          <t>YULIED.PENARANDA:</t>
        </r>
        <r>
          <rPr>
            <sz val="9"/>
            <color indexed="8"/>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
            <rFont val="Tahoma"/>
            <family val="2"/>
          </rPr>
          <t>YULIED.PENARANDA:</t>
        </r>
        <r>
          <rPr>
            <sz val="9"/>
            <color indexed="8"/>
            <rFont val="Tahoma"/>
            <family val="2"/>
          </rPr>
          <t xml:space="preserve">
Logros más representativos en función de la meta, de forma acumulada.(lenguaje claro y preciso)</t>
        </r>
        <r>
          <rPr>
            <sz val="9"/>
            <color indexed="8"/>
            <rFont val="Tahoma"/>
            <family val="2"/>
          </rPr>
          <t xml:space="preserve">
Máximo de caracteres 2.000 incluidos espacios.</t>
        </r>
        <r>
          <rPr>
            <sz val="9"/>
            <color indexed="8"/>
            <rFont val="Tahoma"/>
            <family val="2"/>
          </rPr>
          <t xml:space="preserve">
</t>
        </r>
      </text>
    </comment>
    <comment ref="EZ10" authorId="0" shapeId="0" xr:uid="{00000000-0006-0000-0000-000006000000}">
      <text>
        <r>
          <rPr>
            <b/>
            <sz val="9"/>
            <color indexed="8"/>
            <rFont val="Tahoma"/>
            <family val="2"/>
          </rPr>
          <t>YULIED.PENARANDA:</t>
        </r>
        <r>
          <rPr>
            <sz val="9"/>
            <color indexed="8"/>
            <rFont val="Tahoma"/>
            <family val="2"/>
          </rPr>
          <t xml:space="preserve">
Inconvenientes y/o dificultades que se han presentado para el cumplimiento de la Meta. </t>
        </r>
        <r>
          <rPr>
            <sz val="9"/>
            <color indexed="8"/>
            <rFont val="Tahoma"/>
            <family val="2"/>
          </rPr>
          <t xml:space="preserve">
Máximo de caracteres 500 incluidos espacios.</t>
        </r>
        <r>
          <rPr>
            <sz val="9"/>
            <color indexed="8"/>
            <rFont val="Tahoma"/>
            <family val="2"/>
          </rPr>
          <t xml:space="preserve">
</t>
        </r>
        <r>
          <rPr>
            <sz val="9"/>
            <color indexed="8"/>
            <rFont val="Tahoma"/>
            <family val="2"/>
          </rPr>
          <t xml:space="preserve">
</t>
        </r>
      </text>
    </comment>
    <comment ref="FA10" authorId="0" shapeId="0" xr:uid="{00000000-0006-0000-0000-000007000000}">
      <text>
        <r>
          <rPr>
            <b/>
            <sz val="9"/>
            <color indexed="8"/>
            <rFont val="Tahoma"/>
            <family val="2"/>
          </rPr>
          <t>YULIED.PENARANDA:</t>
        </r>
        <r>
          <rPr>
            <sz val="9"/>
            <color indexed="8"/>
            <rFont val="Tahoma"/>
            <family val="2"/>
          </rPr>
          <t xml:space="preserve">
Medidas a tomar para solucionar los retrasos presentados. </t>
        </r>
        <r>
          <rPr>
            <sz val="9"/>
            <color indexed="8"/>
            <rFont val="Tahoma"/>
            <family val="2"/>
          </rPr>
          <t xml:space="preserve">
Máximo de caracteres 500 incluidos espacios.</t>
        </r>
        <r>
          <rPr>
            <sz val="9"/>
            <color indexed="8"/>
            <rFont val="Tahoma"/>
            <family val="2"/>
          </rPr>
          <t xml:space="preserve">
</t>
        </r>
      </text>
    </comment>
    <comment ref="FB10" authorId="0" shapeId="0" xr:uid="{00000000-0006-0000-0000-000008000000}">
      <text>
        <r>
          <rPr>
            <b/>
            <sz val="9"/>
            <color indexed="8"/>
            <rFont val="Tahoma"/>
            <family val="2"/>
          </rPr>
          <t>YULIED.PENARANDA:</t>
        </r>
        <r>
          <rPr>
            <sz val="9"/>
            <color indexed="8"/>
            <rFont val="Tahoma"/>
            <family val="2"/>
          </rPr>
          <t xml:space="preserve">
Logros obtenidos para la población objetivo, que se han alcanzado  con el cumplimiento de la meta. </t>
        </r>
      </text>
    </comment>
    <comment ref="FC10" authorId="0" shapeId="0" xr:uid="{00000000-0006-0000-0000-000009000000}">
      <text>
        <r>
          <rPr>
            <b/>
            <sz val="9"/>
            <color indexed="8"/>
            <rFont val="Tahoma"/>
            <family val="2"/>
          </rPr>
          <t>YULIED.PENARANDA:</t>
        </r>
        <r>
          <rPr>
            <sz val="9"/>
            <color indexed="8"/>
            <rFont val="Tahoma"/>
            <family val="2"/>
          </rPr>
          <t xml:space="preserve">
Soportes que justifican las acciones desarrolladas en el cumplimiento de la meta.</t>
        </r>
        <r>
          <rPr>
            <sz val="9"/>
            <color indexed="8"/>
            <rFont val="Tahoma"/>
            <family val="2"/>
          </rPr>
          <t xml:space="preserve">
</t>
        </r>
      </text>
    </comment>
    <comment ref="A11" authorId="0" shapeId="0" xr:uid="{00000000-0006-0000-0000-00000A000000}">
      <text>
        <r>
          <rPr>
            <b/>
            <sz val="9"/>
            <color indexed="8"/>
            <rFont val="Tahoma"/>
            <family val="2"/>
          </rPr>
          <t>YULIED.PENARANDA:</t>
        </r>
        <r>
          <rPr>
            <sz val="9"/>
            <color indexed="8"/>
            <rFont val="Tahoma"/>
            <family val="2"/>
          </rPr>
          <t xml:space="preserve">
Número del propósito al que pertenece la estructura del proyecto de inversión asociada al PDD</t>
        </r>
      </text>
    </comment>
    <comment ref="J11" authorId="0" shapeId="0" xr:uid="{00000000-0006-0000-0000-00000B000000}">
      <text>
        <r>
          <rPr>
            <b/>
            <sz val="9"/>
            <color indexed="8"/>
            <rFont val="Tahoma"/>
            <family val="2"/>
          </rPr>
          <t>YULIED.PENARANDA:</t>
        </r>
        <r>
          <rPr>
            <sz val="9"/>
            <color indexed="8"/>
            <rFont val="Tahoma"/>
            <family val="2"/>
          </rPr>
          <t xml:space="preserve">
Año 1</t>
        </r>
      </text>
    </comment>
    <comment ref="BH11" authorId="0" shapeId="0" xr:uid="{00000000-0006-0000-0000-00000C000000}">
      <text>
        <r>
          <rPr>
            <b/>
            <sz val="9"/>
            <color indexed="8"/>
            <rFont val="Tahoma"/>
            <family val="2"/>
          </rPr>
          <t>YULIED.PENARANDA:</t>
        </r>
        <r>
          <rPr>
            <sz val="9"/>
            <color indexed="8"/>
            <rFont val="Tahoma"/>
            <family val="2"/>
          </rPr>
          <t xml:space="preserve">
Año 3</t>
        </r>
      </text>
    </comment>
    <comment ref="CL11" authorId="0" shapeId="0" xr:uid="{00000000-0006-0000-0000-00000D000000}">
      <text>
        <r>
          <rPr>
            <b/>
            <sz val="9"/>
            <color indexed="8"/>
            <rFont val="Tahoma"/>
            <family val="2"/>
          </rPr>
          <t>YULIED.PENARANDA:</t>
        </r>
        <r>
          <rPr>
            <sz val="9"/>
            <color indexed="8"/>
            <rFont val="Tahoma"/>
            <family val="2"/>
          </rPr>
          <t xml:space="preserve">
Año 4</t>
        </r>
      </text>
    </comment>
    <comment ref="DP11" authorId="0" shapeId="0" xr:uid="{00000000-0006-0000-0000-00000E000000}">
      <text>
        <r>
          <rPr>
            <b/>
            <sz val="9"/>
            <color indexed="8"/>
            <rFont val="Tahoma"/>
            <family val="2"/>
          </rPr>
          <t>YULIED.PENARANDA:</t>
        </r>
        <r>
          <rPr>
            <sz val="9"/>
            <color indexed="8"/>
            <rFont val="Tahoma"/>
            <family val="2"/>
          </rPr>
          <t xml:space="preserve">
Año 5</t>
        </r>
      </text>
    </comment>
    <comment ref="A12" authorId="0" shapeId="0" xr:uid="{00000000-0006-0000-0000-00000F000000}">
      <text>
        <r>
          <rPr>
            <b/>
            <sz val="9"/>
            <color indexed="8"/>
            <rFont val="Tahoma"/>
            <family val="2"/>
          </rPr>
          <t>YULIED.PENARANDA:</t>
        </r>
        <r>
          <rPr>
            <sz val="9"/>
            <color indexed="8"/>
            <rFont val="Tahoma"/>
            <family val="2"/>
          </rPr>
          <t xml:space="preserve">
Número del propósito al que pertenece la estructura del proyecto de inversión asociada al PDD</t>
        </r>
      </text>
    </comment>
    <comment ref="B12" authorId="0" shapeId="0" xr:uid="{00000000-0006-0000-0000-000010000000}">
      <text>
        <r>
          <rPr>
            <b/>
            <sz val="9"/>
            <color indexed="8"/>
            <rFont val="Tahoma"/>
            <family val="2"/>
          </rPr>
          <t>YULIED.PENARANDA:</t>
        </r>
        <r>
          <rPr>
            <sz val="9"/>
            <color indexed="8"/>
            <rFont val="Tahoma"/>
            <family val="2"/>
          </rPr>
          <t xml:space="preserve">
Número del programa al que pertenece la estructura del proyecto de inversión asociada al PDD</t>
        </r>
      </text>
    </comment>
    <comment ref="C12" authorId="0" shapeId="0" xr:uid="{00000000-0006-0000-0000-000011000000}">
      <text>
        <r>
          <rPr>
            <b/>
            <sz val="9"/>
            <color indexed="8"/>
            <rFont val="Tahoma"/>
            <family val="2"/>
          </rPr>
          <t>YULIED.PENARANDA:</t>
        </r>
        <r>
          <rPr>
            <sz val="9"/>
            <color indexed="8"/>
            <rFont val="Tahoma"/>
            <family val="2"/>
          </rPr>
          <t xml:space="preserve">
Número de Meta Plan de Desarrollo.</t>
        </r>
      </text>
    </comment>
    <comment ref="D12" authorId="0" shapeId="0" xr:uid="{00000000-0006-0000-0000-000012000000}">
      <text>
        <r>
          <rPr>
            <b/>
            <sz val="9"/>
            <color indexed="8"/>
            <rFont val="Tahoma"/>
            <family val="2"/>
          </rPr>
          <t>YULIED.PENARANDA:</t>
        </r>
        <r>
          <rPr>
            <sz val="9"/>
            <color indexed="8"/>
            <rFont val="Tahoma"/>
            <family val="2"/>
          </rPr>
          <t xml:space="preserve">
Nombre completo de la Meta  del Plan de Desarrollo, según acuerdo.</t>
        </r>
      </text>
    </comment>
    <comment ref="E12" authorId="0" shapeId="0" xr:uid="{00000000-0006-0000-0000-000013000000}">
      <text>
        <r>
          <rPr>
            <b/>
            <sz val="9"/>
            <color indexed="8"/>
            <rFont val="Tahoma"/>
            <family val="2"/>
          </rPr>
          <t>YULIED.PENARANDA:</t>
        </r>
        <r>
          <rPr>
            <sz val="9"/>
            <color indexed="8"/>
            <rFont val="Tahoma"/>
            <family val="2"/>
          </rPr>
          <t xml:space="preserve">
Número asignado al indicador en la estructura del Plan de Desarrollo. </t>
        </r>
      </text>
    </comment>
    <comment ref="F12" authorId="0" shapeId="0" xr:uid="{00000000-0006-0000-0000-000014000000}">
      <text>
        <r>
          <rPr>
            <b/>
            <sz val="9"/>
            <color indexed="8"/>
            <rFont val="Tahoma"/>
            <family val="2"/>
          </rPr>
          <t>YULIED.PENARANDA:</t>
        </r>
        <r>
          <rPr>
            <sz val="9"/>
            <color indexed="8"/>
            <rFont val="Tahoma"/>
            <family val="2"/>
          </rPr>
          <t xml:space="preserve">
Nombre completo del indicador. Expresión verbal, precisa y concreta del patrón de evaluación.</t>
        </r>
      </text>
    </comment>
    <comment ref="G12" authorId="0" shapeId="0" xr:uid="{00000000-0006-0000-0000-000015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
            <rFont val="Tahoma"/>
            <family val="2"/>
          </rPr>
          <t>YULIED.PENARANDA:</t>
        </r>
        <r>
          <rPr>
            <sz val="9"/>
            <color indexed="8"/>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
            <rFont val="Tahoma"/>
            <family val="2"/>
          </rPr>
          <t>YULIED.PENARANDA:</t>
        </r>
        <r>
          <rPr>
            <sz val="9"/>
            <color indexed="8"/>
            <rFont val="Tahoma"/>
            <family val="2"/>
          </rPr>
          <t xml:space="preserve">
Magnitud física del indicador programada para la totalidad del plan de desarrollo 2020-2024</t>
        </r>
      </text>
    </comment>
    <comment ref="J12" authorId="0" shapeId="0" xr:uid="{00000000-0006-0000-0000-000018000000}">
      <text>
        <r>
          <rPr>
            <b/>
            <sz val="9"/>
            <color indexed="8"/>
            <rFont val="Tahoma"/>
            <family val="2"/>
          </rPr>
          <t>YULIED.PENARANDA:</t>
        </r>
        <r>
          <rPr>
            <sz val="9"/>
            <color indexed="8"/>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
            <rFont val="Tahoma"/>
            <family val="2"/>
          </rPr>
          <t>YULIED.PENARANDA:</t>
        </r>
        <r>
          <rPr>
            <sz val="9"/>
            <color indexed="8"/>
            <rFont val="Tahoma"/>
            <family val="2"/>
          </rPr>
          <t xml:space="preserve">
Describir el número y nombre completo del proyecto de inversión. </t>
        </r>
      </text>
    </comment>
    <comment ref="ES7" authorId="0" shapeId="0" xr:uid="{00000000-0006-0000-0100-000003000000}">
      <text>
        <r>
          <rPr>
            <b/>
            <sz val="9"/>
            <color indexed="8"/>
            <rFont val="Tahoma"/>
            <family val="2"/>
          </rPr>
          <t>YULIED.PENARANDA:</t>
        </r>
        <r>
          <rPr>
            <sz val="9"/>
            <color indexed="8"/>
            <rFont val="Tahoma"/>
            <family val="2"/>
          </rPr>
          <t xml:space="preserve">
En este campo se conoce el porcentaje de avance de la vigencia; según la tipología del indicador.</t>
        </r>
      </text>
    </comment>
    <comment ref="ET7" authorId="0" shapeId="0" xr:uid="{00000000-0006-0000-0100-000004000000}">
      <text>
        <r>
          <rPr>
            <b/>
            <sz val="9"/>
            <color indexed="8"/>
            <rFont val="Tahoma"/>
            <family val="2"/>
          </rPr>
          <t>YULIED.PENARANDA:</t>
        </r>
        <r>
          <rPr>
            <sz val="9"/>
            <color indexed="8"/>
            <rFont val="Tahoma"/>
            <family val="2"/>
          </rPr>
          <t xml:space="preserve">
En este campo se conoce el porcentaje de avance de la vigencia; según la tipología del indicador.</t>
        </r>
      </text>
    </comment>
    <comment ref="EU7" authorId="0" shapeId="0" xr:uid="{00000000-0006-0000-0100-000005000000}">
      <text>
        <r>
          <rPr>
            <b/>
            <sz val="9"/>
            <color indexed="8"/>
            <rFont val="Tahoma"/>
            <family val="2"/>
          </rPr>
          <t>YULIED.PENARANDA:</t>
        </r>
        <r>
          <rPr>
            <sz val="9"/>
            <color indexed="8"/>
            <rFont val="Tahoma"/>
            <family val="2"/>
          </rPr>
          <t xml:space="preserve">
En este campo se conoce el porcentaje de avance de la vigencia; según la tipología del indicador.</t>
        </r>
      </text>
    </comment>
    <comment ref="EV7" authorId="0" shapeId="0" xr:uid="{00000000-0006-0000-01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
            <rFont val="Tahoma"/>
            <family val="2"/>
          </rPr>
          <t>YULIED.PENARANDA:</t>
        </r>
        <r>
          <rPr>
            <sz val="9"/>
            <color indexed="8"/>
            <rFont val="Tahoma"/>
            <family val="2"/>
          </rPr>
          <t xml:space="preserve">
Logros más representativos en función de la meta, de forma acumulada.(lenguaje claro y preciso)</t>
        </r>
        <r>
          <rPr>
            <sz val="9"/>
            <color indexed="8"/>
            <rFont val="Tahoma"/>
            <family val="2"/>
          </rPr>
          <t xml:space="preserve">
Máximo de caracteres 2.000 incluidos espacios.</t>
        </r>
        <r>
          <rPr>
            <sz val="9"/>
            <color indexed="8"/>
            <rFont val="Tahoma"/>
            <family val="2"/>
          </rPr>
          <t xml:space="preserve">
</t>
        </r>
      </text>
    </comment>
    <comment ref="EX7" authorId="0" shapeId="0" xr:uid="{00000000-0006-0000-0100-000008000000}">
      <text>
        <r>
          <rPr>
            <b/>
            <sz val="9"/>
            <color indexed="8"/>
            <rFont val="Tahoma"/>
            <family val="2"/>
          </rPr>
          <t>YULIED.PENARANDA:</t>
        </r>
        <r>
          <rPr>
            <sz val="9"/>
            <color indexed="8"/>
            <rFont val="Tahoma"/>
            <family val="2"/>
          </rPr>
          <t xml:space="preserve">
Inconvenientes y/o dificultades que se han presentado para el cumplimiento de la Meta. </t>
        </r>
        <r>
          <rPr>
            <sz val="9"/>
            <color indexed="8"/>
            <rFont val="Tahoma"/>
            <family val="2"/>
          </rPr>
          <t xml:space="preserve">
Máximo de caracteres 500 incluidos espacios.</t>
        </r>
        <r>
          <rPr>
            <sz val="9"/>
            <color indexed="8"/>
            <rFont val="Tahoma"/>
            <family val="2"/>
          </rPr>
          <t xml:space="preserve">
</t>
        </r>
        <r>
          <rPr>
            <sz val="9"/>
            <color indexed="8"/>
            <rFont val="Tahoma"/>
            <family val="2"/>
          </rPr>
          <t xml:space="preserve">
</t>
        </r>
      </text>
    </comment>
    <comment ref="EY7" authorId="0" shapeId="0" xr:uid="{00000000-0006-0000-0100-000009000000}">
      <text>
        <r>
          <rPr>
            <b/>
            <sz val="9"/>
            <color indexed="8"/>
            <rFont val="Tahoma"/>
            <family val="2"/>
          </rPr>
          <t>YULIED.PENARANDA:</t>
        </r>
        <r>
          <rPr>
            <sz val="9"/>
            <color indexed="8"/>
            <rFont val="Tahoma"/>
            <family val="2"/>
          </rPr>
          <t xml:space="preserve">
Medidas a tomar para solucionar los retrasos presentados. </t>
        </r>
        <r>
          <rPr>
            <sz val="9"/>
            <color indexed="8"/>
            <rFont val="Tahoma"/>
            <family val="2"/>
          </rPr>
          <t xml:space="preserve">
Máximo de caracteres 500 incluidos espacios.</t>
        </r>
        <r>
          <rPr>
            <sz val="9"/>
            <color indexed="8"/>
            <rFont val="Tahoma"/>
            <family val="2"/>
          </rPr>
          <t xml:space="preserve">
</t>
        </r>
      </text>
    </comment>
    <comment ref="EZ7" authorId="0" shapeId="0" xr:uid="{00000000-0006-0000-0100-00000A000000}">
      <text>
        <r>
          <rPr>
            <b/>
            <sz val="9"/>
            <color indexed="8"/>
            <rFont val="Tahoma"/>
            <family val="2"/>
          </rPr>
          <t>YULIED.PENARANDA:</t>
        </r>
        <r>
          <rPr>
            <sz val="9"/>
            <color indexed="8"/>
            <rFont val="Tahoma"/>
            <family val="2"/>
          </rPr>
          <t xml:space="preserve">
Logros obtenidos para la población objetivo, que se han alcanzado  con el cumplimiento de la meta. </t>
        </r>
      </text>
    </comment>
    <comment ref="FA7" authorId="0" shapeId="0" xr:uid="{00000000-0006-0000-0100-00000B000000}">
      <text>
        <r>
          <rPr>
            <b/>
            <sz val="9"/>
            <color indexed="8"/>
            <rFont val="Tahoma"/>
            <family val="2"/>
          </rPr>
          <t>YULIED.PENARANDA:</t>
        </r>
        <r>
          <rPr>
            <sz val="9"/>
            <color indexed="8"/>
            <rFont val="Tahoma"/>
            <family val="2"/>
          </rPr>
          <t xml:space="preserve">
Soportes que justifican las acciones desarrolladas en el cumplimiento de la meta.</t>
        </r>
        <r>
          <rPr>
            <sz val="9"/>
            <color indexed="8"/>
            <rFont val="Tahoma"/>
            <family val="2"/>
          </rPr>
          <t xml:space="preserve">
</t>
        </r>
      </text>
    </comment>
    <comment ref="H8" authorId="0" shapeId="0" xr:uid="{00000000-0006-0000-0100-00000C000000}">
      <text>
        <r>
          <rPr>
            <b/>
            <sz val="9"/>
            <color indexed="8"/>
            <rFont val="Tahoma"/>
            <family val="2"/>
          </rPr>
          <t>YULIED.PENARANDA:</t>
        </r>
        <r>
          <rPr>
            <sz val="9"/>
            <color indexed="8"/>
            <rFont val="Tahoma"/>
            <family val="2"/>
          </rPr>
          <t xml:space="preserve">
Año 1</t>
        </r>
      </text>
    </comment>
    <comment ref="BF8" authorId="0" shapeId="0" xr:uid="{00000000-0006-0000-0100-00000D000000}">
      <text>
        <r>
          <rPr>
            <b/>
            <sz val="9"/>
            <color indexed="8"/>
            <rFont val="Tahoma"/>
            <family val="2"/>
          </rPr>
          <t>YULIED.PENARANDA:</t>
        </r>
        <r>
          <rPr>
            <sz val="9"/>
            <color indexed="8"/>
            <rFont val="Tahoma"/>
            <family val="2"/>
          </rPr>
          <t xml:space="preserve">
Año 3</t>
        </r>
      </text>
    </comment>
    <comment ref="CJ8" authorId="0" shapeId="0" xr:uid="{00000000-0006-0000-0100-00000E000000}">
      <text>
        <r>
          <rPr>
            <b/>
            <sz val="9"/>
            <color indexed="8"/>
            <rFont val="Tahoma"/>
            <family val="2"/>
          </rPr>
          <t>YULIED.PENARANDA:</t>
        </r>
        <r>
          <rPr>
            <sz val="9"/>
            <color indexed="8"/>
            <rFont val="Tahoma"/>
            <family val="2"/>
          </rPr>
          <t xml:space="preserve">
Año 4</t>
        </r>
        <r>
          <rPr>
            <sz val="9"/>
            <color indexed="8"/>
            <rFont val="Tahoma"/>
            <family val="2"/>
          </rPr>
          <t xml:space="preserve">
</t>
        </r>
      </text>
    </comment>
    <comment ref="DN8" authorId="0" shapeId="0" xr:uid="{00000000-0006-0000-0100-00000F000000}">
      <text>
        <r>
          <rPr>
            <b/>
            <sz val="9"/>
            <color indexed="8"/>
            <rFont val="Tahoma"/>
            <family val="2"/>
          </rPr>
          <t>YULIED.PENARANDA:</t>
        </r>
        <r>
          <rPr>
            <sz val="9"/>
            <color indexed="8"/>
            <rFont val="Tahoma"/>
            <family val="2"/>
          </rPr>
          <t xml:space="preserve">
Año 5</t>
        </r>
      </text>
    </comment>
    <comment ref="A9" authorId="0" shapeId="0" xr:uid="{00000000-0006-0000-0100-000010000000}">
      <text>
        <r>
          <rPr>
            <b/>
            <sz val="9"/>
            <color indexed="8"/>
            <rFont val="Tahoma"/>
            <family val="2"/>
          </rPr>
          <t>YULIED.PENARANDA:</t>
        </r>
        <r>
          <rPr>
            <sz val="9"/>
            <color indexed="8"/>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
            <rFont val="Tahoma"/>
            <family val="2"/>
          </rPr>
          <t>YULIED.PENARANDA:</t>
        </r>
        <r>
          <rPr>
            <sz val="9"/>
            <color indexed="8"/>
            <rFont val="Tahoma"/>
            <family val="2"/>
          </rPr>
          <t xml:space="preserve">
Número de la meta proyecto de inversión, según la asignación dada en  SEGPLAN</t>
        </r>
      </text>
    </comment>
    <comment ref="C9" authorId="0" shapeId="0" xr:uid="{00000000-0006-0000-0100-000012000000}">
      <text>
        <r>
          <rPr>
            <b/>
            <sz val="9"/>
            <color indexed="8"/>
            <rFont val="Tahoma"/>
            <family val="2"/>
          </rPr>
          <t>YULIED.PENARANDA:</t>
        </r>
        <r>
          <rPr>
            <sz val="9"/>
            <color indexed="8"/>
            <rFont val="Tahoma"/>
            <family val="2"/>
          </rPr>
          <t xml:space="preserve">
Nombre completo de la meta proyecto de inversión, igual como quedo en SEGPLAN</t>
        </r>
      </text>
    </comment>
    <comment ref="D9" authorId="0" shapeId="0" xr:uid="{00000000-0006-0000-0100-000013000000}">
      <text>
        <r>
          <rPr>
            <b/>
            <sz val="9"/>
            <color indexed="8"/>
            <rFont val="Tahoma"/>
            <family val="2"/>
          </rPr>
          <t>YULIED.PENARANDA:</t>
        </r>
        <r>
          <rPr>
            <sz val="9"/>
            <color indexed="8"/>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
            <rFont val="Tahoma"/>
            <family val="2"/>
          </rPr>
          <t>YULIED.PENARANDA:</t>
        </r>
        <r>
          <rPr>
            <sz val="9"/>
            <color indexed="8"/>
            <rFont val="Tahoma"/>
            <family val="2"/>
          </rPr>
          <t xml:space="preserve">
Número de la meta Plan de Desarrollo, a la cual se encuentra asociada la meta de inversión.</t>
        </r>
      </text>
    </comment>
    <comment ref="F9" authorId="0" shapeId="0" xr:uid="{00000000-0006-0000-0100-000015000000}">
      <text>
        <r>
          <rPr>
            <b/>
            <sz val="9"/>
            <color indexed="8"/>
            <rFont val="Tahoma"/>
            <family val="2"/>
          </rPr>
          <t>YULIED.PENARANDA:</t>
        </r>
        <r>
          <rPr>
            <sz val="9"/>
            <color indexed="8"/>
            <rFont val="Tahoma"/>
            <family val="2"/>
          </rPr>
          <t xml:space="preserve">
Se desagrega los siguientesvariables.</t>
        </r>
        <r>
          <rPr>
            <sz val="9"/>
            <color indexed="8"/>
            <rFont val="Tahoma"/>
            <family val="2"/>
          </rPr>
          <t xml:space="preserve">
Magnitud física y presupuestal de la vigencia, así como la magnitud física y presupuestal de las reservas y el total de cada una de ellas.</t>
        </r>
      </text>
    </comment>
    <comment ref="G9" authorId="0" shapeId="0" xr:uid="{00000000-0006-0000-0100-000016000000}">
      <text>
        <r>
          <rPr>
            <b/>
            <sz val="9"/>
            <color indexed="8"/>
            <rFont val="Tahoma"/>
            <family val="2"/>
          </rPr>
          <t>YULIED.PENARANDA:</t>
        </r>
        <r>
          <rPr>
            <sz val="9"/>
            <color indexed="8"/>
            <rFont val="Tahoma"/>
            <family val="2"/>
          </rPr>
          <t xml:space="preserve">
Magnitud física y presupuestal para la totalidad del plan de desarrollo.</t>
        </r>
      </text>
    </comment>
    <comment ref="H9" authorId="0" shapeId="0" xr:uid="{00000000-0006-0000-0100-000017000000}">
      <text>
        <r>
          <rPr>
            <b/>
            <sz val="9"/>
            <color indexed="8"/>
            <rFont val="Tahoma"/>
            <family val="2"/>
          </rPr>
          <t>YULIED.PENARANDA:</t>
        </r>
        <r>
          <rPr>
            <sz val="9"/>
            <color indexed="8"/>
            <rFont val="Tahoma"/>
            <family val="2"/>
          </rPr>
          <t xml:space="preserve">
Magnitud física y presupuestal  programada para el inicio del plan de desarrollo.</t>
        </r>
      </text>
    </comment>
    <comment ref="F10" authorId="0" shapeId="0" xr:uid="{00000000-0006-0000-0100-000018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11" authorId="0" shapeId="0" xr:uid="{00000000-0006-0000-0100-00001A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13" authorId="0" shapeId="0" xr:uid="{00000000-0006-0000-0100-000020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21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23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16" authorId="0" shapeId="0" xr:uid="{00000000-0006-0000-0100-000024000000}">
      <text>
        <r>
          <rPr>
            <b/>
            <sz val="9"/>
            <color indexed="8"/>
            <rFont val="Tahoma"/>
            <family val="2"/>
          </rPr>
          <t>YULIED.PENARANDA:</t>
        </r>
        <r>
          <rPr>
            <sz val="9"/>
            <color indexed="8"/>
            <rFont val="Tahoma"/>
            <family val="2"/>
          </rPr>
          <t xml:space="preserve">
Se suma los recursos presupuestales (vigencia + reservas)</t>
        </r>
      </text>
    </comment>
    <comment ref="F17" authorId="0" shapeId="0" xr:uid="{00000000-0006-0000-0100-000025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18" authorId="0" shapeId="0" xr:uid="{00000000-0006-0000-0100-000027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20" authorId="0" shapeId="0" xr:uid="{00000000-0006-0000-0100-00002F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30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31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23" authorId="0" shapeId="0" xr:uid="{00000000-0006-0000-0100-000032000000}">
      <text>
        <r>
          <rPr>
            <b/>
            <sz val="9"/>
            <color indexed="8"/>
            <rFont val="Tahoma"/>
            <family val="2"/>
          </rPr>
          <t>YULIED.PENARANDA:</t>
        </r>
        <r>
          <rPr>
            <sz val="9"/>
            <color indexed="8"/>
            <rFont val="Tahoma"/>
            <family val="2"/>
          </rPr>
          <t xml:space="preserve">
Se suma los recursos presupuestales (vigencia + reservas)</t>
        </r>
      </text>
    </comment>
    <comment ref="F24" authorId="0" shapeId="0" xr:uid="{00000000-0006-0000-0100-000033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25" authorId="0" shapeId="0" xr:uid="{00000000-0006-0000-0100-000034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27" authorId="0" shapeId="0" xr:uid="{00000000-0006-0000-0100-000038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39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3A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30" authorId="0" shapeId="0" xr:uid="{00000000-0006-0000-0100-00003B000000}">
      <text>
        <r>
          <rPr>
            <b/>
            <sz val="9"/>
            <color indexed="8"/>
            <rFont val="Tahoma"/>
            <family val="2"/>
          </rPr>
          <t>YULIED.PENARANDA:</t>
        </r>
        <r>
          <rPr>
            <sz val="9"/>
            <color indexed="8"/>
            <rFont val="Tahoma"/>
            <family val="2"/>
          </rPr>
          <t xml:space="preserve">
Se suma los recursos presupuestales (vigencia + reservas)</t>
        </r>
      </text>
    </comment>
    <comment ref="F31" authorId="0" shapeId="0" xr:uid="{00000000-0006-0000-0100-00003C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32" authorId="0" shapeId="0" xr:uid="{00000000-0006-0000-0100-000040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34" authorId="0" shapeId="0" xr:uid="{00000000-0006-0000-0100-000048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00000000-0006-0000-0100-000049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4A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37" authorId="0" shapeId="0" xr:uid="{00000000-0006-0000-0100-00004B000000}">
      <text>
        <r>
          <rPr>
            <b/>
            <sz val="9"/>
            <color indexed="8"/>
            <rFont val="Tahoma"/>
            <family val="2"/>
          </rPr>
          <t>YULIED.PENARANDA:</t>
        </r>
        <r>
          <rPr>
            <sz val="9"/>
            <color indexed="8"/>
            <rFont val="Tahoma"/>
            <family val="2"/>
          </rPr>
          <t xml:space="preserve">
Se suma los recursos presupuestales (vigencia + reservas)</t>
        </r>
      </text>
    </comment>
    <comment ref="F38" authorId="0" shapeId="0" xr:uid="{00000000-0006-0000-0100-00004C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39" authorId="0" shapeId="0" xr:uid="{00000000-0006-0000-0100-00004D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41" authorId="0" shapeId="0" xr:uid="{00000000-0006-0000-0100-00004E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42" authorId="0" shapeId="0" xr:uid="{00000000-0006-0000-0100-00004F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50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44" authorId="0" shapeId="0" xr:uid="{00000000-0006-0000-0100-000051000000}">
      <text>
        <r>
          <rPr>
            <b/>
            <sz val="9"/>
            <color indexed="8"/>
            <rFont val="Tahoma"/>
            <family val="2"/>
          </rPr>
          <t>YULIED.PENARANDA:</t>
        </r>
        <r>
          <rPr>
            <sz val="9"/>
            <color indexed="8"/>
            <rFont val="Tahoma"/>
            <family val="2"/>
          </rPr>
          <t xml:space="preserve">
Se suma los recursos presupuestales (vigencia + reservas)</t>
        </r>
      </text>
    </comment>
    <comment ref="F45" authorId="0" shapeId="0" xr:uid="{00000000-0006-0000-0100-000052000000}">
      <text>
        <r>
          <rPr>
            <b/>
            <sz val="9"/>
            <color indexed="8"/>
            <rFont val="Tahoma"/>
            <family val="2"/>
          </rPr>
          <t>YULIED.PENARANDA:</t>
        </r>
        <r>
          <rPr>
            <sz val="9"/>
            <color indexed="8"/>
            <rFont val="Tahoma"/>
            <family val="2"/>
          </rPr>
          <t xml:space="preserve">
Se suma los recursos presupuestales de la vigencia, por cada meta de inversión del proyecto</t>
        </r>
      </text>
    </comment>
    <comment ref="F46" authorId="0" shapeId="0" xr:uid="{00000000-0006-0000-0100-000053000000}">
      <text>
        <r>
          <rPr>
            <b/>
            <sz val="9"/>
            <color indexed="8"/>
            <rFont val="Tahoma"/>
            <family val="2"/>
          </rPr>
          <t>YULIED.PENARANDA:</t>
        </r>
        <r>
          <rPr>
            <sz val="9"/>
            <color indexed="8"/>
            <rFont val="Tahoma"/>
            <family val="2"/>
          </rPr>
          <t xml:space="preserve">
Se suma los recursos presupuestales de la reserva, por cada meta de inversión del proyecto</t>
        </r>
      </text>
    </comment>
    <comment ref="F47" authorId="0" shapeId="0" xr:uid="{00000000-0006-0000-0100-000054000000}">
      <text>
        <r>
          <rPr>
            <b/>
            <sz val="9"/>
            <color indexed="8"/>
            <rFont val="Tahoma"/>
            <family val="2"/>
          </rPr>
          <t>YULIED.PENARANDA:</t>
        </r>
        <r>
          <rPr>
            <sz val="9"/>
            <color indexed="8"/>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tc={F2A252FB-6787-4224-8CA0-746D0DA5BC46}</author>
  </authors>
  <commentList>
    <comment ref="A4" authorId="0" shapeId="0" xr:uid="{00000000-0006-0000-02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
            <rFont val="Tahoma"/>
            <family val="2"/>
          </rPr>
          <t>YULIED.PENARANDA:</t>
        </r>
        <r>
          <rPr>
            <sz val="9"/>
            <color indexed="8"/>
            <rFont val="Tahoma"/>
            <family val="2"/>
          </rPr>
          <t xml:space="preserve">
Describir el número y nombre completo del proyecto de inversión. </t>
        </r>
      </text>
    </comment>
    <comment ref="A7" authorId="0" shapeId="0" xr:uid="{00000000-0006-0000-0200-000003000000}">
      <text>
        <r>
          <rPr>
            <b/>
            <sz val="9"/>
            <color indexed="8"/>
            <rFont val="Tahoma"/>
            <family val="2"/>
          </rPr>
          <t>YULIED.PENARANDA:</t>
        </r>
        <r>
          <rPr>
            <sz val="9"/>
            <color indexed="8"/>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
            <rFont val="Tahoma"/>
            <family val="2"/>
          </rPr>
          <t>YULIED.PENARANDA:</t>
        </r>
        <r>
          <rPr>
            <sz val="9"/>
            <color indexed="8"/>
            <rFont val="Tahoma"/>
            <family val="2"/>
          </rPr>
          <t xml:space="preserve">
Se deben relacionar todas las metas proyecto de inversión formuladas para la ejecución del proyecto.</t>
        </r>
      </text>
    </comment>
    <comment ref="C7" authorId="0" shapeId="0" xr:uid="{00000000-0006-0000-0200-000005000000}">
      <text>
        <r>
          <rPr>
            <b/>
            <sz val="9"/>
            <color indexed="8"/>
            <rFont val="Tahoma"/>
            <family val="2"/>
          </rPr>
          <t>YULIED.PENARANDA:</t>
        </r>
        <r>
          <rPr>
            <sz val="9"/>
            <color indexed="8"/>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
            <rFont val="Tahoma"/>
            <family val="2"/>
          </rPr>
          <t>YULIED.PENARANDA:</t>
        </r>
        <r>
          <rPr>
            <sz val="9"/>
            <color indexed="8"/>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
            <rFont val="Tahoma"/>
            <family val="2"/>
          </rPr>
          <t>YULIED.PENARANDA:</t>
        </r>
        <r>
          <rPr>
            <sz val="9"/>
            <color indexed="8"/>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
            <rFont val="Tahoma"/>
            <family val="2"/>
          </rPr>
          <t>YULIED.PENARANDA:</t>
        </r>
        <r>
          <rPr>
            <sz val="9"/>
            <color indexed="8"/>
            <rFont val="Tahoma"/>
            <family val="2"/>
          </rPr>
          <t xml:space="preserve">
Peso porcentual de la meta y actividad, al final del resultado nos da el 100%</t>
        </r>
      </text>
    </comment>
    <comment ref="V7" authorId="0" shapeId="0" xr:uid="{00000000-0006-0000-0200-000009000000}">
      <text>
        <r>
          <rPr>
            <b/>
            <sz val="9"/>
            <color indexed="8"/>
            <rFont val="Tahoma"/>
            <family val="2"/>
          </rPr>
          <t>YULIED.PENARANDA:</t>
        </r>
        <r>
          <rPr>
            <sz val="9"/>
            <color indexed="8"/>
            <rFont val="Tahoma"/>
            <family val="2"/>
          </rPr>
          <t xml:space="preserve">
Relacionar el periodo de corte y año a reportar.</t>
        </r>
        <r>
          <rPr>
            <sz val="9"/>
            <color indexed="8"/>
            <rFont val="Tahoma"/>
            <family val="2"/>
          </rPr>
          <t xml:space="preserve">
</t>
        </r>
        <r>
          <rPr>
            <sz val="9"/>
            <color indexed="8"/>
            <rFont val="Tahoma"/>
            <family val="2"/>
          </rPr>
          <t xml:space="preserve">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
            <rFont val="Tahoma"/>
            <family val="2"/>
          </rPr>
          <t>YULIED.PENARANDA:</t>
        </r>
        <r>
          <rPr>
            <sz val="9"/>
            <color indexed="8"/>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
            <rFont val="Tahoma"/>
            <family val="2"/>
          </rPr>
          <t>YULIED.PENARANDA:</t>
        </r>
        <r>
          <rPr>
            <sz val="9"/>
            <color indexed="8"/>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
            <rFont val="Tahoma"/>
            <family val="2"/>
          </rPr>
          <t>YULIED.PENARANDA:</t>
        </r>
        <r>
          <rPr>
            <sz val="9"/>
            <color indexed="8"/>
            <rFont val="Tahoma"/>
            <family val="2"/>
          </rPr>
          <t xml:space="preserve">
Variables: programado y ejecutado</t>
        </r>
      </text>
    </comment>
    <comment ref="G8" authorId="0" shapeId="0" xr:uid="{00000000-0006-0000-0200-00000D000000}">
      <text>
        <r>
          <rPr>
            <b/>
            <sz val="9"/>
            <color indexed="8"/>
            <rFont val="Tahoma"/>
            <family val="2"/>
          </rPr>
          <t>YULIED.PENARANDA:</t>
        </r>
        <r>
          <rPr>
            <sz val="9"/>
            <color indexed="8"/>
            <rFont val="Tahoma"/>
            <family val="2"/>
          </rPr>
          <t xml:space="preserve">
Máximo dos decimales</t>
        </r>
      </text>
    </comment>
    <comment ref="H8" authorId="0" shapeId="0" xr:uid="{00000000-0006-0000-0200-00000E000000}">
      <text>
        <r>
          <rPr>
            <b/>
            <sz val="9"/>
            <color indexed="8"/>
            <rFont val="Tahoma"/>
            <family val="2"/>
          </rPr>
          <t>YULIED.PENARANDA:</t>
        </r>
        <r>
          <rPr>
            <sz val="9"/>
            <color indexed="8"/>
            <rFont val="Tahoma"/>
            <family val="2"/>
          </rPr>
          <t xml:space="preserve">
Máximo dos decimales</t>
        </r>
      </text>
    </comment>
    <comment ref="I8" authorId="0" shapeId="0" xr:uid="{00000000-0006-0000-0200-00000F000000}">
      <text>
        <r>
          <rPr>
            <b/>
            <sz val="9"/>
            <color indexed="8"/>
            <rFont val="Tahoma"/>
            <family val="2"/>
          </rPr>
          <t>YULIED.PENARANDA:</t>
        </r>
        <r>
          <rPr>
            <sz val="9"/>
            <color indexed="8"/>
            <rFont val="Tahoma"/>
            <family val="2"/>
          </rPr>
          <t xml:space="preserve">
Máximo dos decimales</t>
        </r>
      </text>
    </comment>
    <comment ref="J8" authorId="0" shapeId="0" xr:uid="{00000000-0006-0000-0200-000010000000}">
      <text>
        <r>
          <rPr>
            <b/>
            <sz val="9"/>
            <color indexed="8"/>
            <rFont val="Tahoma"/>
            <family val="2"/>
          </rPr>
          <t>YULIED.PENARANDA:</t>
        </r>
        <r>
          <rPr>
            <sz val="9"/>
            <color indexed="8"/>
            <rFont val="Tahoma"/>
            <family val="2"/>
          </rPr>
          <t xml:space="preserve">
Máximo dos decimales</t>
        </r>
      </text>
    </comment>
    <comment ref="K8" authorId="0" shapeId="0" xr:uid="{00000000-0006-0000-0200-000011000000}">
      <text>
        <r>
          <rPr>
            <b/>
            <sz val="9"/>
            <color indexed="8"/>
            <rFont val="Tahoma"/>
            <family val="2"/>
          </rPr>
          <t>YULIED.PENARANDA:</t>
        </r>
        <r>
          <rPr>
            <sz val="9"/>
            <color indexed="8"/>
            <rFont val="Tahoma"/>
            <family val="2"/>
          </rPr>
          <t xml:space="preserve">
Máximo dos decimales</t>
        </r>
      </text>
    </comment>
    <comment ref="L8" authorId="0" shapeId="0" xr:uid="{00000000-0006-0000-0200-000012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M8" authorId="0" shapeId="0" xr:uid="{00000000-0006-0000-0200-000013000000}">
      <text>
        <r>
          <rPr>
            <b/>
            <sz val="9"/>
            <color indexed="8"/>
            <rFont val="Tahoma"/>
            <family val="2"/>
          </rPr>
          <t>YULIED.PENARANDA:</t>
        </r>
        <r>
          <rPr>
            <sz val="9"/>
            <color indexed="8"/>
            <rFont val="Tahoma"/>
            <family val="2"/>
          </rPr>
          <t xml:space="preserve">
Máximo dos decimales</t>
        </r>
      </text>
    </comment>
    <comment ref="N8" authorId="0" shapeId="0" xr:uid="{00000000-0006-0000-0200-000014000000}">
      <text>
        <r>
          <rPr>
            <b/>
            <sz val="9"/>
            <color indexed="8"/>
            <rFont val="Tahoma"/>
            <family val="2"/>
          </rPr>
          <t>YULIED.PENARANDA:</t>
        </r>
        <r>
          <rPr>
            <sz val="9"/>
            <color indexed="8"/>
            <rFont val="Tahoma"/>
            <family val="2"/>
          </rPr>
          <t xml:space="preserve">
Máximo dos decimales</t>
        </r>
      </text>
    </comment>
    <comment ref="O8" authorId="0" shapeId="0" xr:uid="{00000000-0006-0000-0200-000015000000}">
      <text>
        <r>
          <rPr>
            <b/>
            <sz val="9"/>
            <color indexed="8"/>
            <rFont val="Tahoma"/>
            <family val="2"/>
          </rPr>
          <t>YULIED.PENARANDA:</t>
        </r>
        <r>
          <rPr>
            <sz val="9"/>
            <color indexed="8"/>
            <rFont val="Tahoma"/>
            <family val="2"/>
          </rPr>
          <t xml:space="preserve">
Máximo dos decimales</t>
        </r>
      </text>
    </comment>
    <comment ref="P8" authorId="0" shapeId="0" xr:uid="{00000000-0006-0000-0200-000016000000}">
      <text>
        <r>
          <rPr>
            <b/>
            <sz val="9"/>
            <color indexed="8"/>
            <rFont val="Tahoma"/>
            <family val="2"/>
          </rPr>
          <t>YULIED.PENARANDA:</t>
        </r>
        <r>
          <rPr>
            <sz val="9"/>
            <color indexed="8"/>
            <rFont val="Tahoma"/>
            <family val="2"/>
          </rPr>
          <t xml:space="preserve">
Máximo dos decimales</t>
        </r>
      </text>
    </comment>
    <comment ref="Q8" authorId="0" shapeId="0" xr:uid="{00000000-0006-0000-0200-000017000000}">
      <text>
        <r>
          <rPr>
            <b/>
            <sz val="9"/>
            <color indexed="8"/>
            <rFont val="Tahoma"/>
            <family val="2"/>
          </rPr>
          <t>YULIED.PENARANDA:</t>
        </r>
        <r>
          <rPr>
            <sz val="9"/>
            <color indexed="8"/>
            <rFont val="Tahoma"/>
            <family val="2"/>
          </rPr>
          <t xml:space="preserve">
Máximo dos decimales</t>
        </r>
      </text>
    </comment>
    <comment ref="R8" authorId="0" shapeId="0" xr:uid="{00000000-0006-0000-0200-000018000000}">
      <text>
        <r>
          <rPr>
            <b/>
            <sz val="9"/>
            <color indexed="8"/>
            <rFont val="Tahoma"/>
            <family val="2"/>
          </rPr>
          <t>YULIED.PENARANDA:</t>
        </r>
        <r>
          <rPr>
            <sz val="9"/>
            <color indexed="8"/>
            <rFont val="Tahoma"/>
            <family val="2"/>
          </rPr>
          <t xml:space="preserve">
Máximo dos decimales</t>
        </r>
      </text>
    </comment>
    <comment ref="S8" authorId="0" shapeId="0" xr:uid="{00000000-0006-0000-0200-000019000000}">
      <text>
        <r>
          <rPr>
            <b/>
            <sz val="9"/>
            <color indexed="8"/>
            <rFont val="Tahoma"/>
            <family val="2"/>
          </rPr>
          <t>YULIED.PENARANDA:</t>
        </r>
        <r>
          <rPr>
            <sz val="9"/>
            <color indexed="8"/>
            <rFont val="Tahoma"/>
            <family val="2"/>
          </rPr>
          <t xml:space="preserve">
La programación y la ejecución de la actividad en los 12 meses, no puede ser superior a 100%.  </t>
        </r>
      </text>
    </comment>
    <comment ref="T8" authorId="0" shapeId="0" xr:uid="{00000000-0006-0000-0200-00001A000000}">
      <text>
        <r>
          <rPr>
            <b/>
            <sz val="9"/>
            <color indexed="8"/>
            <rFont val="Tahoma"/>
            <family val="2"/>
          </rPr>
          <t>YULIED.PENARANDA:</t>
        </r>
        <r>
          <rPr>
            <sz val="9"/>
            <color indexed="8"/>
            <rFont val="Tahoma"/>
            <family val="2"/>
          </rPr>
          <t xml:space="preserve">
Peso porcentual de cada meta, en función del proyecto de inversión</t>
        </r>
      </text>
    </comment>
    <comment ref="U8" authorId="0" shapeId="0" xr:uid="{00000000-0006-0000-0200-00001B000000}">
      <text>
        <r>
          <rPr>
            <b/>
            <sz val="9"/>
            <color indexed="8"/>
            <rFont val="Tahoma"/>
            <family val="2"/>
          </rPr>
          <t>YULIED.PENARANDA:</t>
        </r>
        <r>
          <rPr>
            <sz val="9"/>
            <color indexed="8"/>
            <rFont val="Tahoma"/>
            <family val="2"/>
          </rPr>
          <t xml:space="preserve">
Peso porcentual de cada actividad, en función del proyecto de inversión</t>
        </r>
      </text>
    </comment>
    <comment ref="V21" authorId="1" shapeId="0" xr:uid="{00000000-0006-0000-0200-00001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qué no se alcanzó el 100%?</t>
      </text>
    </comment>
    <comment ref="T47" authorId="0" shapeId="0" xr:uid="{00000000-0006-0000-0200-00001D000000}">
      <text>
        <r>
          <rPr>
            <b/>
            <sz val="9"/>
            <color indexed="8"/>
            <rFont val="Tahoma"/>
            <family val="2"/>
          </rPr>
          <t>YULIED.PENARANDA:</t>
        </r>
        <r>
          <rPr>
            <sz val="9"/>
            <color indexed="8"/>
            <rFont val="Tahoma"/>
            <family val="2"/>
          </rPr>
          <t xml:space="preserve">
La suma debe dar 100%</t>
        </r>
      </text>
    </comment>
    <comment ref="U47" authorId="0" shapeId="0" xr:uid="{00000000-0006-0000-0200-00001E000000}">
      <text>
        <r>
          <rPr>
            <b/>
            <sz val="9"/>
            <color indexed="8"/>
            <rFont val="Tahoma"/>
            <family val="2"/>
          </rPr>
          <t>YULIED.PENARANDA:</t>
        </r>
        <r>
          <rPr>
            <sz val="9"/>
            <color indexed="8"/>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indexed="8"/>
            <rFont val="Tahoma"/>
            <family val="2"/>
          </rPr>
          <t>SPCI:</t>
        </r>
        <r>
          <rPr>
            <sz val="9"/>
            <color indexed="8"/>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K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L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M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N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O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S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U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W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Y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268" authorId="0" shapeId="0" xr:uid="{00000000-0006-0000-0300-00001E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69" authorId="0" shapeId="0" xr:uid="{00000000-0006-0000-0300-00001F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70" authorId="0" shapeId="0" xr:uid="{00000000-0006-0000-0300-000020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
            <rFont val="Tahoma"/>
            <family val="2"/>
          </rPr>
          <t>YULIED.PENARANDA:</t>
        </r>
        <r>
          <rPr>
            <sz val="9"/>
            <color indexed="8"/>
            <rFont val="Tahoma"/>
            <family val="2"/>
          </rPr>
          <t xml:space="preserve">
Describir el número y nombre completo del proyecto de inversión. </t>
        </r>
      </text>
    </comment>
    <comment ref="A7" authorId="0" shapeId="0" xr:uid="{00000000-0006-0000-0400-000003000000}">
      <text>
        <r>
          <rPr>
            <b/>
            <sz val="9"/>
            <color indexed="8"/>
            <rFont val="Tahoma"/>
            <family val="2"/>
          </rPr>
          <t>YULIED.PENARANDA:</t>
        </r>
        <r>
          <rPr>
            <sz val="9"/>
            <color indexed="8"/>
            <rFont val="Tahoma"/>
            <family val="2"/>
          </rPr>
          <t xml:space="preserve">
Corresponde a la información en firme de cada vigencia fiscal.</t>
        </r>
      </text>
    </comment>
    <comment ref="A23" authorId="0" shapeId="0" xr:uid="{00000000-0006-0000-0400-000004000000}">
      <text>
        <r>
          <rPr>
            <b/>
            <sz val="9"/>
            <color indexed="8"/>
            <rFont val="Tahoma"/>
            <family val="2"/>
          </rPr>
          <t>YULIED.PENARANDA:</t>
        </r>
        <r>
          <rPr>
            <sz val="9"/>
            <color indexed="8"/>
            <rFont val="Tahoma"/>
            <family val="2"/>
          </rPr>
          <t xml:space="preserve">
Corresponde a la información en firme de cada vigencia fiscal.</t>
        </r>
      </text>
    </comment>
    <comment ref="A24" authorId="0" shapeId="0" xr:uid="{00000000-0006-0000-0400-000005000000}">
      <text>
        <r>
          <rPr>
            <b/>
            <sz val="9"/>
            <color indexed="8"/>
            <rFont val="Tahoma"/>
            <family val="2"/>
          </rPr>
          <t>YULIED.PENARANDA:</t>
        </r>
        <r>
          <rPr>
            <sz val="9"/>
            <color indexed="8"/>
            <rFont val="Tahoma"/>
            <family val="2"/>
          </rPr>
          <t xml:space="preserve">
Vigencia a reportar</t>
        </r>
      </text>
    </comment>
    <comment ref="C24" authorId="0" shapeId="0" xr:uid="{00000000-0006-0000-0400-000006000000}">
      <text>
        <r>
          <rPr>
            <b/>
            <sz val="9"/>
            <color indexed="8"/>
            <rFont val="Tahoma"/>
            <family val="2"/>
          </rPr>
          <t>YULIED.PENARANDA:</t>
        </r>
        <r>
          <rPr>
            <sz val="9"/>
            <color indexed="8"/>
            <rFont val="Tahoma"/>
            <family val="2"/>
          </rPr>
          <t xml:space="preserve">
Apropiación inicial acorde con la herramienta oficial de la SDH</t>
        </r>
      </text>
    </comment>
    <comment ref="D24" authorId="0" shapeId="0" xr:uid="{00000000-0006-0000-0400-000007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24" authorId="0" shapeId="0" xr:uid="{00000000-0006-0000-0400-000008000000}">
      <text>
        <r>
          <rPr>
            <b/>
            <sz val="9"/>
            <color indexed="8"/>
            <rFont val="Tahoma"/>
            <family val="2"/>
          </rPr>
          <t>YULIED.PENARANDA:</t>
        </r>
        <r>
          <rPr>
            <sz val="9"/>
            <color indexed="8"/>
            <rFont val="Tahoma"/>
            <family val="2"/>
          </rPr>
          <t xml:space="preserve">
Valores contenidos en los Registros Presupuestales de Compromisos</t>
        </r>
      </text>
    </comment>
    <comment ref="F24" authorId="0" shapeId="0" xr:uid="{00000000-0006-0000-0400-000009000000}">
      <text>
        <r>
          <rPr>
            <b/>
            <sz val="9"/>
            <color indexed="8"/>
            <rFont val="Tahoma"/>
            <family val="2"/>
          </rPr>
          <t>YULIED.PENARANDA:</t>
        </r>
        <r>
          <rPr>
            <sz val="9"/>
            <color indexed="8"/>
            <rFont val="Tahoma"/>
            <family val="2"/>
          </rPr>
          <t xml:space="preserve">
Corresponde al pago </t>
        </r>
      </text>
    </comment>
    <comment ref="G24" authorId="0" shapeId="0" xr:uid="{00000000-0006-0000-0400-00000A000000}">
      <text>
        <r>
          <rPr>
            <b/>
            <sz val="9"/>
            <color indexed="8"/>
            <rFont val="Tahoma"/>
            <family val="2"/>
          </rPr>
          <t>YULIED.PENARANDA:</t>
        </r>
        <r>
          <rPr>
            <sz val="9"/>
            <color indexed="8"/>
            <rFont val="Tahoma"/>
            <family val="2"/>
          </rPr>
          <t xml:space="preserve">
Extinción de la obligación a cargo de la SDA.</t>
        </r>
      </text>
    </comment>
    <comment ref="A38" authorId="0" shapeId="0" xr:uid="{00000000-0006-0000-0400-00000B000000}">
      <text>
        <r>
          <rPr>
            <b/>
            <sz val="9"/>
            <color indexed="8"/>
            <rFont val="Tahoma"/>
            <family val="2"/>
          </rPr>
          <t>YULIED.PENARANDA:</t>
        </r>
        <r>
          <rPr>
            <sz val="9"/>
            <color indexed="8"/>
            <rFont val="Tahoma"/>
            <family val="2"/>
          </rPr>
          <t xml:space="preserve">
Corresponde a la información en firme de cada vigencia fiscal.</t>
        </r>
      </text>
    </comment>
    <comment ref="A39" authorId="0" shapeId="0" xr:uid="{00000000-0006-0000-0400-00000C000000}">
      <text>
        <r>
          <rPr>
            <b/>
            <sz val="9"/>
            <color indexed="8"/>
            <rFont val="Tahoma"/>
            <family val="2"/>
          </rPr>
          <t>YULIED.PENARANDA:</t>
        </r>
        <r>
          <rPr>
            <sz val="9"/>
            <color indexed="8"/>
            <rFont val="Tahoma"/>
            <family val="2"/>
          </rPr>
          <t xml:space="preserve">
Vigencia a reportar</t>
        </r>
      </text>
    </comment>
    <comment ref="C39" authorId="0" shapeId="0" xr:uid="{00000000-0006-0000-0400-00000D000000}">
      <text>
        <r>
          <rPr>
            <b/>
            <sz val="9"/>
            <color indexed="8"/>
            <rFont val="Tahoma"/>
            <family val="2"/>
          </rPr>
          <t>YULIED.PENARANDA:</t>
        </r>
        <r>
          <rPr>
            <sz val="9"/>
            <color indexed="8"/>
            <rFont val="Tahoma"/>
            <family val="2"/>
          </rPr>
          <t xml:space="preserve">
Apropiación inicial acorde con la herramienta oficial de la SDH</t>
        </r>
      </text>
    </comment>
    <comment ref="D39" authorId="0" shapeId="0" xr:uid="{00000000-0006-0000-0400-00000E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39" authorId="0" shapeId="0" xr:uid="{00000000-0006-0000-0400-00000F000000}">
      <text>
        <r>
          <rPr>
            <b/>
            <sz val="9"/>
            <color indexed="8"/>
            <rFont val="Tahoma"/>
            <family val="2"/>
          </rPr>
          <t>YULIED.PENARANDA:</t>
        </r>
        <r>
          <rPr>
            <sz val="9"/>
            <color indexed="8"/>
            <rFont val="Tahoma"/>
            <family val="2"/>
          </rPr>
          <t xml:space="preserve">
Valores contenidos en los Registros Presupuestales de Compromisos</t>
        </r>
      </text>
    </comment>
    <comment ref="F39" authorId="0" shapeId="0" xr:uid="{00000000-0006-0000-0400-000010000000}">
      <text>
        <r>
          <rPr>
            <b/>
            <sz val="9"/>
            <color indexed="8"/>
            <rFont val="Tahoma"/>
            <family val="2"/>
          </rPr>
          <t>YULIED.PENARANDA:</t>
        </r>
        <r>
          <rPr>
            <sz val="9"/>
            <color indexed="8"/>
            <rFont val="Tahoma"/>
            <family val="2"/>
          </rPr>
          <t xml:space="preserve">
Corresponde al pago </t>
        </r>
      </text>
    </comment>
    <comment ref="G39" authorId="0" shapeId="0" xr:uid="{00000000-0006-0000-0400-000011000000}">
      <text>
        <r>
          <rPr>
            <b/>
            <sz val="9"/>
            <color indexed="8"/>
            <rFont val="Tahoma"/>
            <family val="2"/>
          </rPr>
          <t>YULIED.PENARANDA:</t>
        </r>
        <r>
          <rPr>
            <sz val="9"/>
            <color indexed="8"/>
            <rFont val="Tahoma"/>
            <family val="2"/>
          </rPr>
          <t xml:space="preserve">
Extinción de la obligación a cargo de la SDA.</t>
        </r>
      </text>
    </comment>
    <comment ref="A53" authorId="0" shapeId="0" xr:uid="{00000000-0006-0000-0400-000012000000}">
      <text>
        <r>
          <rPr>
            <b/>
            <sz val="9"/>
            <color indexed="8"/>
            <rFont val="Tahoma"/>
            <family val="2"/>
          </rPr>
          <t>YULIED.PENARANDA:</t>
        </r>
        <r>
          <rPr>
            <sz val="9"/>
            <color indexed="8"/>
            <rFont val="Tahoma"/>
            <family val="2"/>
          </rPr>
          <t xml:space="preserve">
Corresponde a la información en firme de cada vigencia fiscal.</t>
        </r>
      </text>
    </comment>
    <comment ref="A54" authorId="0" shapeId="0" xr:uid="{00000000-0006-0000-0400-000013000000}">
      <text>
        <r>
          <rPr>
            <b/>
            <sz val="9"/>
            <color indexed="8"/>
            <rFont val="Tahoma"/>
            <family val="2"/>
          </rPr>
          <t>YULIED.PENARANDA:</t>
        </r>
        <r>
          <rPr>
            <sz val="9"/>
            <color indexed="8"/>
            <rFont val="Tahoma"/>
            <family val="2"/>
          </rPr>
          <t xml:space="preserve">
Vigencia a reportar</t>
        </r>
      </text>
    </comment>
    <comment ref="C54" authorId="0" shapeId="0" xr:uid="{00000000-0006-0000-0400-000014000000}">
      <text>
        <r>
          <rPr>
            <b/>
            <sz val="9"/>
            <color indexed="8"/>
            <rFont val="Tahoma"/>
            <family val="2"/>
          </rPr>
          <t>YULIED.PENARANDA:</t>
        </r>
        <r>
          <rPr>
            <sz val="9"/>
            <color indexed="8"/>
            <rFont val="Tahoma"/>
            <family val="2"/>
          </rPr>
          <t xml:space="preserve">
Apropiación inicial acorde con la herramienta oficial de la SDH</t>
        </r>
      </text>
    </comment>
    <comment ref="D54" authorId="0" shapeId="0" xr:uid="{00000000-0006-0000-0400-000015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54" authorId="0" shapeId="0" xr:uid="{00000000-0006-0000-0400-000016000000}">
      <text>
        <r>
          <rPr>
            <b/>
            <sz val="9"/>
            <color indexed="8"/>
            <rFont val="Tahoma"/>
            <family val="2"/>
          </rPr>
          <t>YULIED.PENARANDA:</t>
        </r>
        <r>
          <rPr>
            <sz val="9"/>
            <color indexed="8"/>
            <rFont val="Tahoma"/>
            <family val="2"/>
          </rPr>
          <t xml:space="preserve">
Valores contenidos en los Registros Presupuestales de Compromisos</t>
        </r>
      </text>
    </comment>
    <comment ref="F54" authorId="0" shapeId="0" xr:uid="{00000000-0006-0000-0400-000017000000}">
      <text>
        <r>
          <rPr>
            <b/>
            <sz val="9"/>
            <color indexed="8"/>
            <rFont val="Tahoma"/>
            <family val="2"/>
          </rPr>
          <t>YULIED.PENARANDA:</t>
        </r>
        <r>
          <rPr>
            <sz val="9"/>
            <color indexed="8"/>
            <rFont val="Tahoma"/>
            <family val="2"/>
          </rPr>
          <t xml:space="preserve">
Corresponde al pago </t>
        </r>
      </text>
    </comment>
    <comment ref="G54" authorId="0" shapeId="0" xr:uid="{00000000-0006-0000-0400-000018000000}">
      <text>
        <r>
          <rPr>
            <b/>
            <sz val="9"/>
            <color indexed="8"/>
            <rFont val="Tahoma"/>
            <family val="2"/>
          </rPr>
          <t>YULIED.PENARANDA:</t>
        </r>
        <r>
          <rPr>
            <sz val="9"/>
            <color indexed="8"/>
            <rFont val="Tahoma"/>
            <family val="2"/>
          </rPr>
          <t xml:space="preserve">
Extinción de la obligación a cargo de la SDA.</t>
        </r>
      </text>
    </comment>
    <comment ref="A68" authorId="0" shapeId="0" xr:uid="{00000000-0006-0000-0400-000019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N69" authorId="0" shapeId="0" xr:uid="{00000000-0006-0000-0400-00001A000000}">
      <text>
        <r>
          <rPr>
            <b/>
            <sz val="9"/>
            <color indexed="8"/>
            <rFont val="Tahoma"/>
            <family val="2"/>
          </rPr>
          <t>YULIED.PENARANDA:</t>
        </r>
        <r>
          <rPr>
            <sz val="9"/>
            <color indexed="8"/>
            <rFont val="Tahoma"/>
            <family val="2"/>
          </rPr>
          <t xml:space="preserve">
Descripción concreta del avance, máximo de caracteres 200</t>
        </r>
      </text>
    </comment>
    <comment ref="A96" authorId="0" shapeId="0" xr:uid="{00000000-0006-0000-0400-00001B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97" authorId="0" shapeId="0" xr:uid="{00000000-0006-0000-0400-00001C000000}">
      <text>
        <r>
          <rPr>
            <b/>
            <sz val="9"/>
            <color indexed="8"/>
            <rFont val="Tahoma"/>
            <family val="2"/>
          </rPr>
          <t>YULIED.PENARANDA:</t>
        </r>
        <r>
          <rPr>
            <sz val="9"/>
            <color indexed="8"/>
            <rFont val="Tahoma"/>
            <family val="2"/>
          </rPr>
          <t xml:space="preserve">
Vigencia a reportar</t>
        </r>
      </text>
    </comment>
    <comment ref="B97" authorId="0" shapeId="0" xr:uid="{00000000-0006-0000-0400-00001D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97" authorId="0" shapeId="0" xr:uid="{00000000-0006-0000-0400-00001E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97" authorId="0" shapeId="0" xr:uid="{00000000-0006-0000-0400-00001F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97" authorId="0" shapeId="0" xr:uid="{00000000-0006-0000-0400-000020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97" authorId="0" shapeId="0" xr:uid="{00000000-0006-0000-0400-000021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97" authorId="0" shapeId="0" xr:uid="{00000000-0006-0000-0400-000022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97" authorId="0" shapeId="0" xr:uid="{00000000-0006-0000-0400-000023000000}">
      <text>
        <r>
          <rPr>
            <b/>
            <sz val="9"/>
            <color indexed="8"/>
            <rFont val="Tahoma"/>
            <family val="2"/>
          </rPr>
          <t>YULIED.PENARANDA:</t>
        </r>
        <r>
          <rPr>
            <sz val="9"/>
            <color indexed="8"/>
            <rFont val="Tahoma"/>
            <family val="2"/>
          </rPr>
          <t xml:space="preserve">
Descripción concreta del avance, máximo de caracteres 200</t>
        </r>
      </text>
    </comment>
    <comment ref="A111" authorId="0" shapeId="0" xr:uid="{00000000-0006-0000-0400-000024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112" authorId="0" shapeId="0" xr:uid="{00000000-0006-0000-0400-000025000000}">
      <text>
        <r>
          <rPr>
            <b/>
            <sz val="9"/>
            <color indexed="8"/>
            <rFont val="Tahoma"/>
            <family val="2"/>
          </rPr>
          <t>YULIED.PENARANDA:</t>
        </r>
        <r>
          <rPr>
            <sz val="9"/>
            <color indexed="8"/>
            <rFont val="Tahoma"/>
            <family val="2"/>
          </rPr>
          <t xml:space="preserve">
Vigencia a reportar</t>
        </r>
      </text>
    </comment>
    <comment ref="B112" authorId="0" shapeId="0" xr:uid="{00000000-0006-0000-0400-000026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12" authorId="0" shapeId="0" xr:uid="{00000000-0006-0000-0400-000027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12" authorId="0" shapeId="0" xr:uid="{00000000-0006-0000-0400-000028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12" authorId="0" shapeId="0" xr:uid="{00000000-0006-0000-0400-000029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12" authorId="0" shapeId="0" xr:uid="{00000000-0006-0000-0400-00002A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12" authorId="0" shapeId="0" xr:uid="{00000000-0006-0000-0400-00002B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12" authorId="0" shapeId="0" xr:uid="{00000000-0006-0000-0400-00002C000000}">
      <text>
        <r>
          <rPr>
            <b/>
            <sz val="9"/>
            <color indexed="8"/>
            <rFont val="Tahoma"/>
            <family val="2"/>
          </rPr>
          <t>YULIED.PENARANDA:</t>
        </r>
        <r>
          <rPr>
            <sz val="9"/>
            <color indexed="8"/>
            <rFont val="Tahoma"/>
            <family val="2"/>
          </rPr>
          <t xml:space="preserve">
Descripción concreta del avance, máximo de caracteres 200</t>
        </r>
      </text>
    </comment>
    <comment ref="A126" authorId="0" shapeId="0" xr:uid="{00000000-0006-0000-0400-00002D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t>
        </r>
        <r>
          <rPr>
            <sz val="9"/>
            <color indexed="8"/>
            <rFont val="Tahoma"/>
            <family val="2"/>
          </rPr>
          <t xml:space="preserve">
NOTA: Desagregar cuadro cuantas veces tenga productos y/o indicadores asociados</t>
        </r>
      </text>
    </comment>
    <comment ref="A127" authorId="0" shapeId="0" xr:uid="{00000000-0006-0000-0400-00002E000000}">
      <text>
        <r>
          <rPr>
            <b/>
            <sz val="9"/>
            <color indexed="8"/>
            <rFont val="Tahoma"/>
            <family val="2"/>
          </rPr>
          <t>YULIED.PENARANDA:</t>
        </r>
        <r>
          <rPr>
            <sz val="9"/>
            <color indexed="8"/>
            <rFont val="Tahoma"/>
            <family val="2"/>
          </rPr>
          <t xml:space="preserve">
Vigencia a reportar</t>
        </r>
      </text>
    </comment>
    <comment ref="B127" authorId="0" shapeId="0" xr:uid="{00000000-0006-0000-0400-00002F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27" authorId="0" shapeId="0" xr:uid="{00000000-0006-0000-0400-000030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27" authorId="0" shapeId="0" xr:uid="{00000000-0006-0000-0400-000031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27" authorId="0" shapeId="0" xr:uid="{00000000-0006-0000-0400-000032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27" authorId="0" shapeId="0" xr:uid="{00000000-0006-0000-0400-000033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27" authorId="0" shapeId="0" xr:uid="{00000000-0006-0000-0400-000034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27" authorId="0" shapeId="0" xr:uid="{00000000-0006-0000-0400-000035000000}">
      <text>
        <r>
          <rPr>
            <b/>
            <sz val="9"/>
            <color indexed="8"/>
            <rFont val="Tahoma"/>
            <family val="2"/>
          </rPr>
          <t>YULIED.PENARANDA:</t>
        </r>
        <r>
          <rPr>
            <sz val="9"/>
            <color indexed="8"/>
            <rFont val="Tahoma"/>
            <family val="2"/>
          </rPr>
          <t xml:space="preserve">
Descripción concreta del avance, máximo de caracteres 200</t>
        </r>
      </text>
    </comment>
    <comment ref="A205" authorId="0" shapeId="0" xr:uid="{00000000-0006-0000-0400-000036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06" authorId="0" shapeId="0" xr:uid="{00000000-0006-0000-0400-000037000000}">
      <text>
        <r>
          <rPr>
            <b/>
            <sz val="9"/>
            <color indexed="8"/>
            <rFont val="Tahoma"/>
            <family val="2"/>
          </rPr>
          <t>YULIED.PENARANDA:</t>
        </r>
        <r>
          <rPr>
            <sz val="9"/>
            <color indexed="8"/>
            <rFont val="Tahoma"/>
            <family val="2"/>
          </rPr>
          <t xml:space="preserve">
Vigencia a reportar</t>
        </r>
      </text>
    </comment>
    <comment ref="B206" authorId="0" shapeId="0" xr:uid="{00000000-0006-0000-0400-00003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06" authorId="0" shapeId="0" xr:uid="{00000000-0006-0000-0400-00003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06" authorId="0" shapeId="0" xr:uid="{00000000-0006-0000-0400-00003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06" authorId="0" shapeId="0" xr:uid="{00000000-0006-0000-0400-00003B000000}">
      <text>
        <r>
          <rPr>
            <b/>
            <sz val="9"/>
            <color indexed="8"/>
            <rFont val="Tahoma"/>
            <family val="2"/>
          </rPr>
          <t>YULIED.PENARANDA:</t>
        </r>
        <r>
          <rPr>
            <sz val="9"/>
            <color indexed="8"/>
            <rFont val="Tahoma"/>
            <family val="2"/>
          </rPr>
          <t xml:space="preserve">
Descripción concreta del avance, máximo de caracteres 200</t>
        </r>
      </text>
    </comment>
    <comment ref="A220" authorId="0" shapeId="0" xr:uid="{00000000-0006-0000-0400-00003C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21" authorId="0" shapeId="0" xr:uid="{00000000-0006-0000-0400-00003D000000}">
      <text>
        <r>
          <rPr>
            <b/>
            <sz val="9"/>
            <color indexed="8"/>
            <rFont val="Tahoma"/>
            <family val="2"/>
          </rPr>
          <t>YULIED.PENARANDA:</t>
        </r>
        <r>
          <rPr>
            <sz val="9"/>
            <color indexed="8"/>
            <rFont val="Tahoma"/>
            <family val="2"/>
          </rPr>
          <t xml:space="preserve">
Vigencia a reportar</t>
        </r>
      </text>
    </comment>
    <comment ref="B221" authorId="0" shapeId="0" xr:uid="{00000000-0006-0000-0400-00003E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21" authorId="0" shapeId="0" xr:uid="{00000000-0006-0000-0400-00003F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21" authorId="0" shapeId="0" xr:uid="{00000000-0006-0000-0400-000040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21" authorId="0" shapeId="0" xr:uid="{00000000-0006-0000-0400-000041000000}">
      <text>
        <r>
          <rPr>
            <b/>
            <sz val="9"/>
            <color indexed="8"/>
            <rFont val="Tahoma"/>
            <family val="2"/>
          </rPr>
          <t>YULIED.PENARANDA:</t>
        </r>
        <r>
          <rPr>
            <sz val="9"/>
            <color indexed="8"/>
            <rFont val="Tahoma"/>
            <family val="2"/>
          </rPr>
          <t xml:space="preserve">
Descripción concreta del avance, máximo de caracteres 200</t>
        </r>
      </text>
    </comment>
    <comment ref="A235" authorId="0" shapeId="0" xr:uid="{00000000-0006-0000-0400-000042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36" authorId="0" shapeId="0" xr:uid="{00000000-0006-0000-0400-000043000000}">
      <text>
        <r>
          <rPr>
            <b/>
            <sz val="9"/>
            <color indexed="8"/>
            <rFont val="Tahoma"/>
            <family val="2"/>
          </rPr>
          <t>YULIED.PENARANDA:</t>
        </r>
        <r>
          <rPr>
            <sz val="9"/>
            <color indexed="8"/>
            <rFont val="Tahoma"/>
            <family val="2"/>
          </rPr>
          <t xml:space="preserve">
Vigencia a reportar</t>
        </r>
      </text>
    </comment>
    <comment ref="B236" authorId="0" shapeId="0" xr:uid="{00000000-0006-0000-0400-000044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36" authorId="0" shapeId="0" xr:uid="{00000000-0006-0000-0400-000045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36" authorId="0" shapeId="0" xr:uid="{00000000-0006-0000-0400-000046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36" authorId="0" shapeId="0" xr:uid="{00000000-0006-0000-0400-000047000000}">
      <text>
        <r>
          <rPr>
            <b/>
            <sz val="9"/>
            <color indexed="8"/>
            <rFont val="Tahoma"/>
            <family val="2"/>
          </rPr>
          <t>YULIED.PENARANDA:</t>
        </r>
        <r>
          <rPr>
            <sz val="9"/>
            <color indexed="8"/>
            <rFont val="Tahoma"/>
            <family val="2"/>
          </rPr>
          <t xml:space="preserve">
Descripción concreta del avance, máximo de caracteres 200</t>
        </r>
      </text>
    </comment>
    <comment ref="A250" authorId="0" shapeId="0" xr:uid="{00000000-0006-0000-0400-000048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51" authorId="0" shapeId="0" xr:uid="{00000000-0006-0000-0400-000049000000}">
      <text>
        <r>
          <rPr>
            <b/>
            <sz val="9"/>
            <color indexed="8"/>
            <rFont val="Tahoma"/>
            <family val="2"/>
          </rPr>
          <t>YULIED.PENARANDA:</t>
        </r>
        <r>
          <rPr>
            <sz val="9"/>
            <color indexed="8"/>
            <rFont val="Tahoma"/>
            <family val="2"/>
          </rPr>
          <t xml:space="preserve">
Vigencia a reportar</t>
        </r>
      </text>
    </comment>
    <comment ref="B251" authorId="0" shapeId="0" xr:uid="{00000000-0006-0000-0400-00004A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51" authorId="0" shapeId="0" xr:uid="{00000000-0006-0000-0400-00004B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51" authorId="0" shapeId="0" xr:uid="{00000000-0006-0000-0400-00004C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51" authorId="0" shapeId="0" xr:uid="{00000000-0006-0000-0400-00004D000000}">
      <text>
        <r>
          <rPr>
            <b/>
            <sz val="9"/>
            <color indexed="8"/>
            <rFont val="Tahoma"/>
            <family val="2"/>
          </rPr>
          <t>YULIED.PENARANDA:</t>
        </r>
        <r>
          <rPr>
            <sz val="9"/>
            <color indexed="8"/>
            <rFont val="Tahoma"/>
            <family val="2"/>
          </rPr>
          <t xml:space="preserve">
Descripción concreta del avance, máximo de caracteres 200</t>
        </r>
      </text>
    </comment>
    <comment ref="A265" authorId="0" shapeId="0" xr:uid="{00000000-0006-0000-0400-00004E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266" authorId="0" shapeId="0" xr:uid="{00000000-0006-0000-0400-00004F000000}">
      <text>
        <r>
          <rPr>
            <b/>
            <sz val="9"/>
            <color indexed="8"/>
            <rFont val="Tahoma"/>
            <family val="2"/>
          </rPr>
          <t>YULIED.PENARANDA:</t>
        </r>
        <r>
          <rPr>
            <sz val="9"/>
            <color indexed="8"/>
            <rFont val="Tahoma"/>
            <family val="2"/>
          </rPr>
          <t xml:space="preserve">
Vigencia a reportar</t>
        </r>
      </text>
    </comment>
    <comment ref="B266" authorId="0" shapeId="0" xr:uid="{00000000-0006-0000-0400-000050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266" authorId="0" shapeId="0" xr:uid="{00000000-0006-0000-0400-000051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266" authorId="0" shapeId="0" xr:uid="{00000000-0006-0000-0400-000052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266" authorId="0" shapeId="0" xr:uid="{00000000-0006-0000-0400-000053000000}">
      <text>
        <r>
          <rPr>
            <b/>
            <sz val="9"/>
            <color indexed="8"/>
            <rFont val="Tahoma"/>
            <family val="2"/>
          </rPr>
          <t>YULIED.PENARANDA:</t>
        </r>
        <r>
          <rPr>
            <sz val="9"/>
            <color indexed="8"/>
            <rFont val="Tahoma"/>
            <family val="2"/>
          </rPr>
          <t xml:space="preserve">
Descripción concreta del avance, máximo de caracteres 200</t>
        </r>
      </text>
    </comment>
    <comment ref="A280" authorId="0" shapeId="0" xr:uid="{00000000-0006-0000-0400-000054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281" authorId="0" shapeId="0" xr:uid="{00000000-0006-0000-0400-000055000000}">
      <text>
        <r>
          <rPr>
            <b/>
            <sz val="9"/>
            <color indexed="8"/>
            <rFont val="Tahoma"/>
            <family val="2"/>
          </rPr>
          <t>YULIED.PENARANDA:</t>
        </r>
        <r>
          <rPr>
            <sz val="9"/>
            <color indexed="8"/>
            <rFont val="Tahoma"/>
            <family val="2"/>
          </rPr>
          <t xml:space="preserve">
Vigencia a reportar</t>
        </r>
      </text>
    </comment>
    <comment ref="B281" authorId="0" shapeId="0" xr:uid="{00000000-0006-0000-0400-000056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281" authorId="0" shapeId="0" xr:uid="{00000000-0006-0000-0400-000057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281" authorId="0" shapeId="0" xr:uid="{00000000-0006-0000-0400-000058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281" authorId="0" shapeId="0" xr:uid="{00000000-0006-0000-0400-000059000000}">
      <text>
        <r>
          <rPr>
            <b/>
            <sz val="9"/>
            <color indexed="8"/>
            <rFont val="Tahoma"/>
            <family val="2"/>
          </rPr>
          <t>YULIED.PENARANDA:</t>
        </r>
        <r>
          <rPr>
            <sz val="9"/>
            <color indexed="8"/>
            <rFont val="Tahoma"/>
            <family val="2"/>
          </rPr>
          <t xml:space="preserve">
Descripción concreta del avance, máximo de caracteres 200</t>
        </r>
      </text>
    </comment>
    <comment ref="A295" authorId="0" shapeId="0" xr:uid="{00000000-0006-0000-0400-00005A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296" authorId="0" shapeId="0" xr:uid="{00000000-0006-0000-0400-00005B000000}">
      <text>
        <r>
          <rPr>
            <b/>
            <sz val="9"/>
            <color indexed="8"/>
            <rFont val="Tahoma"/>
            <family val="2"/>
          </rPr>
          <t>YULIED.PENARANDA:</t>
        </r>
        <r>
          <rPr>
            <sz val="9"/>
            <color indexed="8"/>
            <rFont val="Tahoma"/>
            <family val="2"/>
          </rPr>
          <t xml:space="preserve">
Vigencia a reportar</t>
        </r>
      </text>
    </comment>
    <comment ref="B296" authorId="0" shapeId="0" xr:uid="{00000000-0006-0000-0400-00005C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296" authorId="0" shapeId="0" xr:uid="{00000000-0006-0000-0400-00005D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296" authorId="0" shapeId="0" xr:uid="{00000000-0006-0000-0400-00005E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296" authorId="0" shapeId="0" xr:uid="{00000000-0006-0000-0400-00005F000000}">
      <text>
        <r>
          <rPr>
            <b/>
            <sz val="9"/>
            <color indexed="8"/>
            <rFont val="Tahoma"/>
            <family val="2"/>
          </rPr>
          <t>YULIED.PENARANDA:</t>
        </r>
        <r>
          <rPr>
            <sz val="9"/>
            <color indexed="8"/>
            <rFont val="Tahoma"/>
            <family val="2"/>
          </rPr>
          <t xml:space="preserve">
Descripción concreta del avance, máximo de caracteres 200</t>
        </r>
      </text>
    </comment>
    <comment ref="A310" authorId="0" shapeId="0" xr:uid="{00000000-0006-0000-0400-000060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311" authorId="0" shapeId="0" xr:uid="{00000000-0006-0000-0400-000061000000}">
      <text>
        <r>
          <rPr>
            <b/>
            <sz val="9"/>
            <color indexed="8"/>
            <rFont val="Tahoma"/>
            <family val="2"/>
          </rPr>
          <t>YULIED.PENARANDA:</t>
        </r>
        <r>
          <rPr>
            <sz val="9"/>
            <color indexed="8"/>
            <rFont val="Tahoma"/>
            <family val="2"/>
          </rPr>
          <t xml:space="preserve">
Vigencia a reportar</t>
        </r>
      </text>
    </comment>
    <comment ref="B311" authorId="0" shapeId="0" xr:uid="{00000000-0006-0000-0400-000062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311" authorId="0" shapeId="0" xr:uid="{00000000-0006-0000-0400-000063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311" authorId="0" shapeId="0" xr:uid="{00000000-0006-0000-0400-000064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311" authorId="0" shapeId="0" xr:uid="{00000000-0006-0000-0400-000065000000}">
      <text>
        <r>
          <rPr>
            <b/>
            <sz val="9"/>
            <color indexed="8"/>
            <rFont val="Tahoma"/>
            <family val="2"/>
          </rPr>
          <t>YULIED.PENARANDA:</t>
        </r>
        <r>
          <rPr>
            <sz val="9"/>
            <color indexed="8"/>
            <rFont val="Tahoma"/>
            <family val="2"/>
          </rPr>
          <t xml:space="preserve">
Descripción concreta del avance, máximo de caracteres 200</t>
        </r>
      </text>
    </comment>
    <comment ref="A325" authorId="0" shapeId="0" xr:uid="{00000000-0006-0000-0400-000066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326" authorId="0" shapeId="0" xr:uid="{00000000-0006-0000-0400-000067000000}">
      <text>
        <r>
          <rPr>
            <b/>
            <sz val="9"/>
            <color indexed="8"/>
            <rFont val="Tahoma"/>
            <family val="2"/>
          </rPr>
          <t>YULIED.PENARANDA:</t>
        </r>
        <r>
          <rPr>
            <sz val="9"/>
            <color indexed="8"/>
            <rFont val="Tahoma"/>
            <family val="2"/>
          </rPr>
          <t xml:space="preserve">
Vigencia a reportar</t>
        </r>
      </text>
    </comment>
    <comment ref="B326" authorId="0" shapeId="0" xr:uid="{00000000-0006-0000-0400-000068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326" authorId="0" shapeId="0" xr:uid="{00000000-0006-0000-0400-000069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326" authorId="0" shapeId="0" xr:uid="{00000000-0006-0000-0400-00006A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326" authorId="0" shapeId="0" xr:uid="{00000000-0006-0000-0400-00006B000000}">
      <text>
        <r>
          <rPr>
            <b/>
            <sz val="9"/>
            <color indexed="8"/>
            <rFont val="Tahoma"/>
            <family val="2"/>
          </rPr>
          <t>YULIED.PENARANDA:</t>
        </r>
        <r>
          <rPr>
            <sz val="9"/>
            <color indexed="8"/>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
            <rFont val="Tahoma"/>
            <family val="2"/>
          </rPr>
          <t>YULIED.PENARANDA:</t>
        </r>
        <r>
          <rPr>
            <sz val="9"/>
            <color indexed="8"/>
            <rFont val="Tahoma"/>
            <family val="2"/>
          </rPr>
          <t xml:space="preserve">
Describir el número y nombre completo del proyecto de inversión. </t>
        </r>
      </text>
    </comment>
    <comment ref="A7" authorId="0" shapeId="0" xr:uid="{00000000-0006-0000-0500-000003000000}">
      <text>
        <r>
          <rPr>
            <b/>
            <sz val="9"/>
            <color indexed="8"/>
            <rFont val="Tahoma"/>
            <family val="2"/>
          </rPr>
          <t>YULIED.PENARANDA:</t>
        </r>
        <r>
          <rPr>
            <sz val="9"/>
            <color indexed="8"/>
            <rFont val="Tahoma"/>
            <family val="2"/>
          </rPr>
          <t xml:space="preserve">
Corresponde a la información en firme de cada vigencia fiscal.</t>
        </r>
      </text>
    </comment>
    <comment ref="A8" authorId="0" shapeId="0" xr:uid="{00000000-0006-0000-0500-000004000000}">
      <text>
        <r>
          <rPr>
            <b/>
            <sz val="9"/>
            <color indexed="8"/>
            <rFont val="Tahoma"/>
            <family val="2"/>
          </rPr>
          <t>YULIED.PENARANDA:</t>
        </r>
        <r>
          <rPr>
            <sz val="9"/>
            <color indexed="8"/>
            <rFont val="Tahoma"/>
            <family val="2"/>
          </rPr>
          <t xml:space="preserve">
Vigencia a reportar</t>
        </r>
      </text>
    </comment>
    <comment ref="C8" authorId="0" shapeId="0" xr:uid="{00000000-0006-0000-0500-000005000000}">
      <text>
        <r>
          <rPr>
            <b/>
            <sz val="9"/>
            <color indexed="8"/>
            <rFont val="Tahoma"/>
            <family val="2"/>
          </rPr>
          <t>YULIED.PENARANDA:</t>
        </r>
        <r>
          <rPr>
            <sz val="9"/>
            <color indexed="8"/>
            <rFont val="Tahoma"/>
            <family val="2"/>
          </rPr>
          <t xml:space="preserve">
Apropiación inicial acorde con la herramienta oficial de la SDH</t>
        </r>
      </text>
    </comment>
    <comment ref="D8" authorId="0" shapeId="0" xr:uid="{00000000-0006-0000-0500-000006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8" authorId="0" shapeId="0" xr:uid="{00000000-0006-0000-0500-000007000000}">
      <text>
        <r>
          <rPr>
            <b/>
            <sz val="9"/>
            <color indexed="8"/>
            <rFont val="Tahoma"/>
            <family val="2"/>
          </rPr>
          <t>YULIED.PENARANDA:</t>
        </r>
        <r>
          <rPr>
            <sz val="9"/>
            <color indexed="8"/>
            <rFont val="Tahoma"/>
            <family val="2"/>
          </rPr>
          <t xml:space="preserve">
Valores contenidos en los Registros Presupuestales de Compromisos</t>
        </r>
      </text>
    </comment>
    <comment ref="F8" authorId="0" shapeId="0" xr:uid="{00000000-0006-0000-0500-000008000000}">
      <text>
        <r>
          <rPr>
            <b/>
            <sz val="9"/>
            <color indexed="8"/>
            <rFont val="Tahoma"/>
            <family val="2"/>
          </rPr>
          <t>YULIED.PENARANDA:</t>
        </r>
        <r>
          <rPr>
            <sz val="9"/>
            <color indexed="8"/>
            <rFont val="Tahoma"/>
            <family val="2"/>
          </rPr>
          <t xml:space="preserve">
Corresponde al pago </t>
        </r>
      </text>
    </comment>
    <comment ref="G8" authorId="0" shapeId="0" xr:uid="{00000000-0006-0000-0500-000009000000}">
      <text>
        <r>
          <rPr>
            <b/>
            <sz val="9"/>
            <color indexed="8"/>
            <rFont val="Tahoma"/>
            <family val="2"/>
          </rPr>
          <t>YULIED.PENARANDA:</t>
        </r>
        <r>
          <rPr>
            <sz val="9"/>
            <color indexed="8"/>
            <rFont val="Tahoma"/>
            <family val="2"/>
          </rPr>
          <t xml:space="preserve">
Extinción de la obligación a cargo de la SDA.</t>
        </r>
      </text>
    </comment>
    <comment ref="A40" authorId="0" shapeId="0" xr:uid="{00000000-0006-0000-0500-00000A000000}">
      <text>
        <r>
          <rPr>
            <b/>
            <sz val="9"/>
            <color indexed="8"/>
            <rFont val="Tahoma"/>
            <family val="2"/>
          </rPr>
          <t>YULIED.PENARANDA:</t>
        </r>
        <r>
          <rPr>
            <sz val="9"/>
            <color indexed="8"/>
            <rFont val="Tahoma"/>
            <family val="2"/>
          </rPr>
          <t xml:space="preserve">
Corresponde a la información en firme de cada vigencia fiscal.</t>
        </r>
      </text>
    </comment>
    <comment ref="A41" authorId="0" shapeId="0" xr:uid="{00000000-0006-0000-0500-00000B000000}">
      <text>
        <r>
          <rPr>
            <b/>
            <sz val="9"/>
            <color indexed="8"/>
            <rFont val="Tahoma"/>
            <family val="2"/>
          </rPr>
          <t>YULIED.PENARANDA:</t>
        </r>
        <r>
          <rPr>
            <sz val="9"/>
            <color indexed="8"/>
            <rFont val="Tahoma"/>
            <family val="2"/>
          </rPr>
          <t xml:space="preserve">
Vigencia a reportar</t>
        </r>
      </text>
    </comment>
    <comment ref="C41" authorId="0" shapeId="0" xr:uid="{00000000-0006-0000-0500-00000C000000}">
      <text>
        <r>
          <rPr>
            <b/>
            <sz val="9"/>
            <color indexed="8"/>
            <rFont val="Tahoma"/>
            <family val="2"/>
          </rPr>
          <t>YULIED.PENARANDA:</t>
        </r>
        <r>
          <rPr>
            <sz val="9"/>
            <color indexed="8"/>
            <rFont val="Tahoma"/>
            <family val="2"/>
          </rPr>
          <t xml:space="preserve">
Apropiación inicial acorde con la herramienta oficial de la SDH</t>
        </r>
      </text>
    </comment>
    <comment ref="D41" authorId="0" shapeId="0" xr:uid="{00000000-0006-0000-0500-00000D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41" authorId="0" shapeId="0" xr:uid="{00000000-0006-0000-0500-00000E000000}">
      <text>
        <r>
          <rPr>
            <b/>
            <sz val="9"/>
            <color indexed="8"/>
            <rFont val="Tahoma"/>
            <family val="2"/>
          </rPr>
          <t>YULIED.PENARANDA:</t>
        </r>
        <r>
          <rPr>
            <sz val="9"/>
            <color indexed="8"/>
            <rFont val="Tahoma"/>
            <family val="2"/>
          </rPr>
          <t xml:space="preserve">
Valores contenidos en los Registros Presupuestales de Compromisos</t>
        </r>
      </text>
    </comment>
    <comment ref="F41" authorId="0" shapeId="0" xr:uid="{00000000-0006-0000-0500-00000F000000}">
      <text>
        <r>
          <rPr>
            <b/>
            <sz val="9"/>
            <color indexed="8"/>
            <rFont val="Tahoma"/>
            <family val="2"/>
          </rPr>
          <t>YULIED.PENARANDA:</t>
        </r>
        <r>
          <rPr>
            <sz val="9"/>
            <color indexed="8"/>
            <rFont val="Tahoma"/>
            <family val="2"/>
          </rPr>
          <t xml:space="preserve">
Corresponde al pago </t>
        </r>
      </text>
    </comment>
    <comment ref="G41" authorId="0" shapeId="0" xr:uid="{00000000-0006-0000-0500-000010000000}">
      <text>
        <r>
          <rPr>
            <b/>
            <sz val="9"/>
            <color indexed="8"/>
            <rFont val="Tahoma"/>
            <family val="2"/>
          </rPr>
          <t>YULIED.PENARANDA:</t>
        </r>
        <r>
          <rPr>
            <sz val="9"/>
            <color indexed="8"/>
            <rFont val="Tahoma"/>
            <family val="2"/>
          </rPr>
          <t xml:space="preserve">
Extinción de la obligación a cargo de la SDA.</t>
        </r>
      </text>
    </comment>
    <comment ref="A62" authorId="0" shapeId="0" xr:uid="{00000000-0006-0000-0500-000011000000}">
      <text>
        <r>
          <rPr>
            <b/>
            <sz val="9"/>
            <color indexed="8"/>
            <rFont val="Tahoma"/>
            <family val="2"/>
          </rPr>
          <t>YULIED.PENARANDA:</t>
        </r>
        <r>
          <rPr>
            <sz val="9"/>
            <color indexed="8"/>
            <rFont val="Tahoma"/>
            <family val="2"/>
          </rPr>
          <t xml:space="preserve">
Corresponde a la información en firme de cada vigencia fiscal.</t>
        </r>
      </text>
    </comment>
    <comment ref="A63" authorId="0" shapeId="0" xr:uid="{00000000-0006-0000-0500-000012000000}">
      <text>
        <r>
          <rPr>
            <b/>
            <sz val="9"/>
            <color indexed="8"/>
            <rFont val="Tahoma"/>
            <family val="2"/>
          </rPr>
          <t>YULIED.PENARANDA:</t>
        </r>
        <r>
          <rPr>
            <sz val="9"/>
            <color indexed="8"/>
            <rFont val="Tahoma"/>
            <family val="2"/>
          </rPr>
          <t xml:space="preserve">
Vigencia a reportar</t>
        </r>
      </text>
    </comment>
    <comment ref="C63" authorId="0" shapeId="0" xr:uid="{00000000-0006-0000-0500-000013000000}">
      <text>
        <r>
          <rPr>
            <b/>
            <sz val="9"/>
            <color indexed="8"/>
            <rFont val="Tahoma"/>
            <family val="2"/>
          </rPr>
          <t>YULIED.PENARANDA:</t>
        </r>
        <r>
          <rPr>
            <sz val="9"/>
            <color indexed="8"/>
            <rFont val="Tahoma"/>
            <family val="2"/>
          </rPr>
          <t xml:space="preserve">
Apropiación inicial acorde con la herramienta oficial de la SDH</t>
        </r>
      </text>
    </comment>
    <comment ref="D63" authorId="0" shapeId="0" xr:uid="{00000000-0006-0000-0500-000014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63" authorId="0" shapeId="0" xr:uid="{00000000-0006-0000-0500-000015000000}">
      <text>
        <r>
          <rPr>
            <b/>
            <sz val="9"/>
            <color indexed="8"/>
            <rFont val="Tahoma"/>
            <family val="2"/>
          </rPr>
          <t>YULIED.PENARANDA:</t>
        </r>
        <r>
          <rPr>
            <sz val="9"/>
            <color indexed="8"/>
            <rFont val="Tahoma"/>
            <family val="2"/>
          </rPr>
          <t xml:space="preserve">
Valores contenidos en los Registros Presupuestales de Compromisos</t>
        </r>
      </text>
    </comment>
    <comment ref="F63" authorId="0" shapeId="0" xr:uid="{00000000-0006-0000-0500-000016000000}">
      <text>
        <r>
          <rPr>
            <b/>
            <sz val="9"/>
            <color indexed="8"/>
            <rFont val="Tahoma"/>
            <family val="2"/>
          </rPr>
          <t>YULIED.PENARANDA:</t>
        </r>
        <r>
          <rPr>
            <sz val="9"/>
            <color indexed="8"/>
            <rFont val="Tahoma"/>
            <family val="2"/>
          </rPr>
          <t xml:space="preserve">
Corresponde al pago </t>
        </r>
      </text>
    </comment>
    <comment ref="G63" authorId="0" shapeId="0" xr:uid="{00000000-0006-0000-0500-000017000000}">
      <text>
        <r>
          <rPr>
            <b/>
            <sz val="9"/>
            <color indexed="8"/>
            <rFont val="Tahoma"/>
            <family val="2"/>
          </rPr>
          <t>YULIED.PENARANDA:</t>
        </r>
        <r>
          <rPr>
            <sz val="9"/>
            <color indexed="8"/>
            <rFont val="Tahoma"/>
            <family val="2"/>
          </rPr>
          <t xml:space="preserve">
Extinción de la obligación a cargo de la SDA.</t>
        </r>
      </text>
    </comment>
    <comment ref="A77" authorId="0" shapeId="0" xr:uid="{00000000-0006-0000-0500-000018000000}">
      <text>
        <r>
          <rPr>
            <b/>
            <sz val="9"/>
            <color indexed="8"/>
            <rFont val="Tahoma"/>
            <family val="2"/>
          </rPr>
          <t>YULIED.PENARANDA:</t>
        </r>
        <r>
          <rPr>
            <sz val="9"/>
            <color indexed="8"/>
            <rFont val="Tahoma"/>
            <family val="2"/>
          </rPr>
          <t xml:space="preserve">
Corresponde a la información en firme de cada vigencia fiscal.</t>
        </r>
      </text>
    </comment>
    <comment ref="A78" authorId="0" shapeId="0" xr:uid="{00000000-0006-0000-0500-000019000000}">
      <text>
        <r>
          <rPr>
            <b/>
            <sz val="9"/>
            <color indexed="8"/>
            <rFont val="Tahoma"/>
            <family val="2"/>
          </rPr>
          <t>YULIED.PENARANDA:</t>
        </r>
        <r>
          <rPr>
            <sz val="9"/>
            <color indexed="8"/>
            <rFont val="Tahoma"/>
            <family val="2"/>
          </rPr>
          <t xml:space="preserve">
Vigencia a reportar</t>
        </r>
      </text>
    </comment>
    <comment ref="C78" authorId="0" shapeId="0" xr:uid="{00000000-0006-0000-0500-00001A000000}">
      <text>
        <r>
          <rPr>
            <b/>
            <sz val="9"/>
            <color indexed="8"/>
            <rFont val="Tahoma"/>
            <family val="2"/>
          </rPr>
          <t>YULIED.PENARANDA:</t>
        </r>
        <r>
          <rPr>
            <sz val="9"/>
            <color indexed="8"/>
            <rFont val="Tahoma"/>
            <family val="2"/>
          </rPr>
          <t xml:space="preserve">
Apropiación inicial acorde con la herramienta oficial de la SDH</t>
        </r>
      </text>
    </comment>
    <comment ref="D78" authorId="0" shapeId="0" xr:uid="{00000000-0006-0000-0500-00001B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78" authorId="0" shapeId="0" xr:uid="{00000000-0006-0000-0500-00001C000000}">
      <text>
        <r>
          <rPr>
            <b/>
            <sz val="9"/>
            <color indexed="8"/>
            <rFont val="Tahoma"/>
            <family val="2"/>
          </rPr>
          <t>YULIED.PENARANDA:</t>
        </r>
        <r>
          <rPr>
            <sz val="9"/>
            <color indexed="8"/>
            <rFont val="Tahoma"/>
            <family val="2"/>
          </rPr>
          <t xml:space="preserve">
Valores contenidos en los Registros Presupuestales de Compromisos</t>
        </r>
      </text>
    </comment>
    <comment ref="F78" authorId="0" shapeId="0" xr:uid="{00000000-0006-0000-0500-00001D000000}">
      <text>
        <r>
          <rPr>
            <b/>
            <sz val="9"/>
            <color indexed="8"/>
            <rFont val="Tahoma"/>
            <family val="2"/>
          </rPr>
          <t>YULIED.PENARANDA:</t>
        </r>
        <r>
          <rPr>
            <sz val="9"/>
            <color indexed="8"/>
            <rFont val="Tahoma"/>
            <family val="2"/>
          </rPr>
          <t xml:space="preserve">
Corresponde al pago </t>
        </r>
      </text>
    </comment>
    <comment ref="G78" authorId="0" shapeId="0" xr:uid="{00000000-0006-0000-0500-00001E000000}">
      <text>
        <r>
          <rPr>
            <b/>
            <sz val="9"/>
            <color indexed="8"/>
            <rFont val="Tahoma"/>
            <family val="2"/>
          </rPr>
          <t>YULIED.PENARANDA:</t>
        </r>
        <r>
          <rPr>
            <sz val="9"/>
            <color indexed="8"/>
            <rFont val="Tahoma"/>
            <family val="2"/>
          </rPr>
          <t xml:space="preserve">
Extinción de la obligación a cargo de la SDA.</t>
        </r>
      </text>
    </comment>
    <comment ref="A92" authorId="0" shapeId="0" xr:uid="{00000000-0006-0000-0500-00001F000000}">
      <text>
        <r>
          <rPr>
            <b/>
            <sz val="9"/>
            <color indexed="8"/>
            <rFont val="Tahoma"/>
            <family val="2"/>
          </rPr>
          <t>YULIED.PENARANDA:</t>
        </r>
        <r>
          <rPr>
            <sz val="9"/>
            <color indexed="8"/>
            <rFont val="Tahoma"/>
            <family val="2"/>
          </rPr>
          <t xml:space="preserve">
Corresponde a la información en firme de cada vigencia fiscal.</t>
        </r>
      </text>
    </comment>
    <comment ref="A93" authorId="0" shapeId="0" xr:uid="{00000000-0006-0000-0500-000020000000}">
      <text>
        <r>
          <rPr>
            <b/>
            <sz val="9"/>
            <color indexed="8"/>
            <rFont val="Tahoma"/>
            <family val="2"/>
          </rPr>
          <t>YULIED.PENARANDA:</t>
        </r>
        <r>
          <rPr>
            <sz val="9"/>
            <color indexed="8"/>
            <rFont val="Tahoma"/>
            <family val="2"/>
          </rPr>
          <t xml:space="preserve">
Vigencia a reportar</t>
        </r>
      </text>
    </comment>
    <comment ref="C93" authorId="0" shapeId="0" xr:uid="{00000000-0006-0000-0500-000021000000}">
      <text>
        <r>
          <rPr>
            <b/>
            <sz val="9"/>
            <color indexed="8"/>
            <rFont val="Tahoma"/>
            <family val="2"/>
          </rPr>
          <t>YULIED.PENARANDA:</t>
        </r>
        <r>
          <rPr>
            <sz val="9"/>
            <color indexed="8"/>
            <rFont val="Tahoma"/>
            <family val="2"/>
          </rPr>
          <t xml:space="preserve">
Apropiación inicial acorde con la herramienta oficial de la SDH</t>
        </r>
      </text>
    </comment>
    <comment ref="D93" authorId="0" shapeId="0" xr:uid="{00000000-0006-0000-0500-000022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93" authorId="0" shapeId="0" xr:uid="{00000000-0006-0000-0500-000023000000}">
      <text>
        <r>
          <rPr>
            <b/>
            <sz val="9"/>
            <color indexed="8"/>
            <rFont val="Tahoma"/>
            <family val="2"/>
          </rPr>
          <t>YULIED.PENARANDA:</t>
        </r>
        <r>
          <rPr>
            <sz val="9"/>
            <color indexed="8"/>
            <rFont val="Tahoma"/>
            <family val="2"/>
          </rPr>
          <t xml:space="preserve">
Valores contenidos en los Registros Presupuestales de Compromisos</t>
        </r>
      </text>
    </comment>
    <comment ref="F93" authorId="0" shapeId="0" xr:uid="{00000000-0006-0000-0500-000024000000}">
      <text>
        <r>
          <rPr>
            <b/>
            <sz val="9"/>
            <color indexed="8"/>
            <rFont val="Tahoma"/>
            <family val="2"/>
          </rPr>
          <t>YULIED.PENARANDA:</t>
        </r>
        <r>
          <rPr>
            <sz val="9"/>
            <color indexed="8"/>
            <rFont val="Tahoma"/>
            <family val="2"/>
          </rPr>
          <t xml:space="preserve">
Corresponde al pago </t>
        </r>
      </text>
    </comment>
    <comment ref="G93" authorId="0" shapeId="0" xr:uid="{00000000-0006-0000-0500-000025000000}">
      <text>
        <r>
          <rPr>
            <b/>
            <sz val="9"/>
            <color indexed="8"/>
            <rFont val="Tahoma"/>
            <family val="2"/>
          </rPr>
          <t>YULIED.PENARANDA:</t>
        </r>
        <r>
          <rPr>
            <sz val="9"/>
            <color indexed="8"/>
            <rFont val="Tahoma"/>
            <family val="2"/>
          </rPr>
          <t xml:space="preserve">
Extinción de la obligación a cargo de la SDA.</t>
        </r>
      </text>
    </comment>
    <comment ref="A107" authorId="0" shapeId="0" xr:uid="{00000000-0006-0000-0500-000026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108" authorId="0" shapeId="0" xr:uid="{00000000-0006-0000-0500-000027000000}">
      <text>
        <r>
          <rPr>
            <b/>
            <sz val="9"/>
            <color indexed="8"/>
            <rFont val="Tahoma"/>
            <family val="2"/>
          </rPr>
          <t>YULIED.PENARANDA:</t>
        </r>
        <r>
          <rPr>
            <sz val="9"/>
            <color indexed="8"/>
            <rFont val="Tahoma"/>
            <family val="2"/>
          </rPr>
          <t xml:space="preserve">
Vigencia a reportar</t>
        </r>
      </text>
    </comment>
    <comment ref="B108" authorId="0" shapeId="0" xr:uid="{00000000-0006-0000-0500-00002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08" authorId="0" shapeId="0" xr:uid="{00000000-0006-0000-0500-00002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08" authorId="0" shapeId="0" xr:uid="{00000000-0006-0000-0500-00002B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08" authorId="0" shapeId="0" xr:uid="{00000000-0006-0000-0500-00002E000000}">
      <text>
        <r>
          <rPr>
            <b/>
            <sz val="9"/>
            <color indexed="8"/>
            <rFont val="Tahoma"/>
            <family val="2"/>
          </rPr>
          <t>YULIED.PENARANDA:</t>
        </r>
        <r>
          <rPr>
            <sz val="9"/>
            <color indexed="8"/>
            <rFont val="Tahoma"/>
            <family val="2"/>
          </rPr>
          <t xml:space="preserve">
Descripción concreta del avance, máximo de caracteres 200</t>
        </r>
      </text>
    </comment>
    <comment ref="A117" authorId="0" shapeId="0" xr:uid="{00000000-0006-0000-0500-00002F000000}">
      <text>
        <r>
          <rPr>
            <b/>
            <sz val="9"/>
            <color indexed="8"/>
            <rFont val="Tahoma"/>
            <family val="2"/>
          </rPr>
          <t>YULIED.PENARANDA:</t>
        </r>
        <r>
          <rPr>
            <sz val="9"/>
            <color indexed="8"/>
            <rFont val="Tahoma"/>
            <family val="2"/>
          </rPr>
          <t xml:space="preserve">
Vigencia a reportar</t>
        </r>
      </text>
    </comment>
    <comment ref="B117" authorId="0" shapeId="0" xr:uid="{00000000-0006-0000-0500-000030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17" authorId="0" shapeId="0" xr:uid="{00000000-0006-0000-0500-000031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17" authorId="0" shapeId="0" xr:uid="{00000000-0006-0000-0500-000033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17" authorId="0" shapeId="0" xr:uid="{00000000-0006-0000-0500-000036000000}">
      <text>
        <r>
          <rPr>
            <b/>
            <sz val="9"/>
            <color indexed="8"/>
            <rFont val="Tahoma"/>
            <family val="2"/>
          </rPr>
          <t>YULIED.PENARANDA:</t>
        </r>
        <r>
          <rPr>
            <sz val="9"/>
            <color indexed="8"/>
            <rFont val="Tahoma"/>
            <family val="2"/>
          </rPr>
          <t xml:space="preserve">
Descripción concreta del avance, máximo de caracteres 200</t>
        </r>
      </text>
    </comment>
    <comment ref="A126" authorId="0" shapeId="0" xr:uid="{00000000-0006-0000-0500-000037000000}">
      <text>
        <r>
          <rPr>
            <b/>
            <sz val="9"/>
            <color indexed="8"/>
            <rFont val="Tahoma"/>
            <family val="2"/>
          </rPr>
          <t>YULIED.PENARANDA:</t>
        </r>
        <r>
          <rPr>
            <sz val="9"/>
            <color indexed="8"/>
            <rFont val="Tahoma"/>
            <family val="2"/>
          </rPr>
          <t xml:space="preserve">
Vigencia a reportar</t>
        </r>
      </text>
    </comment>
    <comment ref="B126" authorId="0" shapeId="0" xr:uid="{00000000-0006-0000-0500-00003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26" authorId="0" shapeId="0" xr:uid="{00000000-0006-0000-0500-00003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26" authorId="0" shapeId="0" xr:uid="{00000000-0006-0000-0500-00003B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26" authorId="0" shapeId="0" xr:uid="{00000000-0006-0000-0500-00003E000000}">
      <text>
        <r>
          <rPr>
            <b/>
            <sz val="9"/>
            <color indexed="8"/>
            <rFont val="Tahoma"/>
            <family val="2"/>
          </rPr>
          <t>YULIED.PENARANDA:</t>
        </r>
        <r>
          <rPr>
            <sz val="9"/>
            <color indexed="8"/>
            <rFont val="Tahoma"/>
            <family val="2"/>
          </rPr>
          <t xml:space="preserve">
Descripción concreta del avance, máximo de caracteres 200</t>
        </r>
      </text>
    </comment>
    <comment ref="A135" authorId="0" shapeId="0" xr:uid="{00000000-0006-0000-0500-00003F000000}">
      <text>
        <r>
          <rPr>
            <b/>
            <sz val="9"/>
            <color indexed="8"/>
            <rFont val="Tahoma"/>
            <family val="2"/>
          </rPr>
          <t>YULIED.PENARANDA:</t>
        </r>
        <r>
          <rPr>
            <sz val="9"/>
            <color indexed="8"/>
            <rFont val="Tahoma"/>
            <family val="2"/>
          </rPr>
          <t xml:space="preserve">
Vigencia a reportar</t>
        </r>
      </text>
    </comment>
    <comment ref="B135" authorId="0" shapeId="0" xr:uid="{00000000-0006-0000-0500-000040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35" authorId="0" shapeId="0" xr:uid="{00000000-0006-0000-0500-000041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35" authorId="0" shapeId="0" xr:uid="{00000000-0006-0000-0500-000043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35" authorId="0" shapeId="0" xr:uid="{00000000-0006-0000-0500-000046000000}">
      <text>
        <r>
          <rPr>
            <b/>
            <sz val="9"/>
            <color indexed="8"/>
            <rFont val="Tahoma"/>
            <family val="2"/>
          </rPr>
          <t>YULIED.PENARANDA:</t>
        </r>
        <r>
          <rPr>
            <sz val="9"/>
            <color indexed="8"/>
            <rFont val="Tahoma"/>
            <family val="2"/>
          </rPr>
          <t xml:space="preserve">
Descripción concreta del avance, máximo de caracteres 200</t>
        </r>
      </text>
    </comment>
    <comment ref="A144" authorId="0" shapeId="0" xr:uid="{00000000-0006-0000-0500-000047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145" authorId="0" shapeId="0" xr:uid="{00000000-0006-0000-0500-000048000000}">
      <text>
        <r>
          <rPr>
            <b/>
            <sz val="9"/>
            <color indexed="8"/>
            <rFont val="Tahoma"/>
            <family val="2"/>
          </rPr>
          <t>YULIED.PENARANDA:</t>
        </r>
        <r>
          <rPr>
            <sz val="9"/>
            <color indexed="8"/>
            <rFont val="Tahoma"/>
            <family val="2"/>
          </rPr>
          <t xml:space="preserve">
Vigencia a reportar</t>
        </r>
      </text>
    </comment>
    <comment ref="B145" authorId="0" shapeId="0" xr:uid="{00000000-0006-0000-0500-000049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45" authorId="0" shapeId="0" xr:uid="{00000000-0006-0000-0500-00004A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45" authorId="0" shapeId="0" xr:uid="{00000000-0006-0000-0500-00004C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45" authorId="0" shapeId="0" xr:uid="{00000000-0006-0000-0500-00004F000000}">
      <text>
        <r>
          <rPr>
            <b/>
            <sz val="9"/>
            <color indexed="8"/>
            <rFont val="Tahoma"/>
            <family val="2"/>
          </rPr>
          <t>YULIED.PENARANDA:</t>
        </r>
        <r>
          <rPr>
            <sz val="9"/>
            <color indexed="8"/>
            <rFont val="Tahoma"/>
            <family val="2"/>
          </rPr>
          <t xml:space="preserve">
Descripción concreta del avance, máximo de caracteres 200</t>
        </r>
      </text>
    </comment>
    <comment ref="A160" authorId="0" shapeId="0" xr:uid="{00000000-0006-0000-0500-000050000000}">
      <text>
        <r>
          <rPr>
            <b/>
            <sz val="9"/>
            <color indexed="8"/>
            <rFont val="Tahoma"/>
            <family val="2"/>
          </rPr>
          <t>YULIED.PENARANDA:</t>
        </r>
        <r>
          <rPr>
            <sz val="9"/>
            <color indexed="8"/>
            <rFont val="Tahoma"/>
            <family val="2"/>
          </rPr>
          <t xml:space="preserve">
Vigencia a reportar</t>
        </r>
      </text>
    </comment>
    <comment ref="B160" authorId="0" shapeId="0" xr:uid="{00000000-0006-0000-0500-000051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60" authorId="0" shapeId="0" xr:uid="{00000000-0006-0000-0500-000052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60" authorId="0" shapeId="0" xr:uid="{00000000-0006-0000-0500-000054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60" authorId="0" shapeId="0" xr:uid="{00000000-0006-0000-0500-000057000000}">
      <text>
        <r>
          <rPr>
            <b/>
            <sz val="9"/>
            <color indexed="8"/>
            <rFont val="Tahoma"/>
            <family val="2"/>
          </rPr>
          <t>YULIED.PENARANDA:</t>
        </r>
        <r>
          <rPr>
            <sz val="9"/>
            <color indexed="8"/>
            <rFont val="Tahoma"/>
            <family val="2"/>
          </rPr>
          <t xml:space="preserve">
Descripción concreta del avance, máximo de caracteres 200</t>
        </r>
      </text>
    </comment>
    <comment ref="A175" authorId="0" shapeId="0" xr:uid="{00000000-0006-0000-0500-000058000000}">
      <text>
        <r>
          <rPr>
            <b/>
            <sz val="9"/>
            <color indexed="8"/>
            <rFont val="Tahoma"/>
            <family val="2"/>
          </rPr>
          <t>YULIED.PENARANDA:</t>
        </r>
        <r>
          <rPr>
            <sz val="9"/>
            <color indexed="8"/>
            <rFont val="Tahoma"/>
            <family val="2"/>
          </rPr>
          <t xml:space="preserve">
Vigencia a reportar</t>
        </r>
      </text>
    </comment>
    <comment ref="B175" authorId="0" shapeId="0" xr:uid="{00000000-0006-0000-0500-000059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75" authorId="0" shapeId="0" xr:uid="{00000000-0006-0000-0500-00005A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75" authorId="0" shapeId="0" xr:uid="{00000000-0006-0000-0500-00005C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75" authorId="0" shapeId="0" xr:uid="{00000000-0006-0000-0500-00005F000000}">
      <text>
        <r>
          <rPr>
            <b/>
            <sz val="9"/>
            <color indexed="8"/>
            <rFont val="Tahoma"/>
            <family val="2"/>
          </rPr>
          <t>YULIED.PENARANDA:</t>
        </r>
        <r>
          <rPr>
            <sz val="9"/>
            <color indexed="8"/>
            <rFont val="Tahoma"/>
            <family val="2"/>
          </rPr>
          <t xml:space="preserve">
Descripción concreta del avance, máximo de caracteres 200</t>
        </r>
      </text>
    </comment>
    <comment ref="A190" authorId="0" shapeId="0" xr:uid="{00000000-0006-0000-0500-000060000000}">
      <text>
        <r>
          <rPr>
            <b/>
            <sz val="9"/>
            <color indexed="8"/>
            <rFont val="Tahoma"/>
            <family val="2"/>
          </rPr>
          <t>YULIED.PENARANDA:</t>
        </r>
        <r>
          <rPr>
            <sz val="9"/>
            <color indexed="8"/>
            <rFont val="Tahoma"/>
            <family val="2"/>
          </rPr>
          <t xml:space="preserve">
Vigencia a reportar</t>
        </r>
      </text>
    </comment>
    <comment ref="B190" authorId="0" shapeId="0" xr:uid="{00000000-0006-0000-0500-000061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90" authorId="0" shapeId="0" xr:uid="{00000000-0006-0000-0500-000062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90" authorId="0" shapeId="0" xr:uid="{00000000-0006-0000-0500-000064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90" authorId="0" shapeId="0" xr:uid="{00000000-0006-0000-0500-000067000000}">
      <text>
        <r>
          <rPr>
            <b/>
            <sz val="9"/>
            <color indexed="8"/>
            <rFont val="Tahoma"/>
            <family val="2"/>
          </rPr>
          <t>YULIED.PENARANDA:</t>
        </r>
        <r>
          <rPr>
            <sz val="9"/>
            <color indexed="8"/>
            <rFont val="Tahoma"/>
            <family val="2"/>
          </rPr>
          <t xml:space="preserve">
Descripción concreta del avance, máximo de caracteres 200</t>
        </r>
      </text>
    </comment>
    <comment ref="A208" authorId="0" shapeId="0" xr:uid="{00000000-0006-0000-0500-000068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209" authorId="0" shapeId="0" xr:uid="{00000000-0006-0000-0500-000069000000}">
      <text>
        <r>
          <rPr>
            <b/>
            <sz val="9"/>
            <color indexed="8"/>
            <rFont val="Tahoma"/>
            <family val="2"/>
          </rPr>
          <t>YULIED.PENARANDA:</t>
        </r>
        <r>
          <rPr>
            <sz val="9"/>
            <color indexed="8"/>
            <rFont val="Tahoma"/>
            <family val="2"/>
          </rPr>
          <t xml:space="preserve">
Vigencia a reportar</t>
        </r>
      </text>
    </comment>
    <comment ref="B209" authorId="0" shapeId="0" xr:uid="{00000000-0006-0000-0500-00006A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09" authorId="0" shapeId="0" xr:uid="{00000000-0006-0000-0500-00006B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209" authorId="0" shapeId="0" xr:uid="{00000000-0006-0000-0500-00006D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209" authorId="0" shapeId="0" xr:uid="{00000000-0006-0000-0500-000070000000}">
      <text>
        <r>
          <rPr>
            <b/>
            <sz val="9"/>
            <color indexed="8"/>
            <rFont val="Tahoma"/>
            <family val="2"/>
          </rPr>
          <t>YULIED.PENARANDA:</t>
        </r>
        <r>
          <rPr>
            <sz val="9"/>
            <color indexed="8"/>
            <rFont val="Tahoma"/>
            <family val="2"/>
          </rPr>
          <t xml:space="preserve">
Descripción concreta del avance, máximo de caracteres 200</t>
        </r>
      </text>
    </comment>
    <comment ref="A223" authorId="0" shapeId="0" xr:uid="{00000000-0006-0000-0500-000071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224" authorId="0" shapeId="0" xr:uid="{00000000-0006-0000-0500-000072000000}">
      <text>
        <r>
          <rPr>
            <b/>
            <sz val="9"/>
            <color indexed="8"/>
            <rFont val="Tahoma"/>
            <family val="2"/>
          </rPr>
          <t>YULIED.PENARANDA:</t>
        </r>
        <r>
          <rPr>
            <sz val="9"/>
            <color indexed="8"/>
            <rFont val="Tahoma"/>
            <family val="2"/>
          </rPr>
          <t xml:space="preserve">
Vigencia a reportar</t>
        </r>
      </text>
    </comment>
    <comment ref="B224" authorId="0" shapeId="0" xr:uid="{00000000-0006-0000-0500-000073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24" authorId="0" shapeId="0" xr:uid="{00000000-0006-0000-0500-000074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224" authorId="0" shapeId="0" xr:uid="{00000000-0006-0000-0500-000076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224" authorId="0" shapeId="0" xr:uid="{00000000-0006-0000-0500-000079000000}">
      <text>
        <r>
          <rPr>
            <b/>
            <sz val="9"/>
            <color indexed="8"/>
            <rFont val="Tahoma"/>
            <family val="2"/>
          </rPr>
          <t>YULIED.PENARANDA:</t>
        </r>
        <r>
          <rPr>
            <sz val="9"/>
            <color indexed="8"/>
            <rFont val="Tahoma"/>
            <family val="2"/>
          </rPr>
          <t xml:space="preserve">
Descripción concreta del avance, máximo de caracteres 200</t>
        </r>
      </text>
    </comment>
    <comment ref="A238" authorId="0" shapeId="0" xr:uid="{00000000-0006-0000-0500-00007A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239" authorId="0" shapeId="0" xr:uid="{00000000-0006-0000-0500-00007B000000}">
      <text>
        <r>
          <rPr>
            <b/>
            <sz val="9"/>
            <color indexed="8"/>
            <rFont val="Tahoma"/>
            <family val="2"/>
          </rPr>
          <t>YULIED.PENARANDA:</t>
        </r>
        <r>
          <rPr>
            <sz val="9"/>
            <color indexed="8"/>
            <rFont val="Tahoma"/>
            <family val="2"/>
          </rPr>
          <t xml:space="preserve">
Vigencia a reportar</t>
        </r>
      </text>
    </comment>
    <comment ref="B239" authorId="0" shapeId="0" xr:uid="{00000000-0006-0000-0500-00007C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39" authorId="0" shapeId="0" xr:uid="{00000000-0006-0000-0500-00007D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239" authorId="0" shapeId="0" xr:uid="{00000000-0006-0000-0500-00007F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239" authorId="0" shapeId="0" xr:uid="{00000000-0006-0000-0500-000082000000}">
      <text>
        <r>
          <rPr>
            <b/>
            <sz val="9"/>
            <color indexed="8"/>
            <rFont val="Tahoma"/>
            <family val="2"/>
          </rPr>
          <t>YULIED.PENARANDA:</t>
        </r>
        <r>
          <rPr>
            <sz val="9"/>
            <color indexed="8"/>
            <rFont val="Tahoma"/>
            <family val="2"/>
          </rPr>
          <t xml:space="preserve">
Descripción concreta del avance, máximo de caracteres 200</t>
        </r>
      </text>
    </comment>
    <comment ref="A253" authorId="0" shapeId="0" xr:uid="{00000000-0006-0000-0500-000083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t>
        </r>
        <r>
          <rPr>
            <sz val="9"/>
            <color indexed="8"/>
            <rFont val="Tahoma"/>
            <family val="2"/>
          </rPr>
          <t xml:space="preserve">
NOTA: Desagregar cuadro cuantas veces tenga productos y/o indicadores asociados</t>
        </r>
      </text>
    </comment>
    <comment ref="A254" authorId="0" shapeId="0" xr:uid="{00000000-0006-0000-0500-000084000000}">
      <text>
        <r>
          <rPr>
            <b/>
            <sz val="9"/>
            <color indexed="8"/>
            <rFont val="Tahoma"/>
            <family val="2"/>
          </rPr>
          <t>YULIED.PENARANDA:</t>
        </r>
        <r>
          <rPr>
            <sz val="9"/>
            <color indexed="8"/>
            <rFont val="Tahoma"/>
            <family val="2"/>
          </rPr>
          <t xml:space="preserve">
Vigencia a reportar</t>
        </r>
      </text>
    </comment>
    <comment ref="B254" authorId="0" shapeId="0" xr:uid="{00000000-0006-0000-0500-000085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54" authorId="0" shapeId="0" xr:uid="{00000000-0006-0000-0500-000086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254" authorId="0" shapeId="0" xr:uid="{00000000-0006-0000-0500-000088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254" authorId="0" shapeId="0" xr:uid="{00000000-0006-0000-0500-00008B000000}">
      <text>
        <r>
          <rPr>
            <b/>
            <sz val="9"/>
            <color indexed="8"/>
            <rFont val="Tahoma"/>
            <family val="2"/>
          </rPr>
          <t>YULIED.PENARANDA:</t>
        </r>
        <r>
          <rPr>
            <sz val="9"/>
            <color indexed="8"/>
            <rFont val="Tahoma"/>
            <family val="2"/>
          </rPr>
          <t xml:space="preserve">
Descripción concreta del avance, máximo de caracteres 200</t>
        </r>
      </text>
    </comment>
    <comment ref="A269" authorId="0" shapeId="0" xr:uid="{00000000-0006-0000-0500-00008C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70" authorId="0" shapeId="0" xr:uid="{00000000-0006-0000-0500-00008D000000}">
      <text>
        <r>
          <rPr>
            <b/>
            <sz val="9"/>
            <color indexed="8"/>
            <rFont val="Tahoma"/>
            <family val="2"/>
          </rPr>
          <t>YULIED.PENARANDA:</t>
        </r>
        <r>
          <rPr>
            <sz val="9"/>
            <color indexed="8"/>
            <rFont val="Tahoma"/>
            <family val="2"/>
          </rPr>
          <t xml:space="preserve">
Vigencia a reportar</t>
        </r>
      </text>
    </comment>
    <comment ref="B270" authorId="0" shapeId="0" xr:uid="{00000000-0006-0000-0500-00008E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70" authorId="0" shapeId="0" xr:uid="{00000000-0006-0000-0500-00008F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70" authorId="0" shapeId="0" xr:uid="{00000000-0006-0000-0500-000091000000}">
      <text>
        <r>
          <rPr>
            <b/>
            <sz val="9"/>
            <color indexed="8"/>
            <rFont val="Tahoma"/>
            <family val="2"/>
          </rPr>
          <t>YULIED.PENARANDA:</t>
        </r>
        <r>
          <rPr>
            <sz val="9"/>
            <color indexed="8"/>
            <rFont val="Tahoma"/>
            <family val="2"/>
          </rPr>
          <t xml:space="preserve">
Descripción concreta del avance, máximo de caracteres 200</t>
        </r>
      </text>
    </comment>
    <comment ref="A279" authorId="0" shapeId="0" xr:uid="{00000000-0006-0000-0500-000092000000}">
      <text>
        <r>
          <rPr>
            <b/>
            <sz val="9"/>
            <color indexed="8"/>
            <rFont val="Tahoma"/>
            <family val="2"/>
          </rPr>
          <t>YULIED.PENARANDA:</t>
        </r>
        <r>
          <rPr>
            <sz val="9"/>
            <color indexed="8"/>
            <rFont val="Tahoma"/>
            <family val="2"/>
          </rPr>
          <t xml:space="preserve">
Vigencia a reportar</t>
        </r>
      </text>
    </comment>
    <comment ref="B279" authorId="0" shapeId="0" xr:uid="{00000000-0006-0000-0500-000093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79" authorId="0" shapeId="0" xr:uid="{00000000-0006-0000-0500-000094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79" authorId="0" shapeId="0" xr:uid="{00000000-0006-0000-0500-000096000000}">
      <text>
        <r>
          <rPr>
            <b/>
            <sz val="9"/>
            <color indexed="8"/>
            <rFont val="Tahoma"/>
            <family val="2"/>
          </rPr>
          <t>YULIED.PENARANDA:</t>
        </r>
        <r>
          <rPr>
            <sz val="9"/>
            <color indexed="8"/>
            <rFont val="Tahoma"/>
            <family val="2"/>
          </rPr>
          <t xml:space="preserve">
Descripción concreta del avance, máximo de caracteres 200</t>
        </r>
      </text>
    </comment>
    <comment ref="A288" authorId="0" shapeId="0" xr:uid="{00000000-0006-0000-0500-000097000000}">
      <text>
        <r>
          <rPr>
            <b/>
            <sz val="9"/>
            <color indexed="8"/>
            <rFont val="Tahoma"/>
            <family val="2"/>
          </rPr>
          <t>YULIED.PENARANDA:</t>
        </r>
        <r>
          <rPr>
            <sz val="9"/>
            <color indexed="8"/>
            <rFont val="Tahoma"/>
            <family val="2"/>
          </rPr>
          <t xml:space="preserve">
Vigencia a reportar</t>
        </r>
      </text>
    </comment>
    <comment ref="B288" authorId="0" shapeId="0" xr:uid="{00000000-0006-0000-0500-00009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88" authorId="0" shapeId="0" xr:uid="{00000000-0006-0000-0500-00009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88" authorId="0" shapeId="0" xr:uid="{00000000-0006-0000-0500-00009B000000}">
      <text>
        <r>
          <rPr>
            <b/>
            <sz val="9"/>
            <color indexed="8"/>
            <rFont val="Tahoma"/>
            <family val="2"/>
          </rPr>
          <t>YULIED.PENARANDA:</t>
        </r>
        <r>
          <rPr>
            <sz val="9"/>
            <color indexed="8"/>
            <rFont val="Tahoma"/>
            <family val="2"/>
          </rPr>
          <t xml:space="preserve">
Descripción concreta del avance, máximo de caracteres 200</t>
        </r>
      </text>
    </comment>
    <comment ref="A297" authorId="0" shapeId="0" xr:uid="{00000000-0006-0000-0500-00009C000000}">
      <text>
        <r>
          <rPr>
            <b/>
            <sz val="9"/>
            <color indexed="8"/>
            <rFont val="Tahoma"/>
            <family val="2"/>
          </rPr>
          <t>YULIED.PENARANDA:</t>
        </r>
        <r>
          <rPr>
            <sz val="9"/>
            <color indexed="8"/>
            <rFont val="Tahoma"/>
            <family val="2"/>
          </rPr>
          <t xml:space="preserve">
Vigencia a reportar</t>
        </r>
      </text>
    </comment>
    <comment ref="B297" authorId="0" shapeId="0" xr:uid="{00000000-0006-0000-0500-00009D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97" authorId="0" shapeId="0" xr:uid="{00000000-0006-0000-0500-00009E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97" authorId="0" shapeId="0" xr:uid="{00000000-0006-0000-0500-0000A0000000}">
      <text>
        <r>
          <rPr>
            <b/>
            <sz val="9"/>
            <color indexed="8"/>
            <rFont val="Tahoma"/>
            <family val="2"/>
          </rPr>
          <t>YULIED.PENARANDA:</t>
        </r>
        <r>
          <rPr>
            <sz val="9"/>
            <color indexed="8"/>
            <rFont val="Tahoma"/>
            <family val="2"/>
          </rPr>
          <t xml:space="preserve">
Descripción concreta del avance, máximo de caracteres 200</t>
        </r>
      </text>
    </comment>
    <comment ref="A307" authorId="0" shapeId="0" xr:uid="{00000000-0006-0000-0500-0000A1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308" authorId="0" shapeId="0" xr:uid="{00000000-0006-0000-0500-0000A2000000}">
      <text>
        <r>
          <rPr>
            <b/>
            <sz val="9"/>
            <color indexed="8"/>
            <rFont val="Tahoma"/>
            <family val="2"/>
          </rPr>
          <t>YULIED.PENARANDA:</t>
        </r>
        <r>
          <rPr>
            <sz val="9"/>
            <color indexed="8"/>
            <rFont val="Tahoma"/>
            <family val="2"/>
          </rPr>
          <t xml:space="preserve">
Vigencia a reportar</t>
        </r>
      </text>
    </comment>
    <comment ref="B308" authorId="0" shapeId="0" xr:uid="{00000000-0006-0000-0500-0000A3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08" authorId="0" shapeId="0" xr:uid="{00000000-0006-0000-0500-0000A4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08" authorId="0" shapeId="0" xr:uid="{00000000-0006-0000-0500-0000A6000000}">
      <text>
        <r>
          <rPr>
            <b/>
            <sz val="9"/>
            <color indexed="8"/>
            <rFont val="Tahoma"/>
            <family val="2"/>
          </rPr>
          <t>YULIED.PENARANDA:</t>
        </r>
        <r>
          <rPr>
            <sz val="9"/>
            <color indexed="8"/>
            <rFont val="Tahoma"/>
            <family val="2"/>
          </rPr>
          <t xml:space="preserve">
Descripción concreta del avance, máximo de caracteres 200</t>
        </r>
      </text>
    </comment>
    <comment ref="A323" authorId="0" shapeId="0" xr:uid="{00000000-0006-0000-0500-0000A7000000}">
      <text>
        <r>
          <rPr>
            <b/>
            <sz val="9"/>
            <color indexed="8"/>
            <rFont val="Tahoma"/>
            <family val="2"/>
          </rPr>
          <t>YULIED.PENARANDA:</t>
        </r>
        <r>
          <rPr>
            <sz val="9"/>
            <color indexed="8"/>
            <rFont val="Tahoma"/>
            <family val="2"/>
          </rPr>
          <t xml:space="preserve">
Vigencia a reportar</t>
        </r>
      </text>
    </comment>
    <comment ref="B323" authorId="0" shapeId="0" xr:uid="{00000000-0006-0000-0500-0000A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23" authorId="0" shapeId="0" xr:uid="{00000000-0006-0000-0500-0000A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23" authorId="0" shapeId="0" xr:uid="{00000000-0006-0000-0500-0000AB000000}">
      <text>
        <r>
          <rPr>
            <b/>
            <sz val="9"/>
            <color indexed="8"/>
            <rFont val="Tahoma"/>
            <family val="2"/>
          </rPr>
          <t>YULIED.PENARANDA:</t>
        </r>
        <r>
          <rPr>
            <sz val="9"/>
            <color indexed="8"/>
            <rFont val="Tahoma"/>
            <family val="2"/>
          </rPr>
          <t xml:space="preserve">
Descripción concreta del avance, máximo de caracteres 200</t>
        </r>
      </text>
    </comment>
    <comment ref="A338" authorId="0" shapeId="0" xr:uid="{00000000-0006-0000-0500-0000AC000000}">
      <text>
        <r>
          <rPr>
            <b/>
            <sz val="9"/>
            <color indexed="8"/>
            <rFont val="Tahoma"/>
            <family val="2"/>
          </rPr>
          <t>YULIED.PENARANDA:</t>
        </r>
        <r>
          <rPr>
            <sz val="9"/>
            <color indexed="8"/>
            <rFont val="Tahoma"/>
            <family val="2"/>
          </rPr>
          <t xml:space="preserve">
Vigencia a reportar</t>
        </r>
      </text>
    </comment>
    <comment ref="B338" authorId="0" shapeId="0" xr:uid="{00000000-0006-0000-0500-0000AD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38" authorId="0" shapeId="0" xr:uid="{00000000-0006-0000-0500-0000AE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38" authorId="0" shapeId="0" xr:uid="{00000000-0006-0000-0500-0000B0000000}">
      <text>
        <r>
          <rPr>
            <b/>
            <sz val="9"/>
            <color indexed="8"/>
            <rFont val="Tahoma"/>
            <family val="2"/>
          </rPr>
          <t>YULIED.PENARANDA:</t>
        </r>
        <r>
          <rPr>
            <sz val="9"/>
            <color indexed="8"/>
            <rFont val="Tahoma"/>
            <family val="2"/>
          </rPr>
          <t xml:space="preserve">
Descripción concreta del avance, máximo de caracteres 200</t>
        </r>
      </text>
    </comment>
    <comment ref="A353" authorId="0" shapeId="0" xr:uid="{00000000-0006-0000-0500-0000B1000000}">
      <text>
        <r>
          <rPr>
            <b/>
            <sz val="9"/>
            <color indexed="8"/>
            <rFont val="Tahoma"/>
            <family val="2"/>
          </rPr>
          <t>YULIED.PENARANDA:</t>
        </r>
        <r>
          <rPr>
            <sz val="9"/>
            <color indexed="8"/>
            <rFont val="Tahoma"/>
            <family val="2"/>
          </rPr>
          <t xml:space="preserve">
Vigencia a reportar</t>
        </r>
      </text>
    </comment>
    <comment ref="B353" authorId="0" shapeId="0" xr:uid="{00000000-0006-0000-0500-0000B2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53" authorId="0" shapeId="0" xr:uid="{00000000-0006-0000-0500-0000B3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53" authorId="0" shapeId="0" xr:uid="{00000000-0006-0000-0500-0000B5000000}">
      <text>
        <r>
          <rPr>
            <b/>
            <sz val="9"/>
            <color indexed="8"/>
            <rFont val="Tahoma"/>
            <family val="2"/>
          </rPr>
          <t>YULIED.PENARANDA:</t>
        </r>
        <r>
          <rPr>
            <sz val="9"/>
            <color indexed="8"/>
            <rFont val="Tahoma"/>
            <family val="2"/>
          </rPr>
          <t xml:space="preserve">
Descripción concreta del avance, máximo de caracteres 200</t>
        </r>
      </text>
    </comment>
    <comment ref="A377" authorId="0" shapeId="0" xr:uid="{00000000-0006-0000-0500-0000B6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378" authorId="0" shapeId="0" xr:uid="{00000000-0006-0000-0500-0000B7000000}">
      <text>
        <r>
          <rPr>
            <b/>
            <sz val="9"/>
            <color indexed="8"/>
            <rFont val="Tahoma"/>
            <family val="2"/>
          </rPr>
          <t>YULIED.PENARANDA:</t>
        </r>
        <r>
          <rPr>
            <sz val="9"/>
            <color indexed="8"/>
            <rFont val="Tahoma"/>
            <family val="2"/>
          </rPr>
          <t xml:space="preserve">
Vigencia a reportar</t>
        </r>
      </text>
    </comment>
    <comment ref="B378" authorId="0" shapeId="0" xr:uid="{00000000-0006-0000-0500-0000B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78" authorId="0" shapeId="0" xr:uid="{00000000-0006-0000-0500-0000B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78" authorId="0" shapeId="0" xr:uid="{00000000-0006-0000-0500-0000BB000000}">
      <text>
        <r>
          <rPr>
            <b/>
            <sz val="9"/>
            <color indexed="8"/>
            <rFont val="Tahoma"/>
            <family val="2"/>
          </rPr>
          <t>YULIED.PENARANDA:</t>
        </r>
        <r>
          <rPr>
            <sz val="9"/>
            <color indexed="8"/>
            <rFont val="Tahoma"/>
            <family val="2"/>
          </rPr>
          <t xml:space="preserve">
Descripción concreta del avance, máximo de caracteres 200</t>
        </r>
      </text>
    </comment>
    <comment ref="A392" authorId="0" shapeId="0" xr:uid="{00000000-0006-0000-0500-0000BC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393" authorId="0" shapeId="0" xr:uid="{00000000-0006-0000-0500-0000BD000000}">
      <text>
        <r>
          <rPr>
            <b/>
            <sz val="9"/>
            <color indexed="8"/>
            <rFont val="Tahoma"/>
            <family val="2"/>
          </rPr>
          <t>YULIED.PENARANDA:</t>
        </r>
        <r>
          <rPr>
            <sz val="9"/>
            <color indexed="8"/>
            <rFont val="Tahoma"/>
            <family val="2"/>
          </rPr>
          <t xml:space="preserve">
Vigencia a reportar</t>
        </r>
      </text>
    </comment>
    <comment ref="B393" authorId="0" shapeId="0" xr:uid="{00000000-0006-0000-0500-0000BE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93" authorId="0" shapeId="0" xr:uid="{00000000-0006-0000-0500-0000BF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93" authorId="0" shapeId="0" xr:uid="{00000000-0006-0000-0500-0000C1000000}">
      <text>
        <r>
          <rPr>
            <b/>
            <sz val="9"/>
            <color indexed="8"/>
            <rFont val="Tahoma"/>
            <family val="2"/>
          </rPr>
          <t>YULIED.PENARANDA:</t>
        </r>
        <r>
          <rPr>
            <sz val="9"/>
            <color indexed="8"/>
            <rFont val="Tahoma"/>
            <family val="2"/>
          </rPr>
          <t xml:space="preserve">
Descripción concreta del avance, máximo de caracteres 200</t>
        </r>
      </text>
    </comment>
    <comment ref="A407" authorId="0" shapeId="0" xr:uid="{00000000-0006-0000-0500-0000C2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408" authorId="0" shapeId="0" xr:uid="{00000000-0006-0000-0500-0000C3000000}">
      <text>
        <r>
          <rPr>
            <b/>
            <sz val="9"/>
            <color indexed="8"/>
            <rFont val="Tahoma"/>
            <family val="2"/>
          </rPr>
          <t>YULIED.PENARANDA:</t>
        </r>
        <r>
          <rPr>
            <sz val="9"/>
            <color indexed="8"/>
            <rFont val="Tahoma"/>
            <family val="2"/>
          </rPr>
          <t xml:space="preserve">
Vigencia a reportar</t>
        </r>
      </text>
    </comment>
    <comment ref="B408" authorId="0" shapeId="0" xr:uid="{00000000-0006-0000-0500-0000C4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08" authorId="0" shapeId="0" xr:uid="{00000000-0006-0000-0500-0000C5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08" authorId="0" shapeId="0" xr:uid="{00000000-0006-0000-0500-0000C7000000}">
      <text>
        <r>
          <rPr>
            <b/>
            <sz val="9"/>
            <color indexed="8"/>
            <rFont val="Tahoma"/>
            <family val="2"/>
          </rPr>
          <t>YULIED.PENARANDA:</t>
        </r>
        <r>
          <rPr>
            <sz val="9"/>
            <color indexed="8"/>
            <rFont val="Tahoma"/>
            <family val="2"/>
          </rPr>
          <t xml:space="preserve">
Descripción concreta del avance, máximo de caracteres 200</t>
        </r>
      </text>
    </comment>
    <comment ref="A417" authorId="0" shapeId="0" xr:uid="{00000000-0006-0000-0500-0000C8000000}">
      <text>
        <r>
          <rPr>
            <b/>
            <sz val="9"/>
            <color indexed="8"/>
            <rFont val="Tahoma"/>
            <family val="2"/>
          </rPr>
          <t>YULIED.PENARANDA:</t>
        </r>
        <r>
          <rPr>
            <sz val="9"/>
            <color indexed="8"/>
            <rFont val="Tahoma"/>
            <family val="2"/>
          </rPr>
          <t xml:space="preserve">
Vigencia a reportar</t>
        </r>
      </text>
    </comment>
    <comment ref="B417" authorId="0" shapeId="0" xr:uid="{00000000-0006-0000-0500-0000C9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17" authorId="0" shapeId="0" xr:uid="{00000000-0006-0000-0500-0000CA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17" authorId="0" shapeId="0" xr:uid="{00000000-0006-0000-0500-0000CC000000}">
      <text>
        <r>
          <rPr>
            <b/>
            <sz val="9"/>
            <color indexed="8"/>
            <rFont val="Tahoma"/>
            <family val="2"/>
          </rPr>
          <t>YULIED.PENARANDA:</t>
        </r>
        <r>
          <rPr>
            <sz val="9"/>
            <color indexed="8"/>
            <rFont val="Tahoma"/>
            <family val="2"/>
          </rPr>
          <t xml:space="preserve">
Descripción concreta del avance, máximo de caracteres 200</t>
        </r>
      </text>
    </comment>
    <comment ref="A426" authorId="0" shapeId="0" xr:uid="{00000000-0006-0000-0500-0000CD000000}">
      <text>
        <r>
          <rPr>
            <b/>
            <sz val="9"/>
            <color indexed="8"/>
            <rFont val="Tahoma"/>
            <family val="2"/>
          </rPr>
          <t>YULIED.PENARANDA:</t>
        </r>
        <r>
          <rPr>
            <sz val="9"/>
            <color indexed="8"/>
            <rFont val="Tahoma"/>
            <family val="2"/>
          </rPr>
          <t xml:space="preserve">
Vigencia a reportar</t>
        </r>
      </text>
    </comment>
    <comment ref="B426" authorId="0" shapeId="0" xr:uid="{00000000-0006-0000-0500-0000CE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26" authorId="0" shapeId="0" xr:uid="{00000000-0006-0000-0500-0000CF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26" authorId="0" shapeId="0" xr:uid="{00000000-0006-0000-0500-0000D1000000}">
      <text>
        <r>
          <rPr>
            <b/>
            <sz val="9"/>
            <color indexed="8"/>
            <rFont val="Tahoma"/>
            <family val="2"/>
          </rPr>
          <t>YULIED.PENARANDA:</t>
        </r>
        <r>
          <rPr>
            <sz val="9"/>
            <color indexed="8"/>
            <rFont val="Tahoma"/>
            <family val="2"/>
          </rPr>
          <t xml:space="preserve">
Descripción concreta del avance, máximo de caracteres 200</t>
        </r>
      </text>
    </comment>
    <comment ref="A435" authorId="0" shapeId="0" xr:uid="{00000000-0006-0000-0500-0000D2000000}">
      <text>
        <r>
          <rPr>
            <b/>
            <sz val="9"/>
            <color indexed="8"/>
            <rFont val="Tahoma"/>
            <family val="2"/>
          </rPr>
          <t>YULIED.PENARANDA:</t>
        </r>
        <r>
          <rPr>
            <sz val="9"/>
            <color indexed="8"/>
            <rFont val="Tahoma"/>
            <family val="2"/>
          </rPr>
          <t xml:space="preserve">
Vigencia a reportar</t>
        </r>
      </text>
    </comment>
    <comment ref="B435" authorId="0" shapeId="0" xr:uid="{00000000-0006-0000-0500-0000D3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35" authorId="0" shapeId="0" xr:uid="{00000000-0006-0000-0500-0000D4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35" authorId="0" shapeId="0" xr:uid="{00000000-0006-0000-0500-0000D6000000}">
      <text>
        <r>
          <rPr>
            <b/>
            <sz val="9"/>
            <color indexed="8"/>
            <rFont val="Tahoma"/>
            <family val="2"/>
          </rPr>
          <t>YULIED.PENARANDA:</t>
        </r>
        <r>
          <rPr>
            <sz val="9"/>
            <color indexed="8"/>
            <rFont val="Tahoma"/>
            <family val="2"/>
          </rPr>
          <t xml:space="preserve">
Descripción concreta del avance, máximo de caracteres 200</t>
        </r>
      </text>
    </comment>
    <comment ref="A444" authorId="0" shapeId="0" xr:uid="{00000000-0006-0000-0500-0000D7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445" authorId="0" shapeId="0" xr:uid="{00000000-0006-0000-0500-0000D8000000}">
      <text>
        <r>
          <rPr>
            <b/>
            <sz val="9"/>
            <color indexed="8"/>
            <rFont val="Tahoma"/>
            <family val="2"/>
          </rPr>
          <t>YULIED.PENARANDA:</t>
        </r>
        <r>
          <rPr>
            <sz val="9"/>
            <color indexed="8"/>
            <rFont val="Tahoma"/>
            <family val="2"/>
          </rPr>
          <t xml:space="preserve">
Vigencia a reportar</t>
        </r>
      </text>
    </comment>
    <comment ref="B445" authorId="0" shapeId="0" xr:uid="{00000000-0006-0000-0500-0000D9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45" authorId="0" shapeId="0" xr:uid="{00000000-0006-0000-0500-0000DA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45" authorId="0" shapeId="0" xr:uid="{00000000-0006-0000-0500-0000DC000000}">
      <text>
        <r>
          <rPr>
            <b/>
            <sz val="9"/>
            <color indexed="8"/>
            <rFont val="Tahoma"/>
            <family val="2"/>
          </rPr>
          <t>YULIED.PENARANDA:</t>
        </r>
        <r>
          <rPr>
            <sz val="9"/>
            <color indexed="8"/>
            <rFont val="Tahoma"/>
            <family val="2"/>
          </rPr>
          <t xml:space="preserve">
Descripción concreta del avance, máximo de caracteres 200</t>
        </r>
      </text>
    </comment>
    <comment ref="A460" authorId="0" shapeId="0" xr:uid="{00000000-0006-0000-0500-0000DD000000}">
      <text>
        <r>
          <rPr>
            <b/>
            <sz val="9"/>
            <color indexed="8"/>
            <rFont val="Tahoma"/>
            <family val="2"/>
          </rPr>
          <t>YULIED.PENARANDA:</t>
        </r>
        <r>
          <rPr>
            <sz val="9"/>
            <color indexed="8"/>
            <rFont val="Tahoma"/>
            <family val="2"/>
          </rPr>
          <t xml:space="preserve">
Vigencia a reportar</t>
        </r>
      </text>
    </comment>
    <comment ref="B460" authorId="0" shapeId="0" xr:uid="{00000000-0006-0000-0500-0000DE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60" authorId="0" shapeId="0" xr:uid="{00000000-0006-0000-0500-0000DF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60" authorId="0" shapeId="0" xr:uid="{00000000-0006-0000-0500-0000E1000000}">
      <text>
        <r>
          <rPr>
            <b/>
            <sz val="9"/>
            <color indexed="8"/>
            <rFont val="Tahoma"/>
            <family val="2"/>
          </rPr>
          <t>YULIED.PENARANDA:</t>
        </r>
        <r>
          <rPr>
            <sz val="9"/>
            <color indexed="8"/>
            <rFont val="Tahoma"/>
            <family val="2"/>
          </rPr>
          <t xml:space="preserve">
Descripción concreta del avance, máximo de caracteres 200</t>
        </r>
      </text>
    </comment>
    <comment ref="A475" authorId="0" shapeId="0" xr:uid="{00000000-0006-0000-0500-0000E2000000}">
      <text>
        <r>
          <rPr>
            <b/>
            <sz val="9"/>
            <color indexed="8"/>
            <rFont val="Tahoma"/>
            <family val="2"/>
          </rPr>
          <t>YULIED.PENARANDA:</t>
        </r>
        <r>
          <rPr>
            <sz val="9"/>
            <color indexed="8"/>
            <rFont val="Tahoma"/>
            <family val="2"/>
          </rPr>
          <t xml:space="preserve">
Vigencia a reportar</t>
        </r>
      </text>
    </comment>
    <comment ref="B475" authorId="0" shapeId="0" xr:uid="{00000000-0006-0000-0500-0000E3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75" authorId="0" shapeId="0" xr:uid="{00000000-0006-0000-0500-0000E4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75" authorId="0" shapeId="0" xr:uid="{00000000-0006-0000-0500-0000E6000000}">
      <text>
        <r>
          <rPr>
            <b/>
            <sz val="9"/>
            <color indexed="8"/>
            <rFont val="Tahoma"/>
            <family val="2"/>
          </rPr>
          <t>YULIED.PENARANDA:</t>
        </r>
        <r>
          <rPr>
            <sz val="9"/>
            <color indexed="8"/>
            <rFont val="Tahoma"/>
            <family val="2"/>
          </rPr>
          <t xml:space="preserve">
Descripción concreta del avance, máximo de caracteres 200</t>
        </r>
      </text>
    </comment>
    <comment ref="A490" authorId="0" shapeId="0" xr:uid="{00000000-0006-0000-0500-0000E7000000}">
      <text>
        <r>
          <rPr>
            <b/>
            <sz val="9"/>
            <color indexed="8"/>
            <rFont val="Tahoma"/>
            <family val="2"/>
          </rPr>
          <t>YULIED.PENARANDA:</t>
        </r>
        <r>
          <rPr>
            <sz val="9"/>
            <color indexed="8"/>
            <rFont val="Tahoma"/>
            <family val="2"/>
          </rPr>
          <t xml:space="preserve">
Vigencia a reportar</t>
        </r>
      </text>
    </comment>
    <comment ref="B490" authorId="0" shapeId="0" xr:uid="{00000000-0006-0000-0500-0000E8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90" authorId="0" shapeId="0" xr:uid="{00000000-0006-0000-0500-0000E9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90" authorId="0" shapeId="0" xr:uid="{00000000-0006-0000-0500-0000EB000000}">
      <text>
        <r>
          <rPr>
            <b/>
            <sz val="9"/>
            <color indexed="8"/>
            <rFont val="Tahoma"/>
            <family val="2"/>
          </rPr>
          <t>YULIED.PENARANDA:</t>
        </r>
        <r>
          <rPr>
            <sz val="9"/>
            <color indexed="8"/>
            <rFont val="Tahoma"/>
            <family val="2"/>
          </rPr>
          <t xml:space="preserve">
Descripción concreta del avance, máximo de caracteres 200</t>
        </r>
      </text>
    </comment>
    <comment ref="A505" authorId="0" shapeId="0" xr:uid="{00000000-0006-0000-0500-0000EC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506" authorId="0" shapeId="0" xr:uid="{00000000-0006-0000-0500-0000ED000000}">
      <text>
        <r>
          <rPr>
            <b/>
            <sz val="9"/>
            <color indexed="8"/>
            <rFont val="Tahoma"/>
            <family val="2"/>
          </rPr>
          <t>YULIED.PENARANDA:</t>
        </r>
        <r>
          <rPr>
            <sz val="9"/>
            <color indexed="8"/>
            <rFont val="Tahoma"/>
            <family val="2"/>
          </rPr>
          <t xml:space="preserve">
Vigencia a reportar</t>
        </r>
      </text>
    </comment>
    <comment ref="B506" authorId="0" shapeId="0" xr:uid="{00000000-0006-0000-0500-0000EE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506" authorId="0" shapeId="0" xr:uid="{00000000-0006-0000-0500-0000EF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506" authorId="0" shapeId="0" xr:uid="{00000000-0006-0000-0500-0000F1000000}">
      <text>
        <r>
          <rPr>
            <b/>
            <sz val="9"/>
            <color indexed="8"/>
            <rFont val="Tahoma"/>
            <family val="2"/>
          </rPr>
          <t>YULIED.PENARANDA:</t>
        </r>
        <r>
          <rPr>
            <sz val="9"/>
            <color indexed="8"/>
            <rFont val="Tahoma"/>
            <family val="2"/>
          </rPr>
          <t xml:space="preserve">
Descripción concreta del avance, máximo de caracteres 200</t>
        </r>
      </text>
    </comment>
    <comment ref="A520" authorId="0" shapeId="0" xr:uid="{00000000-0006-0000-0500-0000F2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521" authorId="0" shapeId="0" xr:uid="{00000000-0006-0000-0500-0000F3000000}">
      <text>
        <r>
          <rPr>
            <b/>
            <sz val="9"/>
            <color indexed="8"/>
            <rFont val="Tahoma"/>
            <family val="2"/>
          </rPr>
          <t>YULIED.PENARANDA:</t>
        </r>
        <r>
          <rPr>
            <sz val="9"/>
            <color indexed="8"/>
            <rFont val="Tahoma"/>
            <family val="2"/>
          </rPr>
          <t xml:space="preserve">
Vigencia a reportar</t>
        </r>
      </text>
    </comment>
    <comment ref="B521" authorId="0" shapeId="0" xr:uid="{00000000-0006-0000-0500-0000F4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521" authorId="0" shapeId="0" xr:uid="{00000000-0006-0000-0500-0000F5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521" authorId="0" shapeId="0" xr:uid="{00000000-0006-0000-0500-0000F7000000}">
      <text>
        <r>
          <rPr>
            <b/>
            <sz val="9"/>
            <color indexed="8"/>
            <rFont val="Tahoma"/>
            <family val="2"/>
          </rPr>
          <t>YULIED.PENARANDA:</t>
        </r>
        <r>
          <rPr>
            <sz val="9"/>
            <color indexed="8"/>
            <rFont val="Tahoma"/>
            <family val="2"/>
          </rPr>
          <t xml:space="preserve">
Descripción concreta del avance, máximo de caracteres 200</t>
        </r>
      </text>
    </comment>
    <comment ref="A535" authorId="0" shapeId="0" xr:uid="{00000000-0006-0000-0500-0000F8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536" authorId="0" shapeId="0" xr:uid="{00000000-0006-0000-0500-0000F9000000}">
      <text>
        <r>
          <rPr>
            <b/>
            <sz val="9"/>
            <color indexed="8"/>
            <rFont val="Tahoma"/>
            <family val="2"/>
          </rPr>
          <t>YULIED.PENARANDA:</t>
        </r>
        <r>
          <rPr>
            <sz val="9"/>
            <color indexed="8"/>
            <rFont val="Tahoma"/>
            <family val="2"/>
          </rPr>
          <t xml:space="preserve">
Vigencia a reportar</t>
        </r>
      </text>
    </comment>
    <comment ref="B536" authorId="0" shapeId="0" xr:uid="{00000000-0006-0000-0500-0000F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536" authorId="0" shapeId="0" xr:uid="{00000000-0006-0000-0500-0000FB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536" authorId="0" shapeId="0" xr:uid="{00000000-0006-0000-0500-0000FD000000}">
      <text>
        <r>
          <rPr>
            <b/>
            <sz val="9"/>
            <color indexed="8"/>
            <rFont val="Tahoma"/>
            <family val="2"/>
          </rPr>
          <t>YULIED.PENARANDA:</t>
        </r>
        <r>
          <rPr>
            <sz val="9"/>
            <color indexed="8"/>
            <rFont val="Tahoma"/>
            <family val="2"/>
          </rPr>
          <t xml:space="preserve">
Descripción concreta del avance, máximo de caracteres 200</t>
        </r>
      </text>
    </comment>
    <comment ref="A550" authorId="0" shapeId="0" xr:uid="{00000000-0006-0000-0500-0000FE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551" authorId="0" shapeId="0" xr:uid="{00000000-0006-0000-0500-0000FF000000}">
      <text>
        <r>
          <rPr>
            <b/>
            <sz val="9"/>
            <color indexed="8"/>
            <rFont val="Tahoma"/>
            <family val="2"/>
          </rPr>
          <t>YULIED.PENARANDA:</t>
        </r>
        <r>
          <rPr>
            <sz val="9"/>
            <color indexed="8"/>
            <rFont val="Tahoma"/>
            <family val="2"/>
          </rPr>
          <t xml:space="preserve">
Vigencia a reportar</t>
        </r>
      </text>
    </comment>
    <comment ref="B551" authorId="0" shapeId="0" xr:uid="{00000000-0006-0000-0500-00000001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551" authorId="0" shapeId="0" xr:uid="{00000000-0006-0000-0500-00000101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551" authorId="0" shapeId="0" xr:uid="{00000000-0006-0000-0500-000003010000}">
      <text>
        <r>
          <rPr>
            <b/>
            <sz val="9"/>
            <color indexed="8"/>
            <rFont val="Tahoma"/>
            <family val="2"/>
          </rPr>
          <t>YULIED.PENARANDA:</t>
        </r>
        <r>
          <rPr>
            <sz val="9"/>
            <color indexed="8"/>
            <rFont val="Tahoma"/>
            <family val="2"/>
          </rPr>
          <t xml:space="preserve">
Descripción concreta del avance, máximo de caracteres 200</t>
        </r>
      </text>
    </comment>
  </commentList>
</comments>
</file>

<file path=xl/sharedStrings.xml><?xml version="1.0" encoding="utf-8"?>
<sst xmlns="http://schemas.openxmlformats.org/spreadsheetml/2006/main" count="3425" uniqueCount="745">
  <si>
    <t>DIRECCIONAMIENTO ESTRATÉGICO</t>
  </si>
  <si>
    <t>Formato: Programación, Actualización y Seguimiento del Plan de Acción -  Componente de gestión</t>
  </si>
  <si>
    <t>Código: PE01-PR02-F2</t>
  </si>
  <si>
    <t xml:space="preserve"> Versión : 14</t>
  </si>
  <si>
    <t>DEPENDENCIA:</t>
  </si>
  <si>
    <t>Subdirección del Recurso Hídrico y del Suelo</t>
  </si>
  <si>
    <t>CÓDIGO Y NOMBRE PROYECTO:</t>
  </si>
  <si>
    <t>7789 - Diseño, formulación e implementación de un programa de monitoreo, evaluación, control y seguimiento sobre el Recurso Hídrico del Distrito Capital.</t>
  </si>
  <si>
    <t>Propósito Plan de Desarrollo</t>
  </si>
  <si>
    <t>2- Cambiar nuestros hábitos de vida para reverdecer a Bogotá y adaptarnos y mitigar la crisis climática</t>
  </si>
  <si>
    <t>Programa Plan de Desarrollo</t>
  </si>
  <si>
    <t>36- Manejo y saneamiento de los cuerpos de agua</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</si>
  <si>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</si>
  <si>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</si>
  <si>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</si>
  <si>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</si>
  <si>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</si>
  <si>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color indexed="8"/>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</si>
  <si>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</si>
  <si>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</si>
  <si>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</si>
  <si>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</si>
  <si>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</si>
  <si>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</si>
  <si>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</si>
  <si>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</si>
  <si>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</si>
  <si>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</si>
  <si>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</si>
  <si>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</si>
  <si>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</si>
  <si>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</si>
  <si>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</si>
  <si>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</si>
  <si>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</si>
  <si>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</si>
  <si>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</si>
  <si>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</si>
  <si>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</si>
  <si>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color indexed="8"/>
        <rFont val="Arial"/>
        <family val="2"/>
      </rPr>
      <t xml:space="preserve">VIGENCIA </t>
    </r>
    <r>
      <rPr>
        <b/>
        <sz val="12"/>
        <color indexed="8"/>
        <rFont val="Arial"/>
        <family val="2"/>
      </rPr>
      <t xml:space="preserve">
(VALOR INICIAL)</t>
    </r>
  </si>
  <si>
    <r>
      <t>PROGRAMADO</t>
    </r>
    <r>
      <rPr>
        <b/>
        <sz val="12"/>
        <color indexed="8"/>
        <rFont val="Arial"/>
        <family val="2"/>
      </rPr>
      <t xml:space="preserve"> JUN.</t>
    </r>
  </si>
  <si>
    <r>
      <t xml:space="preserve">EJECUTADO </t>
    </r>
    <r>
      <rPr>
        <b/>
        <sz val="12"/>
        <color indexed="8"/>
        <rFont val="Arial"/>
        <family val="2"/>
      </rPr>
      <t>JUN.</t>
    </r>
  </si>
  <si>
    <r>
      <t>PROGRAMADO</t>
    </r>
    <r>
      <rPr>
        <b/>
        <sz val="12"/>
        <color indexed="8"/>
        <rFont val="Arial"/>
        <family val="2"/>
      </rPr>
      <t xml:space="preserve"> JUL.</t>
    </r>
  </si>
  <si>
    <r>
      <t xml:space="preserve">EJECUTADO  </t>
    </r>
    <r>
      <rPr>
        <b/>
        <sz val="12"/>
        <color indexed="8"/>
        <rFont val="Arial"/>
        <family val="2"/>
      </rPr>
      <t>JUL.</t>
    </r>
  </si>
  <si>
    <r>
      <t xml:space="preserve">PROGRAMADO </t>
    </r>
    <r>
      <rPr>
        <b/>
        <sz val="12"/>
        <color indexed="8"/>
        <rFont val="Arial"/>
        <family val="2"/>
      </rPr>
      <t>AGO.</t>
    </r>
  </si>
  <si>
    <r>
      <t xml:space="preserve">EJECUTADO  </t>
    </r>
    <r>
      <rPr>
        <b/>
        <sz val="12"/>
        <color indexed="8"/>
        <rFont val="Arial"/>
        <family val="2"/>
      </rPr>
      <t>AGO.</t>
    </r>
  </si>
  <si>
    <r>
      <t xml:space="preserve">PROGRAMADO </t>
    </r>
    <r>
      <rPr>
        <b/>
        <sz val="12"/>
        <color indexed="8"/>
        <rFont val="Arial"/>
        <family val="2"/>
      </rPr>
      <t>SEP.</t>
    </r>
  </si>
  <si>
    <r>
      <t xml:space="preserve">EJECUTADO  </t>
    </r>
    <r>
      <rPr>
        <b/>
        <sz val="12"/>
        <color indexed="8"/>
        <rFont val="Arial"/>
        <family val="2"/>
      </rPr>
      <t>SEP</t>
    </r>
    <r>
      <rPr>
        <sz val="12"/>
        <color indexed="8"/>
        <rFont val="Arial"/>
        <family val="2"/>
      </rPr>
      <t>.</t>
    </r>
  </si>
  <si>
    <r>
      <t>PROGRAMADO</t>
    </r>
    <r>
      <rPr>
        <b/>
        <sz val="12"/>
        <color indexed="8"/>
        <rFont val="Arial"/>
        <family val="2"/>
      </rPr>
      <t xml:space="preserve"> OCT.</t>
    </r>
  </si>
  <si>
    <r>
      <t xml:space="preserve">EJECUTADO  </t>
    </r>
    <r>
      <rPr>
        <b/>
        <sz val="12"/>
        <color indexed="8"/>
        <rFont val="Arial"/>
        <family val="2"/>
      </rPr>
      <t>OCT</t>
    </r>
    <r>
      <rPr>
        <sz val="12"/>
        <color indexed="8"/>
        <rFont val="Arial"/>
        <family val="2"/>
      </rPr>
      <t>.</t>
    </r>
  </si>
  <si>
    <r>
      <t xml:space="preserve">PROGRAMADO </t>
    </r>
    <r>
      <rPr>
        <b/>
        <sz val="12"/>
        <color indexed="8"/>
        <rFont val="Arial"/>
        <family val="2"/>
      </rPr>
      <t>NOV.</t>
    </r>
  </si>
  <si>
    <r>
      <t xml:space="preserve">EJECUTADO </t>
    </r>
    <r>
      <rPr>
        <b/>
        <sz val="12"/>
        <color indexed="8"/>
        <rFont val="Arial"/>
        <family val="2"/>
      </rPr>
      <t>NOV.</t>
    </r>
  </si>
  <si>
    <r>
      <t xml:space="preserve">PROGRAMADO  </t>
    </r>
    <r>
      <rPr>
        <b/>
        <sz val="12"/>
        <color indexed="8"/>
        <rFont val="Arial"/>
        <family val="2"/>
      </rPr>
      <t>DIC.</t>
    </r>
  </si>
  <si>
    <r>
      <t xml:space="preserve">EJECUTADO </t>
    </r>
    <r>
      <rPr>
        <b/>
        <sz val="12"/>
        <color indexed="8"/>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</si>
  <si>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</si>
  <si>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</si>
  <si>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</si>
  <si>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</si>
  <si>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</si>
  <si>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color indexed="8"/>
        <rFont val="Arial"/>
        <family val="2"/>
      </rPr>
      <t>ENE.</t>
    </r>
  </si>
  <si>
    <r>
      <t xml:space="preserve">EJECUTADO </t>
    </r>
    <r>
      <rPr>
        <b/>
        <sz val="12"/>
        <color indexed="8"/>
        <rFont val="Arial"/>
        <family val="2"/>
      </rPr>
      <t>ENE.</t>
    </r>
  </si>
  <si>
    <r>
      <t>PROGRAMADO</t>
    </r>
    <r>
      <rPr>
        <b/>
        <sz val="12"/>
        <color indexed="8"/>
        <rFont val="Arial"/>
        <family val="2"/>
      </rPr>
      <t xml:space="preserve"> FEB.</t>
    </r>
  </si>
  <si>
    <r>
      <t xml:space="preserve">EJECUTADO </t>
    </r>
    <r>
      <rPr>
        <b/>
        <sz val="12"/>
        <color indexed="8"/>
        <rFont val="Arial"/>
        <family val="2"/>
      </rPr>
      <t>FEB.</t>
    </r>
  </si>
  <si>
    <r>
      <t xml:space="preserve">PROGRAMADO </t>
    </r>
    <r>
      <rPr>
        <b/>
        <sz val="12"/>
        <color indexed="8"/>
        <rFont val="Arial"/>
        <family val="2"/>
      </rPr>
      <t>MAR.</t>
    </r>
  </si>
  <si>
    <r>
      <t xml:space="preserve">EJECUTADO </t>
    </r>
    <r>
      <rPr>
        <b/>
        <sz val="12"/>
        <color indexed="8"/>
        <rFont val="Arial"/>
        <family val="2"/>
      </rPr>
      <t>MAR.</t>
    </r>
  </si>
  <si>
    <r>
      <t xml:space="preserve">PROGRAMADO </t>
    </r>
    <r>
      <rPr>
        <b/>
        <sz val="12"/>
        <color indexed="8"/>
        <rFont val="Arial"/>
        <family val="2"/>
      </rPr>
      <t>ABR.</t>
    </r>
  </si>
  <si>
    <r>
      <t xml:space="preserve">EJECUTADO </t>
    </r>
    <r>
      <rPr>
        <b/>
        <sz val="12"/>
        <color indexed="8"/>
        <rFont val="Arial"/>
        <family val="2"/>
      </rPr>
      <t>ABR.</t>
    </r>
  </si>
  <si>
    <r>
      <t xml:space="preserve">PROGRAMADO </t>
    </r>
    <r>
      <rPr>
        <b/>
        <sz val="12"/>
        <color indexed="8"/>
        <rFont val="Arial"/>
        <family val="2"/>
      </rPr>
      <t>MAY.</t>
    </r>
  </si>
  <si>
    <r>
      <t xml:space="preserve">EJECUTADO  </t>
    </r>
    <r>
      <rPr>
        <b/>
        <sz val="12"/>
        <color indexed="8"/>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</si>
  <si>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</si>
  <si>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</si>
  <si>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</si>
  <si>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</si>
  <si>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</si>
  <si>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</si>
  <si>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</si>
  <si>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</si>
  <si>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</si>
  <si>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</si>
  <si>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</si>
  <si>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</si>
  <si>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</si>
  <si>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</si>
  <si>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</si>
  <si>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</si>
  <si>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Ejecutar un (1) programa de monitoreo, evaluación, control y seguimiento ambiental al recurso hídrico y sus factores de impacto en el Distrito Capital</t>
  </si>
  <si>
    <t>Número de programas de monitoreo, evaluación, control y seguimiento ambiental al Recurso Hídrico consolidado y ejecutado</t>
  </si>
  <si>
    <t>Número</t>
  </si>
  <si>
    <t>Suma</t>
  </si>
  <si>
    <t>Ninguno</t>
  </si>
  <si>
    <t>N/A</t>
  </si>
  <si>
    <t>Promover la gestión integral del recurso hídrico mediante el desarrollo de acciones de evaluación, control y seguimiento que permitan mejorar la calidad del recurso hídrico y su disponibilidad para la población del Distrito Capital.</t>
  </si>
  <si>
    <t>Subdirección del Recurso Hídrico y del Suelo - Informe técnico número No. 01294 del 31 de agosto del 2020.
Sistema de información ambiental FOREST 
Drive de la Subdirección del Recurso Hídrico y del Suelo</t>
  </si>
  <si>
    <t>Kilómetros de río con calidad aceptable, buena o excelente en el Distrito Capital</t>
  </si>
  <si>
    <t>Kilómetros</t>
  </si>
  <si>
    <t xml:space="preserve">Creciente </t>
  </si>
  <si>
    <t xml:space="preserve">Cuantificar la mejora de la calidad del agua que permita realizar una evaluación periódica del programa de monitoreo, evaluación, control y seguimiento del recurso hídrico del Distrito Capital y sus factores de impacto, de tal manera que se logre una planificación adecuada para la asignación de recursos humanos, técnicos y financieros con el fin de garantizar una mejor calidad del recurso hídrico subterráneo y superficial, que redunda en un beneficio ambiental para la ciudad de Bogotá y el aporte a la construcción de una ciudad más cuidadora, incluyente, consciente y sostenible. </t>
  </si>
  <si>
    <t>Sistema de información ambiental FOREST 
Drive de la Subdirección del Recurso Hídrico y del Suelo</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</si>
  <si>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</si>
  <si>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</si>
  <si>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</si>
  <si>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</si>
  <si>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</si>
  <si>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</si>
  <si>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</si>
  <si>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</si>
  <si>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</si>
  <si>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</si>
  <si>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</si>
  <si>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</si>
  <si>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</si>
  <si>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</si>
  <si>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</si>
  <si>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</si>
  <si>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</si>
  <si>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</si>
  <si>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</si>
  <si>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</si>
  <si>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</si>
  <si>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EJECUTADO ACUMULADO AL PERIODO
 AÑO 2020</t>
  </si>
  <si>
    <t>EJECUTADO ACUMULADO  SEGPLAN
 AÑO 2020</t>
  </si>
  <si>
    <t>EJECUTADO ACUMULADO AL PERIODO
 AÑO 2021</t>
  </si>
  <si>
    <t>EJECUTADO ACUMULADO  SEGPLAN
 AÑO 2021</t>
  </si>
  <si>
    <r>
      <t xml:space="preserve">PROGRAMADO </t>
    </r>
    <r>
      <rPr>
        <b/>
        <sz val="14"/>
        <color indexed="8"/>
        <rFont val="Arial"/>
        <family val="2"/>
      </rPr>
      <t>ENE.</t>
    </r>
  </si>
  <si>
    <r>
      <t xml:space="preserve">EJECUTADO </t>
    </r>
    <r>
      <rPr>
        <b/>
        <sz val="14"/>
        <color indexed="8"/>
        <rFont val="Arial"/>
        <family val="2"/>
      </rPr>
      <t>ENE.</t>
    </r>
  </si>
  <si>
    <r>
      <t>PROGRAMADO</t>
    </r>
    <r>
      <rPr>
        <b/>
        <sz val="14"/>
        <color indexed="8"/>
        <rFont val="Arial"/>
        <family val="2"/>
      </rPr>
      <t xml:space="preserve"> FEB.</t>
    </r>
  </si>
  <si>
    <r>
      <t xml:space="preserve">EJECUTADO </t>
    </r>
    <r>
      <rPr>
        <b/>
        <sz val="14"/>
        <color indexed="8"/>
        <rFont val="Arial"/>
        <family val="2"/>
      </rPr>
      <t>FEB.</t>
    </r>
  </si>
  <si>
    <r>
      <t xml:space="preserve">PROGRAMADO </t>
    </r>
    <r>
      <rPr>
        <b/>
        <sz val="14"/>
        <color indexed="8"/>
        <rFont val="Arial"/>
        <family val="2"/>
      </rPr>
      <t>MAR.</t>
    </r>
  </si>
  <si>
    <r>
      <t xml:space="preserve">EJECUTADO </t>
    </r>
    <r>
      <rPr>
        <b/>
        <sz val="14"/>
        <color indexed="8"/>
        <rFont val="Arial"/>
        <family val="2"/>
      </rPr>
      <t>MAR.</t>
    </r>
  </si>
  <si>
    <r>
      <t>PROGRAMADO</t>
    </r>
    <r>
      <rPr>
        <b/>
        <sz val="14"/>
        <color indexed="8"/>
        <rFont val="Arial"/>
        <family val="2"/>
      </rPr>
      <t xml:space="preserve"> ABR.</t>
    </r>
  </si>
  <si>
    <r>
      <t xml:space="preserve">EJECUTADO </t>
    </r>
    <r>
      <rPr>
        <b/>
        <sz val="14"/>
        <color indexed="8"/>
        <rFont val="Arial"/>
        <family val="2"/>
      </rPr>
      <t>ABR.</t>
    </r>
  </si>
  <si>
    <r>
      <t xml:space="preserve">PROGRAMADO </t>
    </r>
    <r>
      <rPr>
        <b/>
        <sz val="14"/>
        <color indexed="8"/>
        <rFont val="Arial"/>
        <family val="2"/>
      </rPr>
      <t>MAY.</t>
    </r>
  </si>
  <si>
    <r>
      <t xml:space="preserve">EJECUTADO  </t>
    </r>
    <r>
      <rPr>
        <b/>
        <sz val="14"/>
        <color indexed="8"/>
        <rFont val="Arial"/>
        <family val="2"/>
      </rPr>
      <t>MAY.</t>
    </r>
  </si>
  <si>
    <r>
      <t>PROGRAMADO</t>
    </r>
    <r>
      <rPr>
        <b/>
        <sz val="14"/>
        <color indexed="8"/>
        <rFont val="Arial"/>
        <family val="2"/>
      </rPr>
      <t xml:space="preserve"> JUN.</t>
    </r>
  </si>
  <si>
    <r>
      <t xml:space="preserve">EJECUTADO </t>
    </r>
    <r>
      <rPr>
        <b/>
        <sz val="14"/>
        <color indexed="8"/>
        <rFont val="Arial"/>
        <family val="2"/>
      </rPr>
      <t>JUN.</t>
    </r>
  </si>
  <si>
    <r>
      <t>PROGRAMADO</t>
    </r>
    <r>
      <rPr>
        <b/>
        <sz val="14"/>
        <color indexed="8"/>
        <rFont val="Arial"/>
        <family val="2"/>
      </rPr>
      <t xml:space="preserve"> JUL.</t>
    </r>
  </si>
  <si>
    <r>
      <t xml:space="preserve">EJECUTADO  </t>
    </r>
    <r>
      <rPr>
        <b/>
        <sz val="14"/>
        <color indexed="8"/>
        <rFont val="Arial"/>
        <family val="2"/>
      </rPr>
      <t>JUL.</t>
    </r>
  </si>
  <si>
    <r>
      <t xml:space="preserve">PROGRAMADO </t>
    </r>
    <r>
      <rPr>
        <b/>
        <sz val="14"/>
        <color indexed="8"/>
        <rFont val="Arial"/>
        <family val="2"/>
      </rPr>
      <t>AGO.</t>
    </r>
  </si>
  <si>
    <r>
      <t xml:space="preserve">EJECUTADO  </t>
    </r>
    <r>
      <rPr>
        <b/>
        <sz val="14"/>
        <color indexed="8"/>
        <rFont val="Arial"/>
        <family val="2"/>
      </rPr>
      <t>AGO.</t>
    </r>
  </si>
  <si>
    <r>
      <t xml:space="preserve">PROGRAMADO </t>
    </r>
    <r>
      <rPr>
        <b/>
        <sz val="14"/>
        <color indexed="8"/>
        <rFont val="Arial"/>
        <family val="2"/>
      </rPr>
      <t>SEP.</t>
    </r>
  </si>
  <si>
    <r>
      <t xml:space="preserve">EJECUTADO  </t>
    </r>
    <r>
      <rPr>
        <b/>
        <sz val="14"/>
        <color indexed="8"/>
        <rFont val="Arial"/>
        <family val="2"/>
      </rPr>
      <t>SEP</t>
    </r>
    <r>
      <rPr>
        <sz val="14"/>
        <color indexed="8"/>
        <rFont val="Arial"/>
        <family val="2"/>
      </rPr>
      <t>.</t>
    </r>
  </si>
  <si>
    <r>
      <t>PROGRAMADO</t>
    </r>
    <r>
      <rPr>
        <b/>
        <sz val="14"/>
        <color indexed="8"/>
        <rFont val="Arial"/>
        <family val="2"/>
      </rPr>
      <t xml:space="preserve"> OCT.</t>
    </r>
  </si>
  <si>
    <r>
      <t xml:space="preserve">EJECUTADO  </t>
    </r>
    <r>
      <rPr>
        <b/>
        <sz val="14"/>
        <color indexed="8"/>
        <rFont val="Arial"/>
        <family val="2"/>
      </rPr>
      <t>OCT</t>
    </r>
    <r>
      <rPr>
        <sz val="14"/>
        <color indexed="8"/>
        <rFont val="Arial"/>
        <family val="2"/>
      </rPr>
      <t>.</t>
    </r>
  </si>
  <si>
    <r>
      <t xml:space="preserve">PROGRAMADO </t>
    </r>
    <r>
      <rPr>
        <b/>
        <sz val="14"/>
        <color indexed="8"/>
        <rFont val="Arial"/>
        <family val="2"/>
      </rPr>
      <t>NOV.</t>
    </r>
  </si>
  <si>
    <r>
      <t xml:space="preserve">EJECUTADO </t>
    </r>
    <r>
      <rPr>
        <b/>
        <sz val="14"/>
        <color indexed="8"/>
        <rFont val="Arial"/>
        <family val="2"/>
      </rPr>
      <t>NOV.</t>
    </r>
  </si>
  <si>
    <r>
      <t xml:space="preserve">PROGRAMADO  </t>
    </r>
    <r>
      <rPr>
        <b/>
        <sz val="14"/>
        <color indexed="8"/>
        <rFont val="Arial"/>
        <family val="2"/>
      </rPr>
      <t>DIC.</t>
    </r>
  </si>
  <si>
    <r>
      <t xml:space="preserve">EJECUTADO </t>
    </r>
    <r>
      <rPr>
        <b/>
        <sz val="14"/>
        <color indexed="8"/>
        <rFont val="Arial"/>
        <family val="2"/>
      </rPr>
      <t>DIC.</t>
    </r>
  </si>
  <si>
    <r>
      <t xml:space="preserve">PROGRAMADO </t>
    </r>
    <r>
      <rPr>
        <b/>
        <sz val="14"/>
        <color indexed="8"/>
        <rFont val="Arial"/>
        <family val="2"/>
      </rPr>
      <t>ABR.</t>
    </r>
  </si>
  <si>
    <t xml:space="preserve">Ejecutar el 100% de las acciones de control sobre las concentraciones límites máximas establecidas en los vertimientos a la red de alcantarillado público de la ciudad, según programación establecida anualmente. </t>
  </si>
  <si>
    <t>MAGNITUD  FÍSICA</t>
  </si>
  <si>
    <t>Garantizar que las aguas residuales generadas de los procesos productivos o industriales sean entregadas en unas condiciones óptimas para el recurso hídrico, lo que influye directamente en la disminución del grado de afectación del agua o el suelo como consecuencia de dichos vertimientos, así se están protegiendo los recursos naturales, la vida de seres humanos, los animales y las plantas.</t>
  </si>
  <si>
    <t>PRESUPUESTO VIGENCIA</t>
  </si>
  <si>
    <t>GIROS VIGENCIA</t>
  </si>
  <si>
    <t>MAGNITUD FÍSICA RESERVAS</t>
  </si>
  <si>
    <t>RESERVA PRESUPUESTAL</t>
  </si>
  <si>
    <t>TOTAL MAGNITUD FÍSICA</t>
  </si>
  <si>
    <t>TOTAL PRESUPUESTO DE LA META</t>
  </si>
  <si>
    <t>Ejecutar el 100% de las acciones de evaluación, control y seguimiento sobre los usuarios que generan afectación al recurso hídrico subterráneo y superficial y al suelo, según programación establecida anualmente.</t>
  </si>
  <si>
    <t>Protección del recurso hídrico superficial, recurso hídrico subterráneo y suelo, para contrarrestar la degradación, deterioro de la oferta ambiental y del patrimonio natural con incidencia en la calidad de vida de los ciudadanos de Bogotá D.C. combatiendo el uso excesivo de los recursos naturales por inadecuado manejo de estos</t>
  </si>
  <si>
    <t>Atender el 100% de los conceptos técnicos que recomiendan actuaciones administrativas sancionatorias durante la vigencia para mejorar la eficiencia del proceso sancionatorio ambiental.</t>
  </si>
  <si>
    <t xml:space="preserve">Mejora transversal del proceso sancionatorio ambiental con el fin de dar cumplimiento a las normas y lineamientos establecidos para la protección del recurso hídrico y a su vez, contribuir al mejoramiento de la calidad de vida de los ciudadanos, a través de la función de vigilancia y control ambiental sobre dicho recurso.
</t>
  </si>
  <si>
    <t xml:space="preserve">Sistema de información ambiental FOREST 
Drive de la Dirección de Control Ambiental </t>
  </si>
  <si>
    <t>Implementar y optimizar 1 monitoreo periódico del recurso hídrico para los componentes RCHB, PMAE y RMAS que permita el incremento del conocimiento asociado a la dinámica y la variabilidad de recurso hídrico y sus factores de impacto.</t>
  </si>
  <si>
    <t>Obtención de información primaria, a partir de la medición de las variables que intervienen en los procesos asociados con el recurso hídrico y por tanto, fundamentales para el desarrollo del análisis y la definición de acciones orientadas a la gestión integral del mismo. 
Mayor cobertura, continuidad y resolución de información, que propende por la generación del conocimiento sobre el estado de la calidad del recurso hídrico de la ciudad de Bogotá y sus factores de impacto.</t>
  </si>
  <si>
    <t>Diseñar y estructurar 5 documentos consolidados con lineamientos en el manejo y en la planificación del recurso hídrico del D.C.</t>
  </si>
  <si>
    <t>Generación de conocimiento como estrategia para identificar las variables relacionadas con la contaminación y afectación a las fuentes hídricas que permita planificar y orientar acciones en el marco de la gestión integral del recurso hídrico, fortaleciendo los procesos de evaluación, control y seguimiento como un ejercicio dinámico por medio de la intervención sistemática sobre los factores de impacto al recurso.</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</si>
  <si>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</si>
  <si>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</si>
  <si>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</si>
  <si>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</si>
  <si>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</si>
  <si>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</si>
  <si>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</si>
  <si>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r>
      <t>Versión:</t>
    </r>
    <r>
      <rPr>
        <b/>
        <sz val="20"/>
        <color indexed="10"/>
        <rFont val="Arial"/>
        <family val="2"/>
      </rPr>
      <t xml:space="preserve"> </t>
    </r>
    <r>
      <rPr>
        <b/>
        <sz val="20"/>
        <color indexed="8"/>
        <rFont val="Arial"/>
        <family val="2"/>
      </rPr>
      <t>14</t>
    </r>
  </si>
  <si>
    <t>1, LÍNEA DE ACCIÓN</t>
  </si>
  <si>
    <t>2, META DE PROYECTO</t>
  </si>
  <si>
    <t>3, CÓDIGO Y NOMBRE DE LA ACTIVIDAD</t>
  </si>
  <si>
    <t>4, SE EJECUTA CON RECURSOS DE:</t>
  </si>
  <si>
    <t>5, PONDERACIÓN HORIZONTAL AÑO: 2021</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</si>
  <si>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</si>
  <si>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</si>
  <si>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</si>
  <si>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</si>
  <si>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</si>
  <si>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</si>
  <si>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</si>
  <si>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</si>
  <si>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</si>
  <si>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</si>
  <si>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</si>
  <si>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</si>
  <si>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</si>
  <si>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</si>
  <si>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</si>
  <si>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</si>
  <si>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</si>
  <si>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</si>
  <si>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</si>
  <si>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1.Evaluación control y seguimiento del Recurso hídrico</t>
  </si>
  <si>
    <t xml:space="preserve">1. Ejecutar el 100% de las acciones de control sobre las concentraciones límites máximas establecidas en los vertimientos a la red de alcantarillado público de la ciudad, según programación establecida anualmente. </t>
  </si>
  <si>
    <t>1. Realizar la formulación del programa de monitoreo, evaluación, control y seguimiento ambiental al Recurso Hídrico para la vigencia 2021.</t>
  </si>
  <si>
    <t>X</t>
  </si>
  <si>
    <t>Programado</t>
  </si>
  <si>
    <t>Durante el mes de enero del año 2021, se orientó y realizó el ejercicio de elaboración y planificación en el marco de la formulación del programa de monitoreo, evaluación, control y seguimiento ambiental sobre el recurso hídrico del Distrito Capital para el año 2021, mediante informe técnico No. 00176, radicado No. 2021IE17843.</t>
  </si>
  <si>
    <t>Ejecutado</t>
  </si>
  <si>
    <t>2. Identificar los presuntos infractores de la norma de vertimientos a red de alcantarillado y emisión de las actuaciones técnicas correspondientes.</t>
  </si>
  <si>
    <t>3. Atender los derechos de petición, quejas, reclamos y otros de carácter prioritario de usuarios de la red de alcantarillado de la ciudad.</t>
  </si>
  <si>
    <t>4. Impulsar jurídicamente los conceptos e informes técnicos en los cuales se evidenció un presunto incumplimiento normativo.</t>
  </si>
  <si>
    <t>2. Ejecutar el 100% de las acciones de evaluación, control y seguimiento sobre los usuarios que generan afectación al recurso hídrico subterráneo y superficial y al suelo, según programación establecida anualmente.</t>
  </si>
  <si>
    <t>5.. Realizar la formulación del programa de monitoreo, evaluación, control y seguimiento ambiental al Recurso Hídrico para la vigencia 2021.</t>
  </si>
  <si>
    <t>6. Realizar la evaluación técnica y desarrollar las etapas procesales de índole jurídico para la autorización de los instrumentos ambientales asociados al recurso hídrico y suelo.</t>
  </si>
  <si>
    <t>7. Realizar las actuaciones técnicas y desarrollar las etapas procesales de índole jurídica asociadas al seguimiento de instrumentos ambientales otorgados al recurso hídrico y suelo.</t>
  </si>
  <si>
    <t>8. Ejecutar las actividades de control tanto técnicas como jurídicas a presuntos infractores que generan afectación al recurso hídrico subterráneo y superficial y al suelo.</t>
  </si>
  <si>
    <t>3. Atender el 100% de los conceptos técnicos que recomiendan actuaciones administrativas sancionatorias durante la vigencia para mejorar la eficiencia del proceso sancionatorio ambiental.</t>
  </si>
  <si>
    <t>9. Acoger jurídicamente los conceptos técnicos mediante la proyección de los actos administrativos ambientales de carácter sancionatorio</t>
  </si>
  <si>
    <t>10. Realizar el proceso de  organización y administración de los documentos de archivos y expedientes sancionatorios</t>
  </si>
  <si>
    <t>11. Notificar los actos administrativos en cumplimiento de la normatividad establecida.</t>
  </si>
  <si>
    <t>12. Realizar acciones de seguimiento y  control ambiental  en el marco del trámite sancionatorio.</t>
  </si>
  <si>
    <t>2.Monitoreo y análisis del recurso hídrico</t>
  </si>
  <si>
    <t>4. Implementar y optimizar 1 monitoreo periódico del recurso hídrico para los componentes RCHB, PMAE y RMAS que permita el incremento del conocimiento asociado a la dinámica y la variabilidad de recurso hídrico y sus factores de impacto.</t>
  </si>
  <si>
    <t>13. Ejecutar las actividades de seguimiento ambiental al monitoreo del recurso hídrico de Bogotá y sus Factores de Impacto. (RCHB - PMAE - RMAS)</t>
  </si>
  <si>
    <t>14. Implementar mecanismos de captura, almacenamiento, consolidación y control de datos para el análisis de la información de calidad y cantidad del recurso hídrico de la ciudad.</t>
  </si>
  <si>
    <t xml:space="preserve">15. Definir y formular de la siguiente fase del Programa de Monitoreo del Distrito Capital. </t>
  </si>
  <si>
    <t>16. Realizar la optimización de la red de aguas subterráneas y gestión para la ejecución de muestreos en la matriz agua de manera autónoma.</t>
  </si>
  <si>
    <t>5. Diseñar y estructurar 5 documentos consolidados con lineamientos en el manejo y en la planificación del recurso hídrico del D.C.</t>
  </si>
  <si>
    <t>17. Analizar y procesar la información de las redes de monitoreo del Distrito y/o la derivada de los procesos de control, evaluación y seguimiento ambiental.</t>
  </si>
  <si>
    <t>18. Elaborar documentos con directrices en el manejo y planificación del recurso hídrico.</t>
  </si>
  <si>
    <t>19. Realizar la integración de lineamientos para la consolidación del Programa de Monitoreo Evaluación, Control y Seguimiento ambiental.</t>
  </si>
  <si>
    <t>TOTAL</t>
  </si>
  <si>
    <t>Formato: Programación, Actualización y Seguimiento del Plan de Acción - Componente de  Territorialización</t>
  </si>
  <si>
    <t>Versión: 14</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</si>
  <si>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</si>
  <si>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</si>
  <si>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</si>
  <si>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</si>
  <si>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</si>
  <si>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</si>
  <si>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</si>
  <si>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</si>
  <si>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</si>
  <si>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</si>
  <si>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</si>
  <si>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</si>
  <si>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2021</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</si>
  <si>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</si>
  <si>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</si>
  <si>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</si>
  <si>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</si>
  <si>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</si>
  <si>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</si>
  <si>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</si>
  <si>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</si>
  <si>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</si>
  <si>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</si>
  <si>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</si>
  <si>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</si>
  <si>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</si>
  <si>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</si>
  <si>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</si>
  <si>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</si>
  <si>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</si>
  <si>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</si>
  <si>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</si>
  <si>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</si>
  <si>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</si>
  <si>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TOTAL META 1</t>
  </si>
  <si>
    <t>ANTONIO NARIÑO</t>
  </si>
  <si>
    <t>SHP 7789\7789\META_2</t>
  </si>
  <si>
    <t>POLITICA NACIONAL PARA LA GESTION INTEGRAL DEL RECURSO HIDRICO</t>
  </si>
  <si>
    <t>S/D</t>
  </si>
  <si>
    <t>BARRIOS UNIDOS</t>
  </si>
  <si>
    <t>BOSA</t>
  </si>
  <si>
    <t>CHAPINERO</t>
  </si>
  <si>
    <t>CIUDAD BOLIVAR</t>
  </si>
  <si>
    <t>EL TESORO
ISMAEL PERDOMO</t>
  </si>
  <si>
    <t>ENGATIVA</t>
  </si>
  <si>
    <t>FONTIBON</t>
  </si>
  <si>
    <t>KENEDDY</t>
  </si>
  <si>
    <t>LOS MARTIRES</t>
  </si>
  <si>
    <t>PUENTE ARANDA</t>
  </si>
  <si>
    <t>RAFAEL URIBE URIBE</t>
  </si>
  <si>
    <t>SAN CRISTOBAL</t>
  </si>
  <si>
    <t>AGUAS CLARAS</t>
  </si>
  <si>
    <t>0,01 HAS</t>
  </si>
  <si>
    <t>SANTAFE</t>
  </si>
  <si>
    <t>SUBA</t>
  </si>
  <si>
    <t>TEUSAQUILLO</t>
  </si>
  <si>
    <t>TUNJUELITO</t>
  </si>
  <si>
    <t>USAQUÉN</t>
  </si>
  <si>
    <t>USME</t>
  </si>
  <si>
    <t>ESPECIAL</t>
  </si>
  <si>
    <t>TOTAL META 2</t>
  </si>
  <si>
    <t>Especial: Desarrollar los procesos sancionatorios requeridos a nivel distrital mediante la atención de los conceptos técnicos que se generan en términos de contaminación al recurso hídrico en el Distrito Capital.</t>
  </si>
  <si>
    <t xml:space="preserve">19 localidades urbanas </t>
  </si>
  <si>
    <t>Implementar y optimizar un monitoreo periódico del recurso hídrico para los componentes RCHB, PMAE y RMAS que permita el incremento del conocimiento asociado a la dinámica y la variabilidad de recurso hídrico y sus factores de impacto.</t>
  </si>
  <si>
    <t>Especial: Implementar y optimizar un monitoreo periódico del recurso hídrico en el Distrito Capital que permita el incremento del conocimiento asociado a la dinámica y la variabilidad de recurso hídrico y sus factores de impacto.</t>
  </si>
  <si>
    <t>Especial: Diseñar y estructurar documentos consolidados con lineamientos en el manejo y en la planificación del recurso hídrico del D.C.</t>
  </si>
  <si>
    <t>TOTALES - PROYECTO</t>
  </si>
  <si>
    <t>TOTALES Rec. Vigencia</t>
  </si>
  <si>
    <t>TOTALES Rec. Reservas</t>
  </si>
  <si>
    <t>TOTAL PRESUPUESTO</t>
  </si>
  <si>
    <t>Formato: Programación, Actualización y Seguimiento  al Sistema de Información de Seguimiento a los Proyectos de Inversión Pública -SPI</t>
  </si>
  <si>
    <t>7789 - Diseño, formulación e implementación de un programa de monitoreo, evaluación, control y seguimiento sobre el Recurso Hídrico del Distrito Capital</t>
  </si>
  <si>
    <t>I PRESUPUESTAL VIGENCIA 2021</t>
  </si>
  <si>
    <t>FUENTE</t>
  </si>
  <si>
    <t>APROPIACION INICIAL</t>
  </si>
  <si>
    <t>APROPIACION VIGENTE</t>
  </si>
  <si>
    <t>COMPROMISOS</t>
  </si>
  <si>
    <t xml:space="preserve">OBLIGACIÓN </t>
  </si>
  <si>
    <t>PAGO</t>
  </si>
  <si>
    <t>%PAGO</t>
  </si>
  <si>
    <t>ENERO</t>
  </si>
  <si>
    <t>Municipios - 11001 - BOGOTA D.C. [BOGOTA] - Propios</t>
  </si>
  <si>
    <t>FEBRERO</t>
  </si>
  <si>
    <t>MARZO</t>
  </si>
  <si>
    <t>ABRIL</t>
  </si>
  <si>
    <t>MAYO</t>
  </si>
  <si>
    <t>JUNIO</t>
  </si>
  <si>
    <t>JULIO</t>
  </si>
  <si>
    <t>AGOSTO</t>
  </si>
  <si>
    <t>SEPTIEMBRE</t>
  </si>
  <si>
    <t>OCTUBRE</t>
  </si>
  <si>
    <t>NOVIEMBRE</t>
  </si>
  <si>
    <t>DICIEMBRE</t>
  </si>
  <si>
    <t>I PRESUPUESTAL VIGENCIA 2022</t>
  </si>
  <si>
    <t>I PRESUPUESTAL VIGENCIA 2023</t>
  </si>
  <si>
    <t>I PRESUPUESTAL VIGENCIA 2024</t>
  </si>
  <si>
    <t>II PRODUCTO (FÍSICO) VIGENCIA 2021</t>
  </si>
  <si>
    <t xml:space="preserve">OBJETIVO ESPECÍFICO </t>
  </si>
  <si>
    <t>PRODUCTO MGA</t>
  </si>
  <si>
    <t>INDICADOR DE PRODUCTO</t>
  </si>
  <si>
    <t>UNIDAD DE MEDIDA</t>
  </si>
  <si>
    <t>% PESO 2021</t>
  </si>
  <si>
    <t>META TOTAL PROYECTO 2000-2024</t>
  </si>
  <si>
    <t>META VIGENCIA  2021</t>
  </si>
  <si>
    <t>AVANCE VIGENCIA 2021</t>
  </si>
  <si>
    <t>% AVANCE VIGENCIA 2021</t>
  </si>
  <si>
    <t>META REZAGADA</t>
  </si>
  <si>
    <t>AVANCE REZAGADO</t>
  </si>
  <si>
    <t>%AVANCE RESERVA</t>
  </si>
  <si>
    <t>OBSERVACIÓN MENSUAL (200 Caracteres)</t>
  </si>
  <si>
    <t>Fortalecer el proceso de evaluación, control y seguimiento a los factores de impacto sobre el recurso hídrico</t>
  </si>
  <si>
    <t>Documentos de planeación para la gestión integral del recurso hídrico</t>
  </si>
  <si>
    <t>Documentos de planeación realizados</t>
  </si>
  <si>
    <t>Desarrollar una herramienta para identificar las variables que generan contaminación y afectación de fuentes hídricas que permitan planificar y orientar acciones en el marco de la gestión integral del recurso hídrico</t>
  </si>
  <si>
    <t>Documentos de lineamientos técnicos para la gestión integral del recurso hídrico</t>
  </si>
  <si>
    <t>Documentos de lineamientos técnicos realizados</t>
  </si>
  <si>
    <t>Este producto se mide al cierre de la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</si>
  <si>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</si>
  <si>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</si>
  <si>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</si>
  <si>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</si>
  <si>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</si>
  <si>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</si>
  <si>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</si>
  <si>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</si>
  <si>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</si>
  <si>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</si>
  <si>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</si>
  <si>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</si>
  <si>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</si>
  <si>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</si>
  <si>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</si>
  <si>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2021</t>
  </si>
  <si>
    <t>ACTIVIDAD (SUIFT) META (SEGPLAN)</t>
  </si>
  <si>
    <t>PRESUPUESTO VIGENCIA SUIFP 2021</t>
  </si>
  <si>
    <t>PRESUPUESTO
OBLIGADO (GIRADO) 2021</t>
  </si>
  <si>
    <t>Observación mensual (200 Caracteres)</t>
  </si>
  <si>
    <t>Inversión - Adquisición de Bienes y Servicios: Atender el 100% de los conceptos técnicos que recomiendan actuaciones administrativas sancionatorias durante la vigencia para mejorar la eficiencia del proceso sancionatorio ambiental</t>
  </si>
  <si>
    <t>Durante el periodo no se reporta avance con recursos de la vigencia</t>
  </si>
  <si>
    <t>Inversión - Adquisición de Bienes y Servicios: Ejecutar el 100% de las acciones de control sobre las concentraciones límites máximas establecidas en los vertimientos a la red de alcantarillado público de la ciudad, según programación establecida anualmente.</t>
  </si>
  <si>
    <t>Inversión - Adquisición de Bienes y Servicios: Ejecutar el 100% de las acciones de evaluación, control y seguimiento sobre los usuarios que generan afectación al recurso hídrico subterráneo y superficial y al suelo, según programación establecida anualmente.</t>
  </si>
  <si>
    <t>Inversión - Adquisición de Bienes y Servicios: Implementar y optimizar un monitoreo periódico del recurso hídrico para los componentes RCHB, PMAE y RMAS que permita el incremento del conocimiento asociado a la dinámica y la variabilidad de recurso hídrico y sus factores de impacto.</t>
  </si>
  <si>
    <t>Inversión - Adquisición de Bienes y Servicios: Diseñar y Estructurar 5 documentos consolidados con lineamientos en el manejo y en la planificación del recurso hídrico del D. C.</t>
  </si>
  <si>
    <t>Durante el periodo del reporte se han acogido conceptos técnicos remitidos a la DCA para inicio de proceso sancionatorio.</t>
  </si>
  <si>
    <t>Durante el periodo del reporte se han realizado las actuaciones técnicas relacionadas con las acciones de control sobre las concentraciones límites máximas establecidas en los vertimientos a la red de alcantarillado público de la ciudad</t>
  </si>
  <si>
    <t>Durante el periodo del reporte se ha desarrollado las acciones de evaluación, control y seguimiento sobre los usuarios que generan afectación al recurso hídrico subterráneo y superficial y al suelo.</t>
  </si>
  <si>
    <t>Durante el periodo del reporte se ha realizado la estructuración del programa de monitoreo.</t>
  </si>
  <si>
    <t>Durante el periodo del reporte se han generado los documentos técnicos requeridos.</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</si>
  <si>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</si>
  <si>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</si>
  <si>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</si>
  <si>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</si>
  <si>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</si>
  <si>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</si>
  <si>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</si>
  <si>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</si>
  <si>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</si>
  <si>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2021</t>
  </si>
  <si>
    <t>DESCRIPCIÓN DEL INDICADORES DE GESTIÓN</t>
  </si>
  <si>
    <t>META VIGENCIA 2021</t>
  </si>
  <si>
    <t>AVANCE META VIGENCIA 2021</t>
  </si>
  <si>
    <t>% AVANCE META VIGENCIA 2021</t>
  </si>
  <si>
    <t>0900G186Rio recuperado</t>
  </si>
  <si>
    <t>El reporte se realiza al cierre de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</si>
  <si>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</si>
  <si>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</si>
  <si>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</si>
  <si>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</si>
  <si>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</si>
  <si>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</si>
  <si>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</si>
  <si>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</si>
  <si>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</si>
  <si>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</si>
  <si>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</si>
  <si>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</si>
  <si>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Formato: Programación, Atualización y Seguimiento  al Sistema de Información de Seguimiento a los Proyectos de Inversión Pública -SPI</t>
  </si>
  <si>
    <t>Versión: 13</t>
  </si>
  <si>
    <t>Subdirección de Ecosistemas y Ruralidad</t>
  </si>
  <si>
    <t>7769 Implementación de intervenciones para la restauración y mantenimiento de áreas de la Estructura Ecológica Principal, Cerros Orientales y otras áreas de interés ambiental de Bogotá</t>
  </si>
  <si>
    <t>I PRESUPUESTAL VIGENCIA 2020</t>
  </si>
  <si>
    <t>12-OTROS DISTRITO</t>
  </si>
  <si>
    <t xml:space="preserve">263-RECURSOS PASIVOS PLUSVALIA </t>
  </si>
  <si>
    <t>27-FONDO CUENTA FINANCIACIÓN PGA</t>
  </si>
  <si>
    <t>41-PLUSVALIA</t>
  </si>
  <si>
    <t>508-PASIVOS EXIGIBLES CUPO</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</si>
  <si>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</si>
  <si>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</si>
  <si>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</si>
  <si>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</si>
  <si>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</si>
  <si>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</si>
  <si>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</si>
  <si>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</si>
  <si>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II PRODUCTO (FÍSICO) VIGENCIA 2020</t>
  </si>
  <si>
    <t>% PESO 2020</t>
  </si>
  <si>
    <t>META VIGENCIA  2020</t>
  </si>
  <si>
    <t>AVANCE VIGENCIA 2020</t>
  </si>
  <si>
    <t>% AVANCE VIGENCIA 2020</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</si>
  <si>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</si>
  <si>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</si>
  <si>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</si>
  <si>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Identificación y priorización de senderos en conjunto con la Empresa de Acueducto y Alcantarillado de Bogotá, se adelanto la revisión de componentes de diseño del proyecto Serranía del Zuque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</si>
  <si>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</si>
  <si>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</si>
  <si>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Restaurar, rehabilitar o recuperar nuevas hectáreas y mantener y hacer seguimiento a las áreas ya restauradas.</t>
  </si>
  <si>
    <t>Servicio de restauración de ecosistemas</t>
  </si>
  <si>
    <t>Áreas en proceso de restauración</t>
  </si>
  <si>
    <t>Hectáreas - Hectarea: Superficie</t>
  </si>
  <si>
    <t>El acumulado al mes de octubre es de 1,54 ha implementadas en Humedal Vaca sector Norte (0,39 ha) y Sur (0,2 ha), Capellanía (0,14 ha) Parque Entrenubes (0,81 ha), respecto a las 5 ha de esta vigencia</t>
  </si>
  <si>
    <t xml:space="preserve">El acumulado total al mes de noviembre en áreas nuevas en restauración implementadas es de 2,54 ha y de 1729 individuos. </t>
  </si>
  <si>
    <t xml:space="preserve">El acumulado total al mes de diciembre en áreas nuevas en restauración implementadas es de 5,49ha y de 2.900 individuos. </t>
  </si>
  <si>
    <t xml:space="preserve"> Áreas en proceso restauración en mantenimiento </t>
  </si>
  <si>
    <t>Se continua con erradicación de retamo y replante en Chapinero vereda Verjones predio la Unión, estamos en conversaciones con propietario de otros predio en misma vereda.</t>
  </si>
  <si>
    <t xml:space="preserve">Se continua con las  actividades en la Localidad Chapinero vereda Verjones predio la Unión continuando con erradicación de retamo, replante y se empezaron trabajos en el Predio Utopia en misma vereda </t>
  </si>
  <si>
    <t>El avance del indicador a diciembre es de 5,24ha de las 54ha programadas para esta vigencia de los cuales en el periodo se continua con la  erradicación de rebrotes de retamo y plantación en ahoyado</t>
  </si>
  <si>
    <t>Implementar y efectuar el seguimiento a proyectos priorizados de conectividad ecológica para la conservación de la biodiversidad</t>
  </si>
  <si>
    <t xml:space="preserve">Documentos de planeación para la conservación de la biodiversidad y sus servicios eco sistémicos </t>
  </si>
  <si>
    <t xml:space="preserve">Se identificaron los nodos del corredor Cuenca Alta-Cerro -Van Der Hammen-Torca, se ajustó el trazado corredor Cerros-El Virrey y se desarrollaron 13 secciones del diagnóstico de este corredor.
</t>
  </si>
  <si>
    <t>Se avanzó en la consolidación del documento de diagnóstico construido participativamente con todos los actores de la mesa del corredor Cerros - El Virrey.</t>
  </si>
  <si>
    <t>Se continua la consolidación del documento de diagnóstico construido participativamente con todos los actores de la mesa del corredor del gran Chicó,</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</si>
  <si>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</si>
  <si>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</si>
  <si>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</si>
  <si>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</si>
  <si>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</si>
  <si>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</si>
  <si>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III ACTIVIDADES SUIFT (PRESUPUESTO) VIGENCIA 2020</t>
  </si>
  <si>
    <t>PRESUPUESTO VIGENCIA SUIFP 2020</t>
  </si>
  <si>
    <t>PRESUPUESTO
OBLIGADO (GIRADO) 2020</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</si>
  <si>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</si>
  <si>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</si>
  <si>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Operador Logistico Obligado</t>
  </si>
  <si>
    <t>Prestaciones de servicio y operador logístico obligados hasta Octubre</t>
  </si>
  <si>
    <t>Prestaciones de servicio obligadas hasta noviembre, operador logístico y adición al contrato de transporte.</t>
  </si>
  <si>
    <t>Prestaciones de servicio obligadas hasta Diciembre y adiciones, operador logístico, adición al contrato de transporte, convenio de restauración con IDIPRON, fortalecimiento de huertas comunitarias, estudios y diseños 200ha</t>
  </si>
  <si>
    <t>Inversión - Adquisición de Bienes y Servicios: Restaurar, rehabilitar o recuperar a 370 nuevas hectáreas degradadas en la estructura ecológica principal y áreas de interés ambiental, con 450.000 individuos.</t>
  </si>
  <si>
    <t>No hubo ejecución presupuestal</t>
  </si>
  <si>
    <t>Prestaciones de servicio obligadas hasta Octubre</t>
  </si>
  <si>
    <t>Prestaciones de servicio obligadas hasta Noviembre y adición al contrato de transporte.</t>
  </si>
  <si>
    <t>Prestaciones de servicio obligadas hasta diciembre y adiciones, adición al contrato de transporte y contrato de Estudios y Diseños de 200ha</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</si>
  <si>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</si>
  <si>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</si>
  <si>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Prestaciones de servicio obligadas hasta Noviembre, servicio de telefonía  y adición al contrato de transporte.</t>
  </si>
  <si>
    <t>Prestaciones de servicio obligadas hasta diciembre y adiciones, servicio de telefonía, adición al contrato de transporte, convenio de ocupaciones ilegales, adquisición de chaquetas, Elementos Informativos Interno y Externo,</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</si>
  <si>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</si>
  <si>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</si>
  <si>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Prestaciones de servicio obligadas hasta Noviembre  y adición al contrato de transporte.</t>
  </si>
  <si>
    <t>Prestaciones de servicio obligadas hasta diciembre y adición, contrato de diseño e implemtación de un diplomado virtual  y adición al contrato de transporte.</t>
  </si>
  <si>
    <t>IV GESTIÓN  (FÍSICO) VIGENCIA 2020</t>
  </si>
  <si>
    <t>META VIGENCIA 2020</t>
  </si>
  <si>
    <t>AVANCE META VIGENCIA 2020</t>
  </si>
  <si>
    <t>% AVANCE META VIGENCIA 2020</t>
  </si>
  <si>
    <t>1000G725Porcentaje de acciones de fortalecimineto a los beneficairios directos , emprendidas-</t>
  </si>
  <si>
    <t>Porcentaje- Porcentaje: Cantidad</t>
  </si>
  <si>
    <t xml:space="preserve">0900G188- Areas sembradas con cobertura vegetal </t>
  </si>
  <si>
    <t>Hectáreas- Hectarea: Superficie</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</si>
  <si>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</si>
  <si>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</si>
  <si>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</si>
  <si>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la consolidación del documento de diagnóstico construido participativamente con todos los actores de la mesa del corredor del gran Chicó</t>
  </si>
  <si>
    <t>Se modifica la periodicidad de reporte y la estructura del documento se ajustó de acuerdo al plan de desarrollo vigente</t>
  </si>
  <si>
    <t>Radicado 2020IE152434 de septiembre 08 de 2020</t>
  </si>
  <si>
    <t>CUENCA</t>
  </si>
  <si>
    <t>Río Fucha</t>
  </si>
  <si>
    <t>SHP 7789\7789\META_1</t>
  </si>
  <si>
    <t>Río Salitre</t>
  </si>
  <si>
    <t>Río Fucha
Río Tunjuelo</t>
  </si>
  <si>
    <t>APOGEO
BOSA CENTRAL
BOSA OCCIDENTAL
EL PORVENIR</t>
  </si>
  <si>
    <t>BOSA CENTRAL
BOSA OCCIDENTAL</t>
  </si>
  <si>
    <t>Río Tunjuelo</t>
  </si>
  <si>
    <t>ARBORIZADORA
EL TESORO
ISMAEL PERDOMO</t>
  </si>
  <si>
    <t>Río Fucha
Río Salitre</t>
  </si>
  <si>
    <t>KENNEDY</t>
  </si>
  <si>
    <t>CORABASTOS
GRAN BRITALIA</t>
  </si>
  <si>
    <t>LA SABANA
SANTA ISABEL</t>
  </si>
  <si>
    <t>CIUDAD MONTES
PUENTE ARANDA
SAN RAFAEL
ZONA INDUSTRIAL</t>
  </si>
  <si>
    <t>Se han desarrollado 2 actuaciones técnicas relacionadas con las acciones de control sobre las concentraciones límites máximas establecidas en los vertimientos a la red de alcantarillado público de la ciudad</t>
  </si>
  <si>
    <t>20 DE JULIO
LA GLORIA</t>
  </si>
  <si>
    <t>EL RINCON
SUBA
TIBABUYES</t>
  </si>
  <si>
    <t>TUNJUELITO
VENECIA</t>
  </si>
  <si>
    <t>USAQUEN</t>
  </si>
  <si>
    <t>Río Salitre
Río Torca</t>
  </si>
  <si>
    <t>SAN CRISTOBAL NORTE
VERBENAL</t>
  </si>
  <si>
    <t>COMUNEROS
GRAN YOMASA</t>
  </si>
  <si>
    <t>CIUDAD JARDIN
RESTREPO</t>
  </si>
  <si>
    <t>CIUDAD JARDIN URBANIZACION
IGLESIA DE SAN ANTONIO
SAN ANTONIO
SANTANDER</t>
  </si>
  <si>
    <t>2,25 HAS</t>
  </si>
  <si>
    <t>BOSA CENTRAL
BOSA OCCIDENTAL
GRAN BRITALIA</t>
  </si>
  <si>
    <t>CHAPINERO
CHICO LAGO
EL REFUGIO
PARDO RUBIO</t>
  </si>
  <si>
    <t>BARRIO OBRERO ANTONIO RICAURTE
EL PROGRESO
LA FAVORITA</t>
  </si>
  <si>
    <t>PUENTE ARANDA
SAN RAFAEL
ZONA INDUSTRIAL</t>
  </si>
  <si>
    <t>DIANA TURBAY</t>
  </si>
  <si>
    <t>DESARROLLO DIANA TURBAY</t>
  </si>
  <si>
    <t>GALERIAS
LA ESMERALDA
PARQUE SIMON BOLIVAR - CAN
QUINTA PAREDES
TEUSAQUILLO</t>
  </si>
  <si>
    <t>VERBENAL
SAN CRISTOBAL NORTE</t>
  </si>
  <si>
    <t>DOCE DE OCTUBRE
LOS ALCAZARES
LOS ANDES
PARQUE SALITRE</t>
  </si>
  <si>
    <t>CHAPINERO
CHICO LAGO
EL REFUGIO</t>
  </si>
  <si>
    <t>Durante el periodo del reporte se ha realizado la estructuración del programa de monitoreo y se iniciaron los monitoreos.</t>
  </si>
  <si>
    <t>Radicado No. 2021IE106063 del 31 de mayo del 2021.</t>
  </si>
  <si>
    <t>Evaluación control y seguimiento del Recurso hídrico</t>
  </si>
  <si>
    <t>APOGEO
BOSA CENTRAL
BOSA OCCIDENTAL
GRAN BRITALIA
TIMIZA
TINTAL SUR</t>
  </si>
  <si>
    <t>COUNTRY CLUB
LA URIBE
LOS CEDROS
PASEO DE LOS LIBERTADORES
SAN CRISTOBAL NORTE
SANTA BARBARA
TOBERIN
UPR ZONA NORTE
USAQUEN
VERBENAL</t>
  </si>
  <si>
    <t>Se han programado 13 actuaciones técnicas relacionada con las acciones de control sobre las concentraciones límites máximas establecidas en los vertimientos a la red de alcantarillado público de la ciudad</t>
  </si>
  <si>
    <t>Durante la vigencia 2021 se avanzó en la definición y formulación del Programa de Monitoreo de la calidad y cantidad del recurso hídrico de la ciudad de Bogotá y sus factores de impacto para el año 2021 del Distrito Capital, por medio de la selección de variables y parámetros para el diseño del Programa de Monitoreo, la verificación de las cotizaciones presentadas por los laboratorios, la elaboración del estudio de mercado y los estudios previos del proyecto para la toma de muestras y análisis de laboratorio.  Se desarrollaron adicionalmente los siguientes documentos: Anexo Técnico 1. Especificaciones técnicas, Anexo Técnico 2. Carta de aceptación de aspectos técnicos, Anexo Técnico 3. Listado parámetros y límites de cuantificación y Anexo Técnico 4. Componentes de monitoreo.
Posteriormente, se realizó publicación en la plataforma digital SECOP II, de los estudios y documentos previos y del proyecto de pliego de condiciones de la licitación pública No. SDA-LP-03-2021. Se realizó la respectiva evaluación de los requisitos y documentos de contenido técnico establecidos en los numerales 3.3.1 a 3.3.3 del proceso de selección por licitación pública No. SDA-LP-03-2021, que derivó en el informe de evaluación preliminar el informe de evaluación definitivo y adjudicación del contrato SDA-20211379 del 29 de junio del 2021 con objeto “Prestar los servicios para la toma de muestras y análisis en laboratorio para el monitoreo de calidad y cantidad del recurso hídrico de la ciudad de Bogotá y sus factores de impacto”, suscrito entre la SDA y la unión temporal UT PSL-ANQ.</t>
  </si>
  <si>
    <t>Durante el periodo del reporte se ha realizado la estructuración del programa de monitoreo y se han venido desarrollando los monitoreos.</t>
  </si>
  <si>
    <t>Se han programado 15 actuaciones técnicas relacionadas con las acciones de control sobre las concentraciones límites máximas establecidas en los vertimientos a la red de alcantarillado público de la ciudad.</t>
  </si>
  <si>
    <t>Se han programado 7 actuaciones técnicas relacionadas con las acciones de control sobre las concentraciones límites máximas establecidas en los vertimientos a la red de alcantarillado público de la ciudad</t>
  </si>
  <si>
    <t>Se han programado 99 actuaciones técnicas relacionadas con las acciones de control sobre las concentraciones límites máximas establecidas en los vertimientos a la red de alcantarillado público de la ciudad.</t>
  </si>
  <si>
    <t>Se han realizado 15 actuaciones técnicas relacionadas con las acciones de control sobre las concentraciones límites máximas establecidas en los vertimientos a la red de alcantarillado público de la ciudad.</t>
  </si>
  <si>
    <t>Se han realizado 99 actuaciones técnicas relacionadas con las acciones de control sobre las concentraciones límites máximas establecidas en los vertimientos a la red de alcantarillado público de la ciudad.</t>
  </si>
  <si>
    <t>En cumplimiento a lo establecido en el Decreto 1076 del 2015, y en atención a las actividades misionales del grupo alcantarillado técnico, durante el periodo comprendido entre enero y diciembre del 2021, se han atendido 532 derechos de petición, relacionados con temas de vertimientos a la red de alcantarillado público del Distrito Capital. Con los recursos de la reserva se atendieron 51 y con recursos de la vigencia 481.</t>
  </si>
  <si>
    <t xml:space="preserve">Durante la vigencia 2021, en lo que respecta a las actuaciones desarrolladas por el grupo jurídico se impulsaron ciento cuarenta y cuatro (144) actuaciones sancionatorias, seis (6) derechos de petición y veinte (20) archivos de expedientes.
Se precisa que con los recursos de la reserva se desarrollaron veintiséis (26) a autos de impulso sancionatorio y se atención un (1) derecho de petición y con los recursos de la vigencia ciento dieciocho (118) actuaciones sancionatorias, veinte (20) archivos de expedientes y se han atendido cinco (5) derechos de petición.
</t>
  </si>
  <si>
    <t xml:space="preserve">Autorizaciones 
Se generaron impulsos técnico jurídicos a 137 trámites de permiso de vertimientos.
Se generaron 74 resoluciones que deciden solicitudes de permisos de vertimientos.
Aguas Subterráneas 
Se realizó el avance en la atención integral de las siguientes solicitudes.
• Sociedad Global FRB S.A.S. – Finca la Gloria: Res No. 01539 16/06/2021 Otorga Concesión 
• Frigorífico Guadalupe S.A.S.: Res No. 00218 del 30/06/2021 Permiso de prospección.
• GRASCO LTDA.: Res No. 03627 del 12/10/2021 Otorga prorroga 
• Ciudadela Comercial Unicentro: Res No. 05459 del 23/12/2021 Otorga Concesión vigencia 2020
• Construcciones e Inversiones Iberia S.A.S: Res No. 05458 del 23/12/2021 Otorga Concesión
• Jardines del Apogeo: Res No. 05457 del 23/12/2021 Otorga prorroga
• Coltanques: Res No. 05493 del 24/12/2021 Otorga prorroga
• Jardines del Apogeo: Res No. 05492 del 24/12/2021 Permiso de prospección
• GASEOSAS COLOMBIANAS S.A.S. Planta Sur: Res No. 05294 del 17/12/2021 Otorga prorroga y Res No. 05295 del 17/12/2021 Otorga prorroga.  
</t>
  </si>
  <si>
    <t>Establecer las acciones pendientes de 2021 como parte del plan de trabajo del mes de enero del 2022.</t>
  </si>
  <si>
    <t>Se presenta retraso en la generación de dos (2) informes y/o conceptos técnicos de seguimiento ambiental</t>
  </si>
  <si>
    <t>Establecer las acciones pendientes de 2021 como parte del plan de trabajo del primer bimestre del 2022.</t>
  </si>
  <si>
    <t xml:space="preserve">Durante la vigencia 2021 se presenta el siguiente avance:
RECURSOS RESERVAS
Se elaboró el programa de monitoreo, evaluación, control y seguimiento ambiental sobre el recurso hídrico del Distrito Capital 2021 - informe técnico No. 00176.
Generación de 16 impulsos sancionatorios relacionados con afectación a aguas subterráneas y 18 relacionados con afectación al recurso hídrico superficial.
Se elaboró el informe técnico 00159 - Acción popular -San José de Bavaria.
RECURSOS VIGENCIA
Autorizaciones 
Se han resuelto 74 solicitudes de permiso de vertimientos a través de resolución de otorga, niega o desiste
Se generaron impulsos técnico jurídicos a 137 trámites de permiso de vertimientos, 63 conceptos técnicos de seguimiento, 44 conceptos técnicos de liquidación cobro por seguimiento a permisos de vertimientos y 38 resoluciones de cobro por seguimiento a permiso de vertimientos
Se generaron 187 documentos en el marco de la atención a PQRS y entes de control, adicionalmente fueron generados 488 documentos de control
Se generaron 22 informes técnicos que atienden acciones populares y el control a humedales
Se generaron 68 impulsos sancionatorios.
Aguas Subterráneas
Se han resuelto 2 Concesiones, 5 Prorrogas y 2 Permiso de prospección 2021, 1 Concesión 2020
Se generaron 64 conceptos técnico (CT) de seguimiento a 64 puntos, 4 CT de seguimiento no incluidos meta
Se realizó 1 requerimiento (Req) de cobro CT 2018 y 64 Req a 66 puntos CT 2021 y 4 Req cobros no incluidos meta
Se generaron 64 CT de cobro y 64 resoluciones a 67 puntos 2020, 31 resoluciones de cobro a 36 trámites 2016 a 2019
Se dio respuesta a 83 quejas con 92 documentos y 1 informe
Se visitó mensual 70 medidores y se registraron los consumos
Se realizaron 47 acompañamientos, adicionalmente fueron generados 292 documentos con productos técnicos de gestión.
Se generaron 99 conceptos técnicos de control a 111 puntos de agua, 70 impulsos sancionatorios y 1 informe final del estado del ambiental de los acuíferos.
</t>
  </si>
  <si>
    <t xml:space="preserve">Autorizaciones 
Se realizó la revisión, atención técnica y generación de 187 documentos que atienden derechos de petición y entes de control, adicionalmente entre solicitudes internas y de la comunidad fueron generados 488 documentos de control.
Se generaron 22 informes técnicos que atienden seguimiento a acciones populares (6) y el control ambiental a humedales (16). 
Se generaron 68 impulsos sancionatorios por incumplimiento en materia de Autorizaciones.
Aguas Subterráneas
Se dio respuesta a 83 derechos de petición o entes de control discriminados en 92 documentos y 1 informe final. 
Se revisó 70 medidores y se registró el consumo de cada uno de los pozos mencionados por medio de acta
de visita de los meses de Enero a Diciembre y 1 informe final.
Se realizado 47 acompañamientos a diferentes actividades de control y 1 informe final. 
Se diligencio y actualizo las 6 bases de uso común del grupo, para cada uno de los meses y 1 informe final.
Se generaron 99 Conceptos técnicos, lo cual representa para la meta un total de 111 controles a puntos de
aguas subterráneas desde el área técnica, esto debido a que en algunos conceptos técnicos se actúa en más
de un punto.
Se proyectaron 292 productos técnicos a diferentes usuarios en diferentes temáticas de control en periodo
reportado en el presente informe.
Se llevaron a cabo las 2 brigadas de toma de niveles hidrodinámicos Norte e Industrial (Junio - Octubre) y un informe final. 
Se generaron 70 Impulsos Sancionatorios en materia de control Aguas Subterráneas.
Se generó 1 informe final del estado del ambiental de los acuíferos.
</t>
  </si>
  <si>
    <t>En el marco de las acciones de evaluación, control y seguimiento al recurso hídrico la Secretaría Distrital de Ambiente durante la vigencia 2021 atendió el 100% de los conceptos técnicos que recomiendan una actuación administrativa sancionatoria y el 0,46 % de magnitud física pendiente por atender de la vigencia 2020, distribuida así:
Recursos reserva: 
N° de Conceptos Técnicos que recomiendan actuaciones administrativas sancionatorias pendientes vigencia 2020: 7
N° de Conceptos Técnicos atendidos jurídicamente pendientes vigencia 2021: 7
Recursos vigencia: 
N° de Conceptos Técnicos que recomiendan actuaciones administrativas sancionatorias: 300
N° de Conceptos Técnicos atendidos jurídicamente: 300</t>
  </si>
  <si>
    <t xml:space="preserve">Durante la vigencia 2021 se han realizado las siguientes acciones asociadas al trámite de notificación:
Primer trimestre 2021
Vigencia: 
Notificación de 100 actos administrativos.
Reserva: 
Notificación de 31 actos administrativos.
Segundo trimestre 2021: 
Notificación de 121 actos administrativos y 4 Resoluciones.
Tercer trimestre 2021: 
Notificación de 365 actos administrativos.
Cuarto trimestre 2021:
Notificación de 358 actos administrativos.
</t>
  </si>
  <si>
    <t>Durante la vigencia 2021 se han desarrollado las siguientes actividades de seguimiento y control ambiental en el marco del trámite sancionatorio.
Licenciamiento Ambiental:
Se desarrollaron 12 actuaciones técnicas, así:
1. Se evaluó a la empresa E-Waste S.A.S por concepto de seguimiento para el año 2020.
2. Revisión preliminar información biótica presentada por la empresa Recebera J.J FRANCO GOMEZ para el proyecto "explotación de materiales de construcción”.
3. Se elaboro concepto técnico por cobro de seguimiento a Descont SAS ESP por servicio de seguimiento de 2019 
4. Tratar Ambiental S.A.S - Forest 3957459
5. Corporación Logística Colombiana - Forest 5086577
6. Roldan y Compañía S.A.S - Forest 5117227
7. Esso Colombia Limited Estación de Servicios Chile - Forest 5147629
8.Solventes Y Materias Primas Industriales Solmaprin LTDA – Forest 5134960
9.Esapetrol S.A – Forest 5004821 
10.SENA Alamos – Forest 4694911
11.Soluciones Ambientales Especiales -Fundación Ambiental San Carlosx- Forest 5275680
12.3PL Logistics- Forest 5226260
Multas Ambientales 
Se desarrollaron 15 actuaciones técnicas,así: 
1. Wilson Humberto Salazar Vera –  Forest 4000257 
2. Hospital de Suba -  Forest 4076079
3. Janneth Aldana Vergara -  Forest 4884418
4. Jhon Alexander Barrero Casallas-  Forest 4392123
5.Feilo Sylvania Colombia S.A - Forest 4124322
6.Balcones Del Carmel S.A.-  Forest 4367067
7.Agrupación de Vivienda La Plazoleta - proceso Forest 3645246
8. Jorge Enrique López Beltrán -  Forest 4285497
9.Gres San José S.A.S. -  Forest 3732820 
10.Se atendió trámite de demanda Escuela Colombiana de Ingeniería, radicado N° 2021IE164228.
11.Martín Beltrán-  Forest - 3906554
12.German Pedraza Diaz- Brios Leather S.A.S- Forest – 4234431
13.Multiservicio Tecnicars Asociados S.A.S-  Forest 3788347
14.AGREGADOS CANTARRANA –  Forest 3749242 
15.LUIS FABIO RENGIFO REINA –  Forest 4709914  
Quejas
Se realizó asesoría y seguimiento a un total de 477solicitudes de PQRS asociadas al recurso hídrico.</t>
  </si>
  <si>
    <t>Durante la vigencia 2021 se han realizado las siguientes actividades archivísticas, asociados a expedientes sancionatorios recurso hídrico:
1. Apertura:  1.085
2. Ordenación: 1.739
3. Formato Único de Inventario Documental FUID: 304
4. Hoja de Control: 633
5. Verificación Física de Expedientes: 560
6. Desgloses: 2.652
7. Levantamiento Base de Datos Inserciones DCA: 1.184
8. Préstamo de expedientes: 6.071
9. Asociación de Radicados – Forest:3.163
10. Encarpetado Expedientes: 26
11.Consulta de expedientes:6</t>
  </si>
  <si>
    <t>En el marco de las acciones de evaluación, control y seguimiento al recurso hídrico la Secretaría Distrital de Ambiente durante la vigencia 2021 atendió el 100% de los conceptos técnicos que recomiendan una actuación administrativa sancionatoria y el 0,46 % de magnitud física pendiente por atender de la vigencia 2020, distribuida así:
Recursos reserva: 
N° de Conceptos Técnicos que recomiendan actuaciones administrativas sancionatorias pendientes vigencia 2020: 7
N° de Conceptos Técnicos atendidos jurídicamente pendientes vigencia 2021: 7
Recursos vigencia: 
N° de Conceptos Técnicos que recomiendan actuaciones administrativas sancionatorias: 300
N° de Conceptos Técnicos atendidos jurídicamente: 300
Total, avance magnitud vigencia 2021: 25%  
Total, avance magnitud reserva 2020: 0,46 % 
El avance de la vigencia se determina considerando que cada mes al acoger los conceptos técnicos que se remiten a la Dirección de Control Ambiental se avanza en un 2,27%.</t>
  </si>
  <si>
    <t xml:space="preserve">La ejecución de las actividades de seguimiento ambiental al monitoreo del recurso hídrico de Bogotá y sus factores de impacto se tenían programadas a partir del mes de abril, sin embargo, considerando que con el proceso de contratación por licitación pública No. SDA-LP-03-2021, se contratarían los monitoreos para los periodos 2021 - 2023, fue necesario modificar las cantidades y componentes determinados de los componentes asociados con los procesos de monitoreo, evaluación, control y seguimiento ambiental por la variación del presupuesto oficial asignado para el programa de monitoreo en cada uno de los periodos 2021-2023, y se generaron retrasos en los procesos de revisión contractual y generación del CDP. Así las cosas, hasta el mes de julio se realizó la gestión para el inicio del Contrato de Prestación de Servicios No. SDA-20211379 celebrado con la UT PSL-ANQ. 
Se elaboró el plan de monitoreo de la calidad y cantidad del recurso hídrico de la ciudad de Bogotá y sus factores de impacto, para la vigencia 2021, documento en el cual se establecen los objetivos, alcance, generalidades del contrato, los lineamientos técnicos y el conjunto de actividades a seguir para la ejecución del monitoreo de la cantidad y calidad del recurso hídrico de Bogotá y sus factores de impacto, en los diferentes componentes de interés de la SDA. Además, se desarrollaron las actividades para la aprobación del Plan Operativo, documento que contiene los protocolos y procedimientos de los laboratorios que hacen parte de la unión temporal, que fue presentado mediante los Radicados SDA No. 2021ER142212 y 2021ER139730.
Se ejecutó el monitoreo de 1378 puntos, de los cuales 576 muestras corresponden al componente de la Red de Calidad Hídrica de Bogotá, 657 muestras hacen parte del Programa de Afluentes y Efluentes del Distrito Capital, 70 de la Red de Monitoreo de Aguas Subterráneas y 75 de Humedales. Finalmente, se realizó la revisión, validación y aprobación de 645 reportes de análisis de laboratorio.
</t>
  </si>
  <si>
    <t>Durante el periodo comprendido entre enero y diciembre de 2021 se implementaron mecanismos de captura, almacenamiento, consolidación y control de datos para el análisis de la información de calidad y cantidad del recurso hídrico de la ciudad por medio de la gestión interna de los resultados de monitoreo, que derivó en la emisión de 351 documentos técnicos para realizar el análisis técnico pertinente tendiente al desarrollo de actividades de control y seguimiento ambiental, relacionadas con el cumplimiento de los valores límites máximos permisibles en los vertimientos puntuales, conforme a la normatividad ambiental vigente. Adicionalmente se consolidó la información de los resultados de laboratorio de 616 muestras asociadas con los componentes de monitoreo teniendo como referencia el sistema de información adoptado.</t>
  </si>
  <si>
    <t xml:space="preserve">A partir de los análisis y procesamiento de la información de las redes de monitoreo del Distrito y/o la derivada de los procesos de control, evaluación y seguimiento ambiental, se elaboraron documentos relacionados con el establecimiento de metas de carga contaminante (Informe Técnico No. 05958 del 18/12/2021 y 06502 del 31/12/2021), el estado de la calidad del recurso hídrico de Bogotá (Informe Técnico No. 04283 del 19/10/2021, No. 06472 del 29/12/2021 y No. 05956 del 17/12/2021), la evaluación de los factores de impacto sobre el recurso hídrico 2021 (Informe Técnico No. 06503 del 31/12/2021), articulación de acciones con el Plan de Ordenamiento y Manejo de la Cuenca Hidrográfica del Río Bogotá. (Informe Técnico No. 06395 del 28/12/2021) y la evaluación ambiental de los acuíferos con influencia en el Distrito Capital (Informe Técnico No. 06486 del 2021)
Adicionalmente se elaboró el concepto de evaluación a la solicitud de modificación del Plan de Saneamiento y Manejo de Vertimientos PSMV CT No. 14510 del 11/12/2021.
Finalmente se realizó la integración de lineamientos para la consolidación del Programa de Monitoreo Evaluación, Control y Seguimiento ambiental por medio de la emisión del informe técnico No. 06504 del 31 de diciembre del 2021 “Integración de lineamientos técnicos para la gestión integral del recurso hídrico para el año 2022” </t>
  </si>
  <si>
    <t>Durante la vigencia 2021, se desarrolló con recursos de la reserva la gestión para la aprobación de la garantía única y la suscripción del acta de inicio del Contrato de Compraventa SDA-20202467 cuyo objeto es la adquisición de equipos para la toma de muestra y la medición de parámetros in- situ. Con los recursos de la vigencia se gestionó la aprobación del cronograma para la ejecución del contrato y la emisión por parte de la ANLA de la certificación ambiental para acceder al incentivo tributario de Exclusión del IVA. Se realizó el seguimiento a la entrega de las adquisiciones definidas en este contrato.
Se adelantaron las capacitaciones para el manejo de los equipos adquiridos y la gestión para la entrega de los equipos al almacén de la SDA garantizando que se cumplan las condiciones de calidad y eficiencia y se emitió el informe técnico correspondiente.
Se realizó la gestión para la suscripción del acta de recibo final e informe de supervisión del contrato SDA-20202467 de 2020, la liquidación y el pago por medio del documento 2021IE224860.
Se elaboraron los documentos relacionados con 1. Procedimiento Medición de perfiles y toma de muestras de agua en el Distrito Capital, 2. Instructivo de perfiles de aforo y toma de muestras para fuentes superficiales y 3. Toma, preservación y transporte de muestras. 4. Hojas de vida del procedimiento de metrología, monitoreo y modelación para los equipos adquiridos. 5. Formatos y Planillas. 6. Informe Técnico Operación de Equipos de medición de caudal y parámetros In situ para acreditación.
Se realizó la gestión para la transmisión y la consolidación de la información registrada por los dispositivos de la Red de Monitoreo de Aguas Subterráneas.
Se elaboraron los documentos técnicos para el proyecto de adquisición de soluciones y materiales de laboratorio soporte para actividades en la toma de muestras, que derivó en la evaluación y adjudicación de contrato de compraventa No. SDA-20211745 (SECOP II Proceso No. SDA-MC-038-2021).</t>
  </si>
  <si>
    <t>Durante la vigencia 2021, se realizó el análisis y procesamiento de la información de las redes de monitoreo del Distrito y/o la derivada de los procesos de control, evaluación y seguimiento ambiental en función de la dinámica y la variabilidad de los factores de impacto del Recurso Hídrico. Los análisis desarrollados permitieron:
•Determinar la influencia de las descargas de agua residual no doméstica generadas por las industrias de curtido de pieles
•Definir e implementar criterios para la optimización del número de determinantes de calidad objeto de monitoreo en el sector de lavado de vehículos
•Determinar el universo de usuarios, con caracterizaciones ejecutadas en los Programas de Monitoreo, los cuales son objeto de priorización y requieren el desarrollo de acciones de control, evaluación y seguimiento por cuanto representan una afectación al recurso hídrico por el incumplimiento a la normatividad ambiental
•Determinar los indicadores de ciudad relacionados con el Observatorio Ambiental de Bogotá, el Observatorio Regional Ambiental y de Desarrollo Sostenible del Río Bogotá, Matriz de Indicadores de ciudad, programa Bogotá Como Vamos y el Acuerdo 067 de 2002
•Categorización de la calidad del agua por medio del indicador de calidad del recurso hídrico (ICA), para las estaciones de monitoreo de la RCHB, relación entre los índices WQI e ICA
•Evaluación ambiental de los acuíferos
•Evaluación espacial y temporal de los cambios de calidad del agua en los puntos de monitoreo
•Determinación de carga contaminante para la caracterización de usuarios proceso de establecimiento de metas y priorización de puntos de vertimiento
•Variabilidad objetivos de calidad y evaluación de tendencias evaluación temporal
•Evaluación de factores de impacto sobre el recurso hídrico
•Articulación acciones de control con POMCA y sentencia río Bogotá
•Definición de escenarios de intervención
•Evaluación de la modificación del PSMV</t>
  </si>
  <si>
    <t>Durante la vigencia 2021, se avanzó en el seguimiento a las fuentes superficiales del Distrito Capital con el fin de definir y priorizar los puntos de vertimiento y los factores que generan impacto sobre el recurso hídrico superficial. Se realizó seguimiento a 131 usuarios que generan vertimientos a las fuentes superficiales del Distrito Capital como insumo para el establecimiento de los objetivos de calidad y la meta de carga contaminante para el periodo 2021-2025. Se avanzó en la elaboración y/o actualización de 1407 fichas para los puntos de vertimiento asociados con las cuencas de los ríos Tunjuelo, Fucha, Salitre y Torca.
Se realizó la planificación, el diseño y formulación de las actividades de monitoreo ambiental y se estructuró el Informe Técnico No. 00176 de 2021 “Programa de monitoreo, evaluación, control y seguimiento ambiental sobre el recurso hídrico del Distrito Capital”
Se emitieron los Informes Técnicos 00269 del 19/02/2021 y 00372 del 30/03/2021 relacionados con la Implementación de la Tasa Retributiva
Se estructuraron los documentos técnicos:
•Informe Índice de calidad del agua-ICA en las estaciones de la red de calidad hídrica de Bogotá
•Evaluación de la relación entre los índices WQI e ICA para puntos de monitoreo de la RCHB-T 2018-2019
•Optimización del monitoreo de calidad del agua en el sector productivo-autolavados
•Evaluación del impacto de la industria de curtido de pieles del barrio San Benito en la calidad del agua del río Tunjuelo
•Informe de alcance del estado ambiental de los acuíferos con influencia en el perímetro urbano
•Estado de calidad ríos Torca, Salitre, Fucha y Tunjuelo
•Descripción y contexto de las cuencas hídricas del distrito capital
•Caracterización de usuarios proceso de establecimiento de metas
•Priorización de puntos de vertimiento
•Documentos técnicos y auto de inicio del proceso de establecimiento de metas de carga contaminante 2021-2025(https://www.ambientebogota.gov.co/es/web/sda/plan-quinquenal-2021-2025)</t>
  </si>
  <si>
    <t xml:space="preserve">Autorizaciones 
Se generaron 63 conceptos técnicos de seguimiento ambiental (62 permiso de vertimientos, 1 PMSV).
Se generaron 28 requerimientos de costos de operación.
Se generaron 44 conceptos técnicos de liquidación de cobro por seguimiento (42 Permiso de vertimientos, 2 de Plan de Saneamiento y Manejo de Vertimientos).
Se generaron 38 resoluciones de cobro por seguimiento a permiso de vertimientos.
Aguas Subterráneas
Se generaron 64 conceptos técnicos (CT) de seguimiento a 66 concesiones (66 puntos de agua). 2021
Se generaron 4 CT de seguimiento no incluidos meta 2021
Se generaron 50 requerimientos (Req) por concepto de seguimiento.
Se generó un requerimiento de cobro por seguimiento CT 2018
Se generaron 64 requerimientos de cobro que apunta a 66 puntos de agua para la vigencia 2021.
Se generaron 4 Req cobro no incluidos meta
Se generaron 64 Conceptos Técnico de cobro por seguimiento del año 2020 que le apuntan a 67 puntos.
Se generaron 64 resoluciones de cobro por seguimiento que apunta a 67 trámites del año 2020.
Se generaron 31 resoluciones de cobro por seguimiento que apunta a 36 trámites pendientes de años 2016 a
2019.
</t>
  </si>
  <si>
    <t xml:space="preserve">Durante la vigencia 2021, se realizó la formulación del Programa de Monitoreo para el 2021.
Se realizó la gestión contractual del proceso de licitación pública No.SDA-LP-03-2021, que derivó en la adjudicación del contrato SDA-20211379 del 2021 con objeto “Prestar los servicios para la toma de muestras y análisis en laboratorio para el monitoreo de calidad y cantidad del recurso hídrico de la ciudad de Bogotá y sus factores de impacto”, suscrito entre la SDA y la unión temporal (UT) PSL-ANQ. Se elaboró el plan de monitoreo de la calidad y cantidad del recurso hídrico de la ciudad de Bogotá y sus factores de impacto, para la vigencia 2021, además se desarrollaron las actividades para la aprobación del plan operativo de la UT.
Se implementaron mecanismos de captura, almacenamiento, consolidación y control de datos, que derivó en la emisión de 351 documentos técnicos y la elaboración de las bases con resultados de laboratorio de 616 muestras
Se ejecutó el monitoreo de 1378 puntos, de los cuales 576 muestras corresponden al componente de la Red de Calidad Hídrica de Bogotá, 657 muestras del Programa de Monitoreo de Afluentes y Efluentes, 70 de la Red de Monitoreo de Aguas Subterráneas y 75 de Humedales. Se revisaron y aprobaron 645 reportes de análisis de laboratorio.
Se desarrolló el seguimiento al Contrato de Compraventa SDA-20202467 para lo cual se adelantaron las capacitaciones del manejo de los equipos, la gestión para la entrega al almacén de la SDA y el trámite de liquidación y pago. Se realizaron los documentos técnicos  tendientes al proceso de acreditación en la matriz agua
Se realizó la gestión para la transmisión y la consolidación de la información registrada por los dispositivos de la Red de Aguas Subterráneas
Se estructuró el proyecto de compra de soluciones y materiales de laboratorio que derivó en la evaluación y adjudicación del contrato de compraventa No. SDA-20211745
</t>
  </si>
  <si>
    <t>Se encuentra pendiente la revisión, validación y aprobación de algunos reportes de análisis de laboratorio.</t>
  </si>
  <si>
    <t xml:space="preserve">Durante la vigencia 2021 se realizó el análisis matemático y estadístico de los resultados obtenidos de monitoreo ambiental, en función de la dinámica y la variabilidad de los factores de impacto del recurso hídrico, para determinar el universo de usuarios priorizados para el desarrollo de acciones de control, evaluación y seguimiento, establecer indicadores de ciudad relacionados con observatorios distritales y regionales, el programa Bogotá como vamos y el Acuerdo 067 de 2002, definición de las acciones y actividades para la implementación y optimización de un monitoreo periódico y el diseño y la estructuración para la elaboración de documentos para la planificación del recurso hídrico.
Se realizó la formulación del Programa de monitoreo, evaluación, control y seguimiento ambiental sobre el recurso hídrico del Distrito Capital para el año 2021 para el establecimiento de los objetivos de calidad y la meta de carga contaminante para el periodo 2021-2025, se realizó seguimiento a 131 usuarios que generan vertimientos a las fuentes superficiales y se elaboraron y/o actualizaron 1407 fichas para los puntos de vertimiento. Se emitieron los informes relacionados con la Implementación de la Tasa Retributiva y los documentos técnicos y jurídicos del proceso de establecimiento de metas de carga contaminante 2021-2025. Se elaboraron documentos relacionados con el estado de la calidad del recurso hídrico de Bogotá, la evaluación de los factores de impacto 2021, articulación de acciones con el POMCA y sentencia Río Bogotá, y la evaluación ambiental de los acuíferos la evaluación a la solicitud de modificación del Plan de Saneamiento y Manejo de Vertimientos.
Se realizó la integración de lineamientos para la consolidación del Programa de Monitoreo Evaluación, Control y Seguimiento ambiental por medio de la emisión del informe técnico No. 06504 del 31 de diciembre del 2021 “Integración de lineamientos técnicos para la gestión integral del recurso hídrico para el año 2022”.
</t>
  </si>
  <si>
    <t>En el marco de las acciones asociadas al indicador “Kilómetros de río con calidad aceptable, buena o excelente en el Distrito Capital”, el avance acumulado al Plan de Desarrollo es 26,95 kilómetros, como se detalla a continuación:
Para el cierre de la vigencia 2020 la longitud de kilómetros río con valores de WQI superiores o iguales a 65 unidades fue de 26.95 kilómetros. En términos generales los principales ríos de Bogotá presentan una evolución en la calidad del agua, sin embargo, resulta fundamental para la ciudad y la región avanzar en la planificación, la generación de conocimiento, la gestión de la información, la gobernabilidad y la apropiación del recurso hídrico como eje estructural de la sociedad, para que exista una mejora significativa en las condiciones de calidad de los ríos urbanos. Además, continuar fortaleciendo los procesos de monitoreo, evaluación, control y seguimiento como un ejercicio dinámico por medio de la intervención sistemática sobre los factores de impacto al recurso.
Se tiene que para el periodo 2020-II-2021-II la longitud de kilómetros río con valores de WQI superiores o iguales a 65 unidades se mantuvo en la misma cantidad, es decir 26.95 km. Respecto al periodo establecido como línea base se mantiene el incremento de 4.1 km reportado en el 2020.</t>
  </si>
  <si>
    <t>Se presenta retraso en la evaluación de 20 de las caracterizaciones definidas para la vigencia 2021 ya que ha sido necesario verificar la información remitida por los usuarios con los laboratorios, para validar las acciones requeridas.</t>
  </si>
  <si>
    <t>Se han programado 68 actuaciones técnicas relacionadas con las acciones de control sobre las concentraciones límites máximas establecidas en los vertimientos a la red de alcantarillado público de la ciudad.</t>
  </si>
  <si>
    <t>Se han programado 20 actuaciones técnicas relacionada con las acciones de control sobre las concentraciones límites máximas establecidas en los vertimientos a la red de alcantarillado público de la ciudad</t>
  </si>
  <si>
    <t>Se han programado 24 actuaciones técnicas relacionadas con las acciones de control sobre las concentraciones límites máximas establecidas en los vertimientos a la red de alcantarillado público de la ciudad.</t>
  </si>
  <si>
    <t>Se han programado 112 actuaciones técnicas relacionadas con las acciones de control sobre las concentraciones límites máximas establecidas en los vertimientos a la red de alcantarillado público de la ciudad.</t>
  </si>
  <si>
    <t>Se han programado 53 actuaciones técnicas relacionadas con las acciones de control sobre las concentraciones límites máximas establecidas en los vertimientos a la red de alcantarillado público de la ciudad.</t>
  </si>
  <si>
    <t>Se han programado 7 actuaciones técnicas relacionadas con las acciones de control sobre las concentraciones límites máximas establecidas en los vertimientos a la red de alcantarillado público de la ciudad.</t>
  </si>
  <si>
    <t>RECURSOS RESERVA:
Durante el mes de enero del año 2021, se orientó y realizó el ejercicio de elaboración y planificación en el marco de la formulación del programa de monitoreo, evaluación, control y seguimiento ambiental sobre el recurso hídrico del Distrito Capital, mediante informe técnico No. 00176, radicado No. 2021IE17843; Así mismo, se realizó la evaluación de 29 conceptos técnicos pendientes del programa establecido para el año 2020.
En cumplimiento a lo establecido en el Decreto 1076 del 2015, y en atención a las actividades misionales del grupo alcantarillado técnico, durante el mes de enero del 2021, se atendieron un total de 51 derechos de petición. 
Con los recursos de la reserva se impulsaron 27 actuaciones jurídicas de las cuales 1 corresponde a atención a un derecho de petición y 26 a autos de impulso sancionatorio.
RECURSOS VIGENCIA:
Durante el periodo comprendido entre febrero a diciembre del año 2021 se realizó la evaluación de 686 conceptos e informes técnicos, requerimientos, oficios y memorandos de las caracterizaciones definidas para el grupo de alcantarillado y 203 caracterizaciones con su respectivo concepto e informe técnico, evaluadas por el grupo de hidrocarburos; se han realizado entonces un total de 889 actuaciones técnicas.
En cumplimiento a lo establecido en el Decreto 1076 del 2015, y en atención a las actividades misionales del grupo alcantarillado técnico, durante febrero a diciembre del 2021, se han atendido 481 derechos de petición.
En lo que respecta a las actuaciones desarrolladas por el grupo jurídico se impulsaron 118 actuaciones sancionatorias, se archivaron 20 expedientes y se han atendido 5 derechos de petición.</t>
  </si>
  <si>
    <t>Se han programado 67 actuaciones técnicas relacionadas con las acciones de control sobre las concentraciones límites máximas establecidas en los vertimientos a la red de alcantarillado público de la ciudad.</t>
  </si>
  <si>
    <t>Se han programado 122 actuaciones técnicas relacionadas con las acciones de control sobre las concentraciones límites máximas establecidas en los vertimientos a la red de alcantarillado público de la ciudad.</t>
  </si>
  <si>
    <t>Se han programado 168 actuaciones técnicas relacionadas con las acciones de control sobre las concentraciones límites máximas establecidas en los vertimientos a la red de alcantarillado público de la ciudad.</t>
  </si>
  <si>
    <t>Se han programado 48 actuaciones técnicas relacionada con las acciones de control sobre las concentraciones límites máximas establecidas en los vertimientos a la red de alcantarillado público de la ciudad</t>
  </si>
  <si>
    <t>Se han programado 23 actuaciones técnicas relacionadas con las acciones de control sobre las concentraciones límites máximas establecidas en los vertimientos a la red de alcantarillado público de la ciudad.</t>
  </si>
  <si>
    <t>Se han programado 16 actuaciones técnicas relacionadas con las acciones de control sobre las concentraciones límites máximas establecidas en los vertimientos a la red de alcantarillado público de la ciudad.</t>
  </si>
  <si>
    <t>Se han programado 16 actuaciones técnicas relacionada con las acciones de control sobre las concentraciones límites máximas establecidas en los vertimientos a la red de alcantarillado público de la ciudad</t>
  </si>
  <si>
    <t>Se han programado 29 actuaciones técnicas en la territorialización especial de la reserva  y 29 con recursos de la vigencia, todas ellas en relación con las acciones de control sobre las concentraciones límites máximas establecidas en los vertimientos a la red de alcantarillado público de la ciudad. La diferencia entre el valor inicialmente programado y los valores actuales  se generan debido a la redistribución de los recursos en las localidades donde se han ejecutado las acciones.</t>
  </si>
  <si>
    <t>Durante el periodo comprendido entre enero y diciembre del año 2021 se han atendido un total de 918 actuaciones técnicas relacionadas con las acciones de control sobre las concentraciones límites máximas establecidas en los vertimientos a la red de alcantarillado público de la ciudad.
RECURSOS RESERVAS
Durante el mes de enero del año 2021, se realizó la evaluación de veintinueve (29) conceptos técnicos pendientes del programa establecido para el año 2020.
RECURSOS VIGENCIA
Durante el periodo comprendido entre febrero y diciembre del año 2021 se realizaron 686 conceptos e informes técnicos, requerimientos, oficios y memorandos producto de la evaluación a las caracterizaciones definidas para el grupo de alcantarillado y 203 caracterizaciones con su respectivo concepto e informe técnico, evaluadas por el grupo de hidrocarburos; se han realizado entonces un total de 889 actuaciones técnicas relacionadas con las acciones de control sobre las concentraciones límites máximas establecidas en los vertimientos a la red de alcantarillado público de la ciudad.
Durante el mes de enero del 2022, se realizará la evaluación de las caracterizaciones pendientes.
El universo de esta meta fue ajustado de 891 a 909 según radicado No.2021IE215199. Se presenta atraso en la evaluación de 20 de las caracterizaciones definidas para la vigencia 2021.</t>
  </si>
  <si>
    <t>Se han realizado 68 actuaciones técnicas relacionadas con las acciones de control sobre las concentraciones límites máximas establecidas en los vertimientos a la red de alcantarillado público de la ciudad.</t>
  </si>
  <si>
    <t>Se han realizado 20 actuaciones técnicas relacionada con las acciones de control sobre las concentraciones límites máximas establecidas en los vertimientos a la red de alcantarillado público de la ciudad</t>
  </si>
  <si>
    <t>Se han realizado 16 actuaciones técnicas relacionadas con las acciones de control sobre las concentraciones límites máximas establecidas en los vertimientos a la red de alcantarillado público de la ciudad.</t>
  </si>
  <si>
    <t>Se han realizado 16 actuaciones técnicas relacionada con las acciones de control sobre las concentraciones límites máximas establecidas en los vertimientos a la red de alcantarillado público de la ciudad</t>
  </si>
  <si>
    <t>Se han realizado 67 actuaciones técnicas relacionadas con las acciones de control sobre las concentraciones límites máximas establecidas en los vertimientos a la red de alcantarillado público de la ciudad.</t>
  </si>
  <si>
    <t>Se han realizado 122 actuaciones técnicas relacionadas con las acciones de control sobre las concentraciones límites máximas establecidas en los vertimientos a la red de alcantarillado público de la ciudad.</t>
  </si>
  <si>
    <t>Se han realizado 24 actuaciones técnicas relacionadas con las acciones de control sobre las concentraciones límites máximas establecidas en los vertimientos a la red de alcantarillado público de la ciudad.</t>
  </si>
  <si>
    <t>Se han realizado 168 actuaciones técnicas relacionadas con las acciones de control sobre las concentraciones límites máximas establecidas en los vertimientos a la red de alcantarillado público de la ciudad.</t>
  </si>
  <si>
    <t>Se han realizado 13 actuaciones técnicas relacionada con las acciones de control sobre las concentraciones límites máximas establecidas en los vertimientos a la red de alcantarillado público de la ciudad</t>
  </si>
  <si>
    <t>Se han realizado 7 actuaciones técnicas relacionadas con las acciones de control sobre las concentraciones límites máximas establecidas en los vertimientos a la red de alcantarillado público de la ciudad</t>
  </si>
  <si>
    <t>Se han realizado 48 actuaciones técnicas relacionada con las acciones de control sobre las concentraciones límites máximas establecidas en los vertimientos a la red de alcantarillado público de la ciudad</t>
  </si>
  <si>
    <t>Se han realizado 23 actuaciones técnicas relacionadas con las acciones de control sobre las concentraciones límites máximas establecidas en los vertimientos a la red de alcantarillado público de la ciudad.</t>
  </si>
  <si>
    <t>Se han realizado 112 actuaciones técnicas relacionadas con las acciones de control sobre las concentraciones límites máximas establecidas en los vertimientos a la red de alcantarillado público de la ciudad.</t>
  </si>
  <si>
    <t>Se han realizado 53 actuaciones técnicas relacionadas con las acciones de control sobre las concentraciones límites máximas establecidas en los vertimientos a la red de alcantarillado público de la ciudad.</t>
  </si>
  <si>
    <t>Se han realizado 7 actuaciones técnicas relacionadas con las acciones de control sobre las concentraciones límites máximas establecidas en los vertimientos a la red de alcantarillado público de la ciudad.</t>
  </si>
  <si>
    <t>Se han realizado 29 actuaciones técnicas en la territorialización especial de la reserva  y 29 con recursos de la vigencia, todas ellas en relación con las acciones de control sobre las concentraciones límites máximas establecidas en los vertimientos a la red de alcantarillado público de la ciudad. La diferencia entre el valor inicialmente registrado y los valores actuales  se generan debido a la redistribución de los recursos en las localidades donde se han ejecutado las acciones.</t>
  </si>
  <si>
    <t>Se programaron 4 acciones de evaluación, control y seguimiento sobre los usuarios que generan afectación al recurso hídrico subterráneo y superficial y al suelo.</t>
  </si>
  <si>
    <t>Se programaron 15 acciones de evaluación, control y seguimiento sobre los usuarios que generan afectación al recurso hídrico subterráneo y superficial y al suelo.</t>
  </si>
  <si>
    <t>Se programaron 33 acciones de evaluación, control y seguimiento sobre los usuarios que generan afectación al recurso hídrico subterráneo y superficial y al suelo.</t>
  </si>
  <si>
    <t>Se programaron 27 acciones de evaluación, control y seguimiento sobre los usuarios que generan afectación al recurso hídrico subterráneo y superficial y al suelo.</t>
  </si>
  <si>
    <t>Se programaron 32 acciones de evaluación, control y seguimiento sobre los usuarios que generan afectación al recurso hídrico subterráneo y superficial y al suelo.</t>
  </si>
  <si>
    <t>Se programaron 44 acciones de evaluación, control y seguimiento sobre los usuarios que generan afectación al recurso hídrico subterráneo y superficial y al suelo.</t>
  </si>
  <si>
    <t>Se programaron 69 acciones de evaluación, control y seguimiento sobre los usuarios que generan afectación al recurso hídrico subterráneo y superficial y al suelo.</t>
  </si>
  <si>
    <t>Se programaron 9 acciones de evaluación, control y seguimiento sobre los usuarios que generan afectación al recurso hídrico subterráneo y superficial y al suelo.</t>
  </si>
  <si>
    <t>Se programaron 70 acciones de evaluación, control y seguimiento sobre los usuarios que generan afectación al recurso hídrico subterráneo y superficial y al suelo.</t>
  </si>
  <si>
    <t>Se programo 1 acción de evaluación, control y seguimiento sobre los usuarios que generan afectación al recurso hídrico subterráneo y superficial y al suelo.</t>
  </si>
  <si>
    <t>Se programaron 805 acciones de evaluación, control y seguimiento sobre los usuarios que generan afectación al recurso hídrico subterráneo y superficial y al suelo.</t>
  </si>
  <si>
    <t>Se programaron 28 acciones de evaluación, control y seguimiento sobre los usuarios que generan afectación al recurso hídrico subterráneo y superficial y al suelo.</t>
  </si>
  <si>
    <t>Se programaron 30 acciones de evaluación, control y seguimiento sobre los usuarios que generan afectación al recurso hídrico subterráneo y superficial y al suelo.</t>
  </si>
  <si>
    <t>Se programaron 124 acciones de evaluación, control y seguimiento sobre los usuarios que generan afectación al recurso hídrico subterráneo y superficial y al suelo.</t>
  </si>
  <si>
    <t>Se programaron 47 acciones de evaluación, control y seguimiento sobre los usuarios que generan afectación al recurso hídrico subterráneo y superficial y al suelo.</t>
  </si>
  <si>
    <t>Se realizaron 4 acciones de evaluación, control y seguimiento sobre los usuarios que generan afectación al recurso hídrico subterráneo y superficial y al suelo.</t>
  </si>
  <si>
    <t>Se realizaron 15 acciones de evaluación, control y seguimiento sobre los usuarios que generan afectación al recurso hídrico subterráneo y superficial y al suelo.</t>
  </si>
  <si>
    <t>Se realizaron 33 acciones de evaluación, control y seguimiento sobre los usuarios que generan afectación al recurso hídrico subterráneo y superficial y al suelo.</t>
  </si>
  <si>
    <t>Se realizaron 27 acciones de evaluación, control y seguimiento sobre los usuarios que generan afectación al recurso hídrico subterráneo y superficial y al suelo.</t>
  </si>
  <si>
    <t>Se realizaron 32 acciones de evaluación, control y seguimiento sobre los usuarios que generan afectación al recurso hídrico subterráneo y superficial y al suelo.</t>
  </si>
  <si>
    <t>Se realizaron 44 acciones de evaluación, control y seguimiento sobre los usuarios que generan afectación al recurso hídrico subterráneo y superficial y al suelo.</t>
  </si>
  <si>
    <t>Se realizaron 69 acciones de evaluación, control y seguimiento sobre los usuarios que generan afectación al recurso hídrico subterráneo y superficial y al suelo.</t>
  </si>
  <si>
    <t>Se realizaron 9 acciones de evaluación, control y seguimiento sobre los usuarios que generan afectación al recurso hídrico subterráneo y superficial y al suelo.</t>
  </si>
  <si>
    <t>Se realizaron 70 acciones de evaluación, control y seguimiento sobre los usuarios que generan afectación al recurso hídrico subterráneo y superficial y al suelo.</t>
  </si>
  <si>
    <t>Se realizaron 805 acciones de evaluación, control y seguimiento sobre los usuarios que generan afectación al recurso hídrico subterráneo y superficial y al suelo.</t>
  </si>
  <si>
    <t>Se realizaron 28 acciones de evaluación, control y seguimiento sobre los usuarios que generan afectación al recurso hídrico subterráneo y superficial y al suelo.</t>
  </si>
  <si>
    <t>Se realizaron 30 acciones de evaluación, control y seguimiento sobre los usuarios que generan afectación al recurso hídrico subterráneo y superficial y al suelo.</t>
  </si>
  <si>
    <t>Se realizaron 124 acciones de evaluación, control y seguimiento sobre los usuarios que generan afectación al recurso hídrico subterráneo y superficial y al suelo.</t>
  </si>
  <si>
    <t>Se realizaron 47 acciones de evaluación, control y seguimiento sobre los usuarios que generan afectación al recurso hídrico subterráneo y superficial y al suelo.</t>
  </si>
  <si>
    <t>Se realizaron 536 acciones de evaluación, control y seguimiento sobre los usuarios que generan afectación al recurso hídrico subterráneo y superficial y al suelo con cargo a los recursos de la vigencia y todas las acciones definidas con cargo a los recursos de la reserva.</t>
  </si>
  <si>
    <t>Se programaron 538 acciones de evaluación, control y seguimiento sobre los usuarios que generan afectación al recurso hídrico subterráneo y superficial y al suelo con cargo a los recursos de la vigencia y todas las acciones definidas con cargo a los recursos de la reserva.</t>
  </si>
  <si>
    <t>RESTREPO
CIUDAD JARDIN</t>
  </si>
  <si>
    <t>CIUDAD BERNA
CIUDAD JARDIN DEL SUR
SAN ANTONIO
SANTANDER
URBANIZACION LA FRAGUA
URBANIZACION LA FRAGUITA
URBANIZACION SANTANDER
VILLA MAYOR</t>
  </si>
  <si>
    <t>25,25 HAS</t>
  </si>
  <si>
    <t>ALCAZARES NORTE
BAQUERO
BARRIO BENJAMIN HERRERA
BARRIO EL ROSARIO
BARRIO GONZALEZ GOODING
BARRIO URIBE URIBE
CENTRO COMERCIAL 98
COLOMBIA
GAITAN BARRIO
LA AURORA
LA CASTELLANA
LA ESPERANZA
LA PATRIA
LA VIRGINIA
MUEQUETA
RAFAEL URIBE
SAN FERNANDO OCCIDENTAL
URBANIZACION ASTURIAS
URBANIZACION ENTRERRIOS ZONA INDUSTRIAL
URBANIZACION GAITAN
URBANIZACION LA CASTELLANA OCCIDENTAL
URBANIZACION LA MERCED
URBANIZACION LOS ALCAZARES
URBANIZACION POLO CLUB
URBANIZACION POLONESA BARRIO POLO CLUB
URBANIZACION RIONEGRO
URBANIZACION SAN MIGUEL
URBANIZACION SAN MIGUEL BARRIO POLO CLUB
URBANIZACION SANTA SOFIA
URBANIZACION VIZCAYA</t>
  </si>
  <si>
    <t>5,13 HAS</t>
  </si>
  <si>
    <t>ANDALUCIA II
BARRIO BRASILL II SECTOR
BRASIL LOPEZ Y PIÑEROS
CEMENTERIO JARDINES APOGEO
GARRANCHAL
LA CRUZ DE TERREROS
LA RIVIERA
NICOLAS ESCOBAR
PANACO-INDEGA
SANTIAGO DE LAS ATALAYAS
URBANIZACION BETANIA
URBANIZACION CLARELANDIA DEL SUR
VILLA SONIA II SECTOR</t>
  </si>
  <si>
    <t>15,58 HAS</t>
  </si>
  <si>
    <t>BARRIO EL ESPARTILLAL
BARRIO LA PORCIUNCULA
BARRIO MARLY
BARRIO QUINTA CAMACHO
BARRIO SUCRE
LAGO DE CHAPINERO
LAGO GAITAN
MARLY
MINERVA
URBANIZACION CHICO NORTE</t>
  </si>
  <si>
    <t>2,59 HAS</t>
  </si>
  <si>
    <t>ATLANTA INDUSTRIAL
BARRIO RAFAEL ESCAMILLA
CASA DE TEJA
DESARROLLO PORVENIR ZONA C
ESTACION DE SERVICIO MAKRO SUR
LA CORUNA
PERDOMO ALTO
RINCON DE LA VALVANERA
URBANIZACION VILLA DEL RIO</t>
  </si>
  <si>
    <t>19,83 HAS</t>
  </si>
  <si>
    <t>ALAMOS
BOYACA REAL
ENGATIVA
GARCES NAVAS
LAS FERIAS
MINUTO DE DIOS
SANTA CECILIA</t>
  </si>
  <si>
    <t>ALAMOS NORTE SECTOR INDUSTRIAL
BARRIO BELLAVISTA OCCIDENTAL
BARRIO EL REAL
BOYACA
CIUDADELA INDUSTRIAL EL DORADO
EL DORADO NORTE
EL ENCANTO
EL LAUREL
ENGATIVA ZONA URBANA
EXITO
FLORIDA BLANCA II SECTOR II ETAPA
LA CONSOLACION
LA EUROPA
LA FLORIDA
LA GRANJA EL CARMEN
LA RELIQUIA
LAS FERIAS
LOS ALAMOS
LOS ANGELES
LOS MONJES
LOS PINOS FLORENCIA
MAKRO
NORMANDIA I SECTOR
NORMANDIA IV SECTOR
PORTAL DE LOS ALAMOS
PROTELA
SAN IGNACIO
SANTA MONICA
TIERRA GRATA
TORQUIGUA, SAN JOSE CENTRO, PUERTA DEL SOL, LA ESP
TRES REYES I ETAPA
URBANIZACION INDUSTRIAL PARAVAS
VILLA GLADYS
VILLA GLADYS SEC. LA MANZANA
VILLA GLADYS SEC. SAN LUIS</t>
  </si>
  <si>
    <t>54,66 HAS</t>
  </si>
  <si>
    <t>CAPELLANIA
CIUDAD SALITRE OCCIDENTAL
FONTIBON
FONTIBON SAN PABLO
GRANJAS DE TECHO
MODELIA
ZONA FRANCA</t>
  </si>
  <si>
    <t>BARRIO EL CHARCO I
BARRIO EL VERGEL
BARRIO FERROCAJA
BARRIO FRANCO
BARRIO GRANJAS DE TECHO
BARRIO LA CABAÑA FONTIBON
BARRIO SAN PABLO JERICO
BARRIO SANTA CECILIA
BARRIO VERSALLES
BELEN FONTIBON
BENSUPRIN
BRISAS ALDEA FONTIBON
CENTRO FONTIBON
CIUDAD AYUELOS ETAPAS II, III, IV, Y V
CIUDAD HAYUELOS
CIUDAD SALITRE SPMZ I 16-17-22-23
CUNDINAMARCA
DIANA  (ENVASES)
EL CARMEN FONTIBON
EL CHANCO RURAL II
EL REFUGIO LA ZELFITA
EL TINTAL CENTRAL
FLANDES
FRANCO
GRANJAS DE TECHO
LA FELICIDAD
MONTEVIDEO
OSTENDE
PARQUE INDUSTRIAL
PUERTA DE TEJA
SAN JOSE DE FONTIBON
SAN PABLO JERICO
SANTA CECILIA
TERMINAL DE TRANSPORTES S.A.
URBANIZACION CENTRO INDUSTRIAL LA RABIDA
URBANIZACION INDUSTRIAL MONTEVIDEO
URBANIZACION INDUSTRIALURAPANES
URBANIZACION LA ESSPERANZA
URBANIZACION LAS FLORES
URBANIZACION SANTA MARIA
URBANIZACION VILLA DEL PINAR
URBANIZACION VILLEMAR
URBANIZACION VISION DE COLOMBIA
VERSALLES FONTIBON
VILLA ELVIRA
ZONA FRANCA</t>
  </si>
  <si>
    <t>237,68 HAS</t>
  </si>
  <si>
    <t>AMERICAS
BAVARIA
CARVAJAL
CASTILLA
CORABASTOS
GRAN BRITALIA
GRANJAS DE TECHO
KENNEDY CENTRAL
TIMIZA
TINTAL NORTE</t>
  </si>
  <si>
    <t>ALMACEN EXITO
ALQUERIA LA FRAGUA II
ALQUERIAS DE LA FRAGUA
BARRIO CLASS
BARRIO HIPOTECHO OCCIDENTAL
CATALINA
CIUDAD KENNEDY CENTRO CIVICO D.L.F.
COOPERATIVA DE SUB-OFICIALES
CORABASTOS
CUARTILLO DE QUESO
DESARROLLO NUEVA YORK
EL PLACER
EL TRIANGULO
ESTACION DE SERVICIO CONALMICROS
EXPERIMENTAL KENNEDY I ETAPA
GRAN BRITALIA
LA LLANURA AVENIDA PRIMERO DE MAYO
LA MARIA
LAS DELICIAS
LLANO GRANDE
LUSITANIA
MARIA PAZ
NUEVO KENNEDY
NUEVO TECHO
PLAZA DE LAS AMERICAS
PROVIVIENDA
PROVIVIENDA OCCIDENTAL
PROVIVIENDA ORIENTAL
SAN JOSE OCCIDENTAL
URBANIZACION ALQUERIA LA FRAGUA
URBANIZACION CARVAJAL
URBANIZACION CIUDAD KENNEDY SPMZ 1
URBANIZACION CIUDAD KENNEDY SPMZ 8
URBANIZACION EL RINCON DE LOS ANGELES
URBANIZACION LA CHUCUA
URBANIZACION PIO XII
URBANIZACION RECODO Y PETALUMA (SECTOR INDUSTRIAL)
URBANIZACION VILLA CLAUDIA UNIDAD RESIDENCIAL
VEREDA EL TINTAL
VILLA ALSACIA
VILLA ALSACIA SECTOR A</t>
  </si>
  <si>
    <t>81,50 HAS</t>
  </si>
  <si>
    <t>BARRIO LA FAVORITA
BARRIO LA FLORIDA SECTOR I
EL LISTON
EL PROGRESO
EL VERGEL
LA ESTANZUELA
LA FAVORITA
PALOQUEMAO
RICAURTE
SAMPER MENDOZA
SANTA ISABEL
SANTA ISABEL V SECTOR I Y II ETAPA URBANIZACION
TIVOLI URBANIZACION
URBANIZACION CENTRAL</t>
  </si>
  <si>
    <t>8,43 HAS</t>
  </si>
  <si>
    <t>AMPARO DE NIÑOS
BARRIO LA PRADERA NORTE
BARRIO PRADO SUR
BARRIO SALAZAR GOMEZ
CENTRO INDUSTRIAL
COMPAÑIA DE INVERSIONES BOGOTA
COMUNEROS
CUNDINAMARCA
DESARROLLO INDUSTRIAL PHILIPS
EL EJIDO
EL PORTAL DEL CASTILLO
ESTACION CENTRAL
GORGONZOLA
INDUSTRIAL CENTENARIO
INDUSTRIAL CENTENARIO II SECTOR
LA TRINIDAD
LOS EJIDOS
ORTEZAL
PENSILVANIA
PUENTE ARANDA
RICAURTE OCCIDENTAL
SALAZAR GOMEZ
SAN RAFAEL INDUSTRIAL
URBANIZACION CARABELAS
URBANIZACION CENTRO INDUSTRIAL
URBANIZACION DORCO
URBANIZACION EL BOLSILLOS
URBANIZACION ICOAUTOS
URBANIZACION INDUSTRIAL
URBANIZACION INDUSTRIAL EL PARAISO
URBANIZACION INDUSTRIAL LA LEGUA
URBANIZACION INDUSTRIAL PENSILVANIA
URBANIZACION LA ASUNCION
URBANIZACION LOS EJIDOS
URBANIZACION MOSERRATE
URBANIZACION ORTEZAL
URBANIZACION PUENTE ARANDA
URBANIZACION SAN RAFAEL OBRERO
URBANIZACION SANTA URSULA
VERAGUAS CENTRAL IV SECTOR</t>
  </si>
  <si>
    <t>62,90 HAS</t>
  </si>
  <si>
    <t>QUIROGA
SAN JOSE</t>
  </si>
  <si>
    <t>BARRIO INGLES
BARRIO SANTA LUCIA O SAMORE
SANTA LUCIA
SANTIAGO PEREZ
URBANIZACION FUCHA
URBANIZACION SANTA LUCIA
URBANIZACIONES UJUETA</t>
  </si>
  <si>
    <t>1,19 HAS</t>
  </si>
  <si>
    <t>LA GLORIA</t>
  </si>
  <si>
    <t>SAN JOSE SUR ORIENTAL</t>
  </si>
  <si>
    <t>0,07 HAS</t>
  </si>
  <si>
    <t>LA MACARENA
LAS CRUCES
LAS NIEVES
LOURDES
SAGRADO CORAZON</t>
  </si>
  <si>
    <t>BARRIO LAS CRUCES
BARRIO LAS NIEVES
BARRIO SAMPER
EL GUAVIO
LAS AGUAS
PARQUE CENTRAL BAVARIA</t>
  </si>
  <si>
    <t>0,95 HAS</t>
  </si>
  <si>
    <t>BRITALIA
CASA BLANCA SUBA
EL PRADO
EL RINCON
LA ALHAMBRA
LA FLORESTA
NIZA
SAN JOSE DE BAVARIA
SUBA
TIBABUYES</t>
  </si>
  <si>
    <t>BARRIO ALTOS DE CHOZICA
BARRIO BRITALIA
BARRIO CLUB DE LOS LAGARTOS
BARRIO PRADO VERANIEGO NORTE
BATAN
BOSQUE DE LOS LAGARTOS
BRITALIA
CARREFOUR 170
CENTRO COMERCIAL BCH NIZA
CENTRO COMERCIAL DESARROLLO URBANISTICO
CONJUNTO RESIDENCIAL CAMINOS DE ALTANIA
CONSTRUCTORA BOLIVAR OFICINAS
DESARROLLO PRADO PINZON
DESARROLLO TIBABUYES II SECTOR
ESTACION DE SERVICIOS LOS LAGARTOS
GRANADA NORTE
JAVA I SECTOR
JAVA II SECTOR
LA MARIA
LA VICTORIA NORTE
LAS FLORES I SECTOR
PASADENA
PORTOALEGRE
PRADO VERANIEGO
PREDIO CERAMICAS CAPITALINA LTDA
SALITRE SUBA
URBANIZACION EL PINAR LA FRAGUA I ETAPA
URBANIZACION LA ESTRELLA
URBANIZACION LA SIRENA
URBANIZACION PARQUE INDUSTRIAL VILLA CONCHA
URBANIZACION PASADENA</t>
  </si>
  <si>
    <t>44,80 HAS</t>
  </si>
  <si>
    <t>CIUDAD SALITRE ORIENTAL
GALERIAS
QUINTA PAREDES
TEUSAQUILLO</t>
  </si>
  <si>
    <t>CENTRO ADMINISTRATIVO DE CUNDINAMARCA
CENTRO COMERCIAL GALERIAS
CIUDAD SALITRE SPMZ 12-13-18
GRAN AMERICA
IMPERDI
LAS AMERICAS
PALERMO
QUINTA PAREDES
TEUSAQUILLO
URBANIZACION LA GRAN AMERICA
URBANIZACION LA SOLEDAD</t>
  </si>
  <si>
    <t>9,02 HAS</t>
  </si>
  <si>
    <t>BARRIO SAN BENITO
ISLA DEL SOL
MUZU
NUEVO MUZU I SECTOR
PREDIO DE LOS SEÑORES PARRA
SAN BENITO
SAN JOSE DE BOSA
TUNALITO
VENECIA OCCIDENTAL</t>
  </si>
  <si>
    <t>65,74 HAS</t>
  </si>
  <si>
    <t>COUNTRY CLUB
LA URIBE
LOS CEDROS
SAN CRISTOBAL NORTE
SANTA BARBARA
TOBERIN
USAQUEN
VERBENAL</t>
  </si>
  <si>
    <t>BARRIO ALTA BLANCA
BARRIO BARRANCAS II SECTOR
CHICO NAVARRA
CHICO NORTE II SECTOR
CONTADOR
DESARROLLO SAN JUAN BOSCO
EL  CEDRO (CEDRO MALL 156)
EL JARDIN
EL RECREO
EL TOBERIN
EL VERVENAL
FONTANA DE CAPRI
LA URIBE
LAS ORQUIDEAS
LOS CEDROS
MORAGA
SAN ANTONIO NORTE
SAN ANTONIO NORTE II SECTOR
URBANIZACION BELLA SUIZA
URBANIZACION BUENOS AIRES
URBANIZACION EL CEDRO
URBANIZACION LISBOA
URBANIZACION LOS CEDRITOS
URBANIZACION TOBERIN</t>
  </si>
  <si>
    <t>9,43 HAS</t>
  </si>
  <si>
    <t>ALFONSO LOPEZ
CIUDAD USME
COMUNEROS
GRAN YOMASA
PARQUE ENTRENUBES</t>
  </si>
  <si>
    <t>BARRIO CENTRO USME
DESARROLLO SANTA MARTA II SECTOR
EL NEVADO
LA MARICHUELA
PUERTA AL LLANO DE USME
SANTA LIBRADA</t>
  </si>
  <si>
    <t>18,73 HAS</t>
  </si>
  <si>
    <t>DOCE DE OCTUBRE
LOS ALCAZARES
LOS ANDES</t>
  </si>
  <si>
    <t>BARRIO BENJAMIN HERRERA
BARRIO GONZALEZ GOODING
BARRIO URIBE URIBE
COLOMBIA
GAITAN BARRIO
JORGE ELIECER GAITAN
LA CONCEPCION
LA MERCED NORTE
ONCE DE NOVIEMBRE
RAFAEL URIBE
URBANIZACION ENTRERRIOS
URBANIZACION LOS ALCAZARES
URBANIZACION SANTA SOFIA</t>
  </si>
  <si>
    <t>0,51 HAS</t>
  </si>
  <si>
    <t>ANDALUCIA II
BOSA
BOSA NOVA
CORREDOR FERREO DEL SUR
DESARROLLO ANTONIA SANTOS
DESARROLLO ARGELIA II
DESARROLLO CALDAS
EL DANUBIO AZUL
GARRANCHAL
GRANJA EL RINCONCITO
OLARTE
SABIO CALDAS, LOS EUCALIPTOS Y PASO ANCHO
URBANIZACION OLARTE
VEGAS DE SANTA ANA</t>
  </si>
  <si>
    <t>679,74 HAS</t>
  </si>
  <si>
    <t>BARRIO CHAPINERO CENTRAL
BARRIO CHICO NORTE III SECTOR
BARRIO LA PORCIUNCULA
BARRIO MARLY
CHICO RESERVADO I SECTOR
CHICO RESERVADO II SECTOR
LAGO GAITAN
SEMINARIO
URBANIZACION  CHICO CHICO
URBANIZACION ANTIGUO COUNTRY CLUB
URBANIZACION CHICO NORTE
URBANIZACION CHICO ORIENTAL
VISTA HERMOSA (EL LEON)</t>
  </si>
  <si>
    <t>40,60 HAS</t>
  </si>
  <si>
    <t>ARBORIZADORA
EL MOCHUELO
EL TESORO
ISMAEL PERDOMO
JERUSALEM</t>
  </si>
  <si>
    <t>ATLANTA
CENTRAL DE MEZCLAS
COLCURTIDOS S.A.
EL MINUTO DE MARIA
GALICIA
JERUSALEN
KRA 70 C NO.60B-03 SUR
PRICOMA
PRIMAVERA II
SAN ISISDRO SECTOR CARBONERAS</t>
  </si>
  <si>
    <t>31,09 HAS</t>
  </si>
  <si>
    <t>EL TESORO
ISMAEL PERDOMO
JERUSALEM</t>
  </si>
  <si>
    <t>ALAMOS
BOYACA REAL
ENGATIVA
JARDIN BOTANICO
LA FLORESTA
LAS FERIAS
MINUTO DE DIOS
SANTA CECILIA</t>
  </si>
  <si>
    <t>ANDALUCIA
BONANZA
CLUB DE LOS LAGARTOS
EL MINUTO DE DIOS
JARDIN BOTANICO
LA CABANA
LA FLORIDA
LA GRANJA EL CARMEN
LA TORTIGUA
LAS FERIAS
LOS LAURELES SABANAS DEL DORADO
MINUTO DE DIOS
NORMANDIA I SECTOR
NORMANDIA OCCIDENTAL
POLIDEPORTIVO EL SALITRE
SAN CAYETANA NORTE</t>
  </si>
  <si>
    <t>1062,15 HAS</t>
  </si>
  <si>
    <t>AEROPUERTO EL DORADO
ALAMOS
CAPELLANIA
FONTIBON
FONTIBON SAN PABLO
GRANJAS DE TECHO
MODELIA
ZONA FRANCA</t>
  </si>
  <si>
    <t>BARRIO CENTRO FONTIBON
BARRIO EL TINTAL CENTRAL
BARRIO FRANCO
BARRIO GRANJAS DE TECHO
BARRIO SANTA CECILIA
BELEN FONTIBON
BRISAS ALDEA FONTIBON
CENTRO FONTIBON
CENTRO INDUSTRIAL DE CONSTRUCCIONES
COLFRIGOS PREDIO
EL BOGOTANO II
EL CARMEN FONTIBON
EL TINTAL CENTRAL
EL VERGEL CHICO
FERROCAJA FONTIBON
GRANJAS DE TECHO
LOS ALAMOS
MONTEVIDEO
PUENTE GRANDE
PUERTA DE TEJA
SANTIAGO IV
URBANIZACION EL CARMEN
URBANIZACION INDUSTRIAL MONTEVIDEO
URBANIZACION LA COFRADIA II SECTOR
VILLA JUANA Y JUANITA</t>
  </si>
  <si>
    <t>88,19 HAS</t>
  </si>
  <si>
    <t>BAVARIA
CALANDAIMA
CARVAJAL
CASTILLA
CORABASTOS
GRAN BRITALIA
GRANJAS DE TECHO
KENNEDY CENTRAL
TIMIZA</t>
  </si>
  <si>
    <t>ALOHA SUR
BARRIO LAS DELICIAS
BOITA
DESARROLLO SAN CARLOS
FLORALIA
FONATON
LAS DELICIAS
LLANO GRANDE
MARIA PAZ
NUEVO TECHO
PREDIOS LOS PANTANOS
SECTOR INDUSTRIAL BAVARIA TECHO
URBANIZACION ALQUERIA LA FRAGUA
URBANIZACION CIUDAD KENNEDY SPMZ 9B
URBANIZACION EL CASTILLO
URBANIZACION PIO XII</t>
  </si>
  <si>
    <t>120,81 HAS</t>
  </si>
  <si>
    <t>1,68 HAS</t>
  </si>
  <si>
    <t>ANDALUCIA
CAMELIA SUR
CENTRO INDUSTRIAL
EL EJIDO
ESTACION CENTRAL
LA FLORIDA
LAS DELICIAS
LOS EJIDOS
ORTEZAL
PENSILVANIA
SALAZAR GOMEZ
SAN RAFAEL INDUSTRIAL
URBANIZACION DORCO
URBANIZACION INDUSTRIAL
URBANIZACION PUENTE ARANDA
URBANIZACION SANTA URSULA</t>
  </si>
  <si>
    <t>79,49 HAS</t>
  </si>
  <si>
    <t>LA MACARENA
LAS NIEVES
LOURDES</t>
  </si>
  <si>
    <t>BARRIO LA MACARENA
BARRIO LAS AGUAS
BARRIO LAS NIEVES
BARRIO SANTA INES
LA PERSEVERANCIA I
LAS AGUAS
LOURDES III</t>
  </si>
  <si>
    <t>0,74 HAS</t>
  </si>
  <si>
    <t>LOURDES</t>
  </si>
  <si>
    <t>BRITALIA
CASA BLANCA SUBA
EL PRADO
EL RINCON
GUAYMARAL
LA ACADEMIA
LA ALHAMBRA
LA FLORESTA
SAN JOSE DE BAVARIA
SUBA
TIBABUYES
UPR ZONA NORTE</t>
  </si>
  <si>
    <t>ALTOS DE CHOZICA
BARRIO TIBABUYES
BATAN
BOSQUES DE SAN JORGE
CANTAGALLO
CARMEL CLUB CAMPESTRE
CASABLANCA SUBA
CASABLANCA SUBA I
CASABLANCA SUBA URBANO
CASABLANCA SUBA URBANO I
CENTRAL DE MEZCLAS
COLEGIO AGUSTINIANO NORTE
DESARROLLO SANTA ROSA
EL DIAMANTE
FLORESTA NORTE III SECTOR (SAUCES II)
HACIENDA HATO CHICO
HACIENDA LA FLORESTA
HACIENDA SAN SIMON
LA LOMITA
LOTE EL RINCON
PARCELACION SAN JOSE
PREDIO LA SIRENA
PUENTE LARGO
SAN JOSE DE BAVARIA
SAN JOSE DE BAVARIA I, II, III Y IV SECTOR
URBANIZACION HACIENDA SAN SEBASTIAN
URBANIZACION LAS FLORES
URBANIZACION PARQUE COMERCIAL BIMA
URBANIZACION PONTEVEDRA I SECTOR
URBANIZACION TEHORLU
VALMARIA
VEREDA CASABLANCA SUBA
VEREDA LA CONEJERA
VEREDA SUBA CERROS II
VILLA DEL PRADO</t>
  </si>
  <si>
    <t>2873,85 HAS</t>
  </si>
  <si>
    <t>SUBA
EL RINCON
TIBABUYES</t>
  </si>
  <si>
    <t>ALFONSO LOPEZ
ARMENIA
BARRIO CHAPINERO SUR OCCIDENTAL
BARRIO LA ESTRELLA
CAMPO EUCARISTICO
CENTRO ADMINISTRATIVO - CAN
CENTRO ADMINISTRATIVO DISTRITAL (C.A.D.)
EL RECUERDO
GRAN AMERICA
ORTEZAL
URBANIZACION NICOLAS DE FEDERMAN I SECTOR</t>
  </si>
  <si>
    <t>627,31 HAS</t>
  </si>
  <si>
    <t>ISLA DEL SOL
PARQUE EL TUNAL
PREDIO PROPIEDAD DE ANTONIO PARRA
PRODER LTDA
SAN BENITO
URBANIZACION SANTA LUCIA
VENECIA OCCIDENTAL
VILLA MAYOR</t>
  </si>
  <si>
    <t>367,01 HAS</t>
  </si>
  <si>
    <t>BARRANCAS NORTE
BARRANCAS ORIENTAL RURAL
BARRIO TIBABITA
BOSQUE DE PINOS II
CANAIMA
CERROS NORTE
CLINICA DE REPOSO TATIANA
COUNTRY CLUB
EL CODITO
EL PEDREGAL
EL PINAR
EL TOBERIN
HACIENDA SORRENTO
LA FLORESTA AGUAS
LA GRANJA NORTE
LA PRADERA NORTE
LAS MARGARITAS
LAS ORQUIDEAS
NUEVA URBANIZACION SANTA BARBARA CENTRO COMERCIAL
NUEVA URBANIZACION SANTA BARBARA I SECTOR
SANTA ANA OCCIDENTAL
SANTA ANA ORIENTAL
SANTA BARBARA CENTRAL
SANTA TERESA
TERMINAL DE TRANSPORTES SALITRE DEL NORTE
TIBABITA
TIBABITA RURAL
TORCA I
URBANIZACION CALLE 170
URBANIZACION LISBOA
URBANIZACION LOS CEDRITOS
URBANIZACION TOBERIN
VERBENAL SAN ANTONIO
VILLA MAGDALA (VILLAS DE MAGDALA)</t>
  </si>
  <si>
    <t>1571,40 HAS</t>
  </si>
  <si>
    <t>ALFONSO LOPEZ
COMUNEROS
DANUBIO
EL MOCHUELO
GRAN YOMASA
LA FLORA
PARQUE ENTRENUBES
UPR RIO TUNJUELO</t>
  </si>
  <si>
    <t>BARRIO EL MOCHUELO ORIENTAL
BARRIO EL NEVADO
BARRIO FISCALA ALTA
BARRIO LAS VIOLETA
DESARROLLO MONTEBLANCO
DESARROLLO SANTA MARTA
EL MOCHUELO ORIENTAL
FINCA MONTEBLANCO
JUAN JOSE RONDON II
LA PICOTA
LADRILLERA SANTA FE
PARCELACION SAN PEDRO
PREDIO EL PINO
PUERTA AL LLANO DE USME
SANTA LIBRADA NORTE
TIHUAQUE
VEREDA EL MOCHUELO II
VILLA ALEMANA II SECTOR
VILLA DIANA
VILLAS DEL EDEN</t>
  </si>
  <si>
    <t>839,58 HAS</t>
  </si>
  <si>
    <t>ALFONSO LOPEZ
COMUNEROS
DANUBIO
GRAN YOMASA
LA FLORA</t>
  </si>
  <si>
    <t>CORTE A DICIEMBRE DEL 2021</t>
  </si>
  <si>
    <t>7, LOGROS CORTE A DICIEMBRE DEL AÑO 2021</t>
  </si>
  <si>
    <t>El valor reportado en la vigencia 2020 se mantuvo y no se presenta incremento para reportar en la vigencia 2021.</t>
  </si>
  <si>
    <t>Se realizó la integración de lineamientos para la consolidación del Programa de Monitoreo Evaluación, Control y Seguimiento ambiental por medio de la emisión del informe técnico No. 06504 del 31 de diciembre del 2021 “Integración de lineamientos técnicos para la gestión integral del recurso hídrico para el año 2022”.</t>
  </si>
  <si>
    <t xml:space="preserve">El avance acumulado al Plan de Desarrollo es 0,379 equivalente a 37,9% de los cuales 12% (0,12) corresponde al 2020 y 25,9% (0,259) al 2021.
Durante el segundo semestre del 2020 se realizó la formulación del programa de evaluación, control y seguimiento a usuarios del recurso hídrico superficial, subterráneo y de la red de alcantarillado del Distrito, según informe técnico (IT) No. 01294 del 31 de agosto/2020 y se realizó la implementación del programa.
Durante la vigencia 2021 se formuló el programa de monitoreo, evaluación, control y seguimiento ambiental sobre el recurso hídrico del D.C. para el año 2021, mediante IT No. 00176. 
Se desarrollaron 918 actuaciones técnicas relacionadas con  acciones de control sobre las concentraciones límites máximas establecidas en los vertimientos a la red de alcantarillado público de la ciudad. Se atendieron 532 derechos de petición sobre vertimientos a la red de alcantarillado público del Distrito Capital y 170 actuaciones de carácter jurídico.
En cuanto a las acciones de evaluación, control y seguimiento sobre los usuarios que generan afectación al recurso hídrico subterráneo y superficial y al suelo se han resuelto 74 solicitudes de permiso de vertimientos e impulsadas 137, se generaron 63 conceptos técnicos (CT) de seguimiento, 44 CT de liquidación, 38 resoluciones de cobro por seguimiento, 187 documentos que atienden PQRS y entes de control, 22 informes técnicos y 68 impulsos sancionatorios. Se han generado 64 CT de seguimiento a 66 puntos de agua, 31 resoluciones de cobro por seguimiento a 36 trámites, 64 requerimientos de seguimiento 2021, 64 CT de cobro por seguimiento a 67 puntos de agua subterránea. Se visitó y verificó 70 medidores y sus respectivos consumos, se han realizado 47 acompañamientos y se generaron 99 CT de control a 111 puntos de agua.
En cuanto a los monitoreos al recurso hídrico se inició la ejecución del contrato SDA-20211379 con objeto de "Prestar los servicios para la toma de muestras y análisis en laboratorio para el monitoreo de calidad y cantidad del recurso hídrico de la ciudad de Bogotá y sus factores de impacto", realizando el monitoreo de 1378 puntos, de los cuales 576 muestras corresponden al componente de la Red de Calidad Hídrica de Bogotá, 657 muestras hacen parte del Programa de Afluentes y Efluentes del Distrito Capital, 70 de la Red de Monitoreo de Aguas Subterráneas y 75 de Humedales, se realizó la revisión, validación y aprobación de 645 reportes de análisis de laboratorio.
En el marco del establecimiento de los objetivos de calidad y la meta de carga contaminante para el periodo 2021-2025, se realizó el seguimiento a usuarios que generan vertimientos a las fuentes superficiales del Distrito Capital y la elaboración y/o actualización de 1407 fichas para los puntos de vertimiento asociados con las cuencas de los ríos Tunjuelo, Salitre y Torca. Se emitieron los documentos técnicos y jurídicos del proceso de establecimiento de metas de carga contaminante 2021-2025.
</t>
  </si>
  <si>
    <t>Se presenta retraso en la evaluación de 20 de las caracterizaciones definidas para la vigencia 2021 ya que ha sido necesario verificar la información remitida por los usuarios con los laboratorios para validar las acciones requeridas, la generación de dos (2) informes y/o conceptos técnicos de seguimiento ambiental y en la revisión, validación y aprobación de los reportes de análisis de laboratorio generados en el mes de diciembre de 2021.</t>
  </si>
  <si>
    <t>No se presenta avance en el mejoramiento de la calidad hídrica frente a la vigencia 2020 debido a que la calidad de los kilometros de río depende de la dinámica productiva y del desarrollo de las actividades antrópicas, las cuales se han mantenido durante la vigencia 2020 y 2021.</t>
  </si>
  <si>
    <t>Se proyecta su cumplimiento como producto del desarrollo de las acciones de evaluación, control y seguimiento proyectadas para el periodo 2022 a 2024.</t>
  </si>
  <si>
    <t>1-USAQUEN</t>
  </si>
  <si>
    <t>77-ESPECIAL</t>
  </si>
  <si>
    <t>3-SANTAFE</t>
  </si>
  <si>
    <t>4-SAN CRISTOBAL</t>
  </si>
  <si>
    <t>5-USME</t>
  </si>
  <si>
    <t>6-TUNJUELITO</t>
  </si>
  <si>
    <t>7-BOSA</t>
  </si>
  <si>
    <t>8-KENNEDY</t>
  </si>
  <si>
    <t>9-FONTIBON</t>
  </si>
  <si>
    <t>10-ENGATIVA</t>
  </si>
  <si>
    <t>11-SUBA</t>
  </si>
  <si>
    <t>12-BARRIOS UNIDOS</t>
  </si>
  <si>
    <t>19-CIUDAD BOLIVAR</t>
  </si>
  <si>
    <t>13-TEUSAQUILLO</t>
  </si>
  <si>
    <t>14-LOS MARTIRES</t>
  </si>
  <si>
    <t>16-PUENTE ARANDA</t>
  </si>
  <si>
    <t>15-ANTONIO NARIÑO</t>
  </si>
  <si>
    <t>18-RAFAEL URIBE URIBE</t>
  </si>
  <si>
    <t>2-CHAPINERO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</si>
</sst>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42" formatCode="_-&quot;$&quot;\ * #,##0_-;\-&quot;$&quot;\ * #,##0_-;_-&quot;$&quot;\ * &quot;-&quot;_-;_-@_-"/>
    <numFmt numFmtId="44" formatCode="_-&quot;$&quot;\ * #,##0.00_-;\-&quot;$&quot;\ * #,##0.00_-;_-&quot;$&quot;\ * &quot;-&quot;??_-;_-@_-"/>
    <numFmt numFmtId="164" formatCode="&quot; &quot;#,##0&quot;   &quot;;&quot;-&quot;#,##0&quot;   &quot;;&quot; -&quot;00&quot;   &quot;;&quot; &quot;@&quot; &quot;"/>
    <numFmt numFmtId="165" formatCode="#,##0.0"/>
    <numFmt numFmtId="166" formatCode="&quot;$&quot;&quot; &quot;#,##0.00"/>
    <numFmt numFmtId="167" formatCode="#,##0;&quot;-&quot;#,##0"/>
    <numFmt numFmtId="168" formatCode="&quot; &quot;&quot;$&quot;&quot; &quot;#,##0&quot; &quot;;&quot;-&quot;&quot;$&quot;&quot; &quot;#,##0&quot; &quot;;&quot; &quot;&quot;$&quot;&quot; - &quot;;&quot; &quot;@&quot; &quot;"/>
    <numFmt numFmtId="169" formatCode="&quot;$&quot;&quot; &quot;#,##0"/>
    <numFmt numFmtId="170" formatCode="#,##0.0&quot; &quot;;&quot;-&quot;#,##0.0&quot; &quot;"/>
    <numFmt numFmtId="171" formatCode="&quot; &quot;[$$-240A]&quot; &quot;#,##0&quot; &quot;;&quot; &quot;[$$-240A]&quot; (&quot;#,##0&quot;)&quot;;&quot; &quot;[$$-240A]&quot; -&quot;00&quot; &quot;;&quot; &quot;@&quot; &quot;"/>
    <numFmt numFmtId="172" formatCode="&quot; &quot;#,##0.00&quot;   &quot;;&quot;-&quot;#,##0.00&quot;   &quot;;&quot; -&quot;00&quot;   &quot;;&quot; &quot;@&quot; &quot;"/>
    <numFmt numFmtId="173" formatCode="#,##0.00;&quot;-&quot;#,##0.00"/>
    <numFmt numFmtId="174" formatCode="0.0%"/>
    <numFmt numFmtId="175" formatCode="#,##0.00&quot; &quot;;&quot;-&quot;#,##0.00&quot; &quot;"/>
    <numFmt numFmtId="176" formatCode="&quot;$&quot;&quot; &quot;#,##0.00;[Red]&quot;-&quot;&quot;$&quot;&quot; &quot;#,##0.00"/>
    <numFmt numFmtId="177" formatCode="&quot; &quot;#,##0.00&quot; &quot;;&quot;-&quot;#,##0.00&quot; &quot;;&quot; -&quot;00&quot; &quot;;&quot; &quot;@&quot; &quot;"/>
    <numFmt numFmtId="178" formatCode="&quot;$&quot;#,##0;[Red]&quot;-&quot;&quot;$&quot;#,##0"/>
    <numFmt numFmtId="179" formatCode="&quot; &quot;#,##0&quot; &quot;;&quot;-&quot;#,##0&quot; &quot;;&quot; - &quot;;&quot; &quot;@&quot; &quot;"/>
    <numFmt numFmtId="180" formatCode="#,##0&quot; &quot;;&quot;-&quot;#,##0&quot; &quot;"/>
    <numFmt numFmtId="181" formatCode="#,##0.000"/>
    <numFmt numFmtId="182" formatCode="&quot; &quot;#,##0.00&quot; &quot;;&quot; -&quot;#,##0.00&quot; &quot;;&quot; -&quot;00&quot; &quot;;&quot; &quot;@&quot; &quot;"/>
    <numFmt numFmtId="183" formatCode="&quot; &quot;&quot;$&quot;&quot; &quot;#,##0.00&quot; &quot;;&quot; &quot;&quot;$&quot;&quot; (&quot;#,##0.00&quot;)&quot;;&quot; &quot;&quot;$&quot;&quot; -&quot;00&quot; &quot;;&quot; &quot;@&quot; &quot;"/>
    <numFmt numFmtId="184" formatCode="&quot; &quot;&quot;$&quot;&quot; &quot;#,##0&quot; &quot;;&quot; &quot;&quot;$&quot;&quot; (&quot;#,##0&quot;)&quot;;&quot; &quot;&quot;$&quot;&quot; - &quot;;&quot; &quot;@&quot; &quot;"/>
    <numFmt numFmtId="185" formatCode="d/mm/yyyy&quot; &quot;h&quot;:&quot;mm"/>
    <numFmt numFmtId="186" formatCode="#,##0.00&quot; €&quot;"/>
    <numFmt numFmtId="187" formatCode="&quot; &quot;#,##0.00&quot; &quot;;&quot; (&quot;#,##0.00&quot;)&quot;;&quot; -&quot;00&quot; &quot;;&quot; &quot;@&quot; &quot;"/>
    <numFmt numFmtId="188" formatCode="&quot; &quot;#,##0.00&quot; € &quot;;&quot;-&quot;#,##0.00&quot; € &quot;;&quot; -&quot;00&quot; € &quot;;&quot; &quot;@&quot; &quot;"/>
    <numFmt numFmtId="189" formatCode="&quot; &quot;&quot;$&quot;#,##0&quot; &quot;;&quot;-&quot;&quot;$&quot;#,##0&quot; &quot;;&quot; &quot;&quot;$&quot;&quot;- &quot;;&quot; &quot;@&quot; &quot;"/>
    <numFmt numFmtId="190" formatCode="&quot; &quot;&quot;$&quot;&quot; &quot;#,##0.00&quot; &quot;;&quot; &quot;&quot;$&quot;&quot; -&quot;#,##0.00&quot; &quot;;&quot; &quot;&quot;$&quot;&quot; -&quot;00&quot; &quot;;&quot; &quot;@&quot; &quot;"/>
    <numFmt numFmtId="191" formatCode="&quot; &quot;#,##0&quot; &quot;;&quot; -&quot;#,##0&quot; &quot;;&quot; -&quot;00&quot; &quot;;&quot; &quot;@&quot; &quot;"/>
    <numFmt numFmtId="192" formatCode="&quot; &quot;&quot;$&quot;#,##0.00&quot; &quot;;&quot;-&quot;&quot;$&quot;#,##0.00&quot; &quot;;&quot; &quot;&quot;$&quot;&quot;-&quot;00&quot; &quot;;&quot; &quot;@&quot; &quot;"/>
    <numFmt numFmtId="193" formatCode="&quot; &quot;&quot;$&quot;#,##0.00&quot; &quot;;&quot; &quot;&quot;$&quot;&quot;(&quot;#,##0.00&quot;)&quot;;&quot; &quot;&quot;$&quot;&quot;-&quot;00&quot; &quot;;&quot; &quot;@&quot; &quot;"/>
    <numFmt numFmtId="194" formatCode="&quot; &quot;&quot;$&quot;&quot; &quot;#,##0.00&quot; &quot;;&quot;-&quot;&quot;$&quot;&quot; &quot;#,##0.00&quot; &quot;;&quot; &quot;&quot;$&quot;&quot; -&quot;00&quot; &quot;;&quot; &quot;@&quot; &quot;"/>
    <numFmt numFmtId="195" formatCode="_-&quot;$&quot;\ * #,##0_-;\-&quot;$&quot;\ * #,##0_-;_-&quot;$&quot;\ * &quot;-&quot;??_-;_-@_-"/>
    <numFmt numFmtId="196" formatCode="#,##0.00_ ;\-#,##0.00\ "/>
    <numFmt numFmtId="197" formatCode="0.0000"/>
    <numFmt numFmtId="198" formatCode="#,##0.00000;\-#,##0.00000"/>
    <numFmt numFmtId="199" formatCode="#,##0.0000"/>
    <numFmt numFmtId="200" formatCode="#,##0.000;\-#,##0.000"/>
    <numFmt numFmtId="201" formatCode="#,##0.0000;\-#,##0.0000"/>
  </numFmts>
  <fonts count="90" x14ac:knownFonts="1">
    <font>
      <sz val="11"/>
      <color rgb="FF000000"/>
      <name val="Calibri"/>
      <family val="2"/>
    </font>
    <font>
      <b/>
      <sz val="20"/>
      <color indexed="8"/>
      <name val="Arial"/>
      <family val="2"/>
    </font>
    <font>
      <b/>
      <sz val="14"/>
      <color indexed="8"/>
      <name val="Arial"/>
      <family val="2"/>
    </font>
    <font>
      <b/>
      <sz val="9"/>
      <color indexed="8"/>
      <name val="Tahoma"/>
      <family val="2"/>
    </font>
    <font>
      <sz val="9"/>
      <color indexed="8"/>
      <name val="Tahoma"/>
      <family val="2"/>
    </font>
    <font>
      <b/>
      <sz val="16"/>
      <color indexed="8"/>
      <name val="Arial"/>
      <family val="2"/>
    </font>
    <font>
      <b/>
      <sz val="12"/>
      <color indexed="8"/>
      <name val="Arial"/>
      <family val="2"/>
    </font>
    <font>
      <sz val="12"/>
      <color indexed="8"/>
      <name val="Arial"/>
      <family val="2"/>
    </font>
    <font>
      <sz val="14"/>
      <color indexed="8"/>
      <name val="Arial"/>
      <family val="2"/>
    </font>
    <font>
      <b/>
      <sz val="20"/>
      <color indexed="10"/>
      <name val="Arial"/>
      <family val="2"/>
    </font>
    <font>
      <sz val="11"/>
      <color rgb="FF000000"/>
      <name val="Calibri"/>
      <family val="2"/>
    </font>
    <font>
      <sz val="11"/>
      <color rgb="FFFFFFFF"/>
      <name val="Calibri"/>
      <family val="2"/>
    </font>
    <font>
      <sz val="10"/>
      <color rgb="FF000000"/>
      <name val="Verdana"/>
      <family val="2"/>
    </font>
    <font>
      <b/>
      <sz val="10"/>
      <color rgb="FF000000"/>
      <name val="Verdana"/>
      <family val="2"/>
    </font>
    <font>
      <sz val="12"/>
      <color rgb="FFFFFFFF"/>
      <name val="Calibri"/>
      <family val="2"/>
    </font>
    <font>
      <sz val="11"/>
      <color rgb="FF9C6500"/>
      <name val="Calibri"/>
      <family val="2"/>
    </font>
    <font>
      <sz val="10"/>
      <color rgb="FF000000"/>
      <name val="Arial"/>
      <family val="2"/>
    </font>
    <font>
      <sz val="12"/>
      <color rgb="FF000000"/>
      <name val="Calibri"/>
      <family val="2"/>
    </font>
    <font>
      <sz val="11"/>
      <color rgb="FF000000"/>
      <name val="Arial"/>
      <family val="2"/>
    </font>
    <font>
      <sz val="24"/>
      <color rgb="FF000000"/>
      <name val="Calibri"/>
      <family val="2"/>
    </font>
    <font>
      <sz val="20"/>
      <color rgb="FF000000"/>
      <name val="Calibri"/>
      <family val="2"/>
    </font>
    <font>
      <b/>
      <sz val="14"/>
      <color rgb="FF000000"/>
      <name val="Arial"/>
      <family val="2"/>
    </font>
    <font>
      <sz val="12"/>
      <color rgb="FF000000"/>
      <name val="Arial"/>
      <family val="2"/>
    </font>
    <font>
      <b/>
      <sz val="12"/>
      <color rgb="FF000000"/>
      <name val="Arial"/>
      <family val="2"/>
    </font>
    <font>
      <sz val="10"/>
      <color rgb="FF000000"/>
      <name val="Arial Narrow"/>
      <family val="2"/>
    </font>
    <font>
      <sz val="14"/>
      <color rgb="FF000000"/>
      <name val="Arial"/>
      <family val="2"/>
    </font>
    <font>
      <b/>
      <sz val="16"/>
      <color rgb="FF000000"/>
      <name val="Arial"/>
      <family val="2"/>
    </font>
    <font>
      <sz val="9"/>
      <color rgb="FF000000"/>
      <name val="Arial"/>
      <family val="2"/>
    </font>
    <font>
      <sz val="10"/>
      <color rgb="FF000000"/>
      <name val="Times New Roman"/>
      <family val="1"/>
    </font>
    <font>
      <b/>
      <sz val="14"/>
      <color rgb="FF000000"/>
      <name val="Calibri"/>
      <family val="2"/>
    </font>
    <font>
      <b/>
      <sz val="18"/>
      <color rgb="FF000000"/>
      <name val="Calibri"/>
      <family val="2"/>
    </font>
    <font>
      <b/>
      <sz val="11"/>
      <color rgb="FF000000"/>
      <name val="Calibri"/>
      <family val="2"/>
    </font>
    <font>
      <b/>
      <sz val="20"/>
      <color rgb="FF000000"/>
      <name val="Calibri"/>
      <family val="2"/>
    </font>
    <font>
      <sz val="8"/>
      <color rgb="FF000000"/>
      <name val="Arial"/>
      <family val="2"/>
    </font>
    <font>
      <sz val="11"/>
      <color rgb="FF000000"/>
      <name val="Arial Narrow"/>
      <family val="2"/>
    </font>
    <font>
      <sz val="7"/>
      <color rgb="FF000000"/>
      <name val="Arial"/>
      <family val="2"/>
    </font>
    <font>
      <b/>
      <sz val="11"/>
      <color rgb="FF000000"/>
      <name val="Arial"/>
      <family val="2"/>
    </font>
    <font>
      <b/>
      <sz val="9"/>
      <color rgb="FF000000"/>
      <name val="Arial"/>
      <family val="2"/>
    </font>
    <font>
      <b/>
      <sz val="18"/>
      <color rgb="FF000000"/>
      <name val="Arial"/>
      <family val="2"/>
    </font>
    <font>
      <sz val="14"/>
      <color rgb="FF000000"/>
      <name val="Calibri"/>
      <family val="2"/>
    </font>
    <font>
      <sz val="9"/>
      <color rgb="FF000000"/>
      <name val="Calibri"/>
      <family val="2"/>
    </font>
    <font>
      <b/>
      <sz val="8"/>
      <color rgb="FF000000"/>
      <name val="Times New Roman"/>
      <family val="1"/>
    </font>
    <font>
      <b/>
      <sz val="20"/>
      <color rgb="FF000000"/>
      <name val="Arial"/>
      <family val="2"/>
    </font>
    <font>
      <b/>
      <sz val="8"/>
      <color rgb="FF000000"/>
      <name val="Arial"/>
      <family val="2"/>
    </font>
    <font>
      <b/>
      <sz val="10"/>
      <color rgb="FF000000"/>
      <name val="Arial"/>
      <family val="2"/>
    </font>
    <font>
      <sz val="8"/>
      <color rgb="FF000000"/>
      <name val="Calibri"/>
      <family val="2"/>
    </font>
    <font>
      <sz val="14"/>
      <color rgb="FF000000"/>
      <name val="Tahoma"/>
      <family val="2"/>
    </font>
    <font>
      <b/>
      <sz val="14"/>
      <color rgb="FF000000"/>
      <name val="Tahoma"/>
      <family val="2"/>
    </font>
    <font>
      <b/>
      <sz val="30"/>
      <color rgb="FF000000"/>
      <name val="Arial"/>
      <family val="2"/>
    </font>
    <font>
      <b/>
      <sz val="30"/>
      <color rgb="FF000000"/>
      <name val="Calibri"/>
      <family val="2"/>
    </font>
    <font>
      <sz val="30"/>
      <color rgb="FF000000"/>
      <name val="Arial"/>
      <family val="2"/>
    </font>
    <font>
      <b/>
      <sz val="7"/>
      <color rgb="FF000000"/>
      <name val="Arial"/>
      <family val="2"/>
    </font>
    <font>
      <b/>
      <sz val="22"/>
      <color rgb="FF000000"/>
      <name val="Arial"/>
      <family val="2"/>
    </font>
    <font>
      <sz val="22"/>
      <color rgb="FF000000"/>
      <name val="Arial"/>
      <family val="2"/>
    </font>
    <font>
      <b/>
      <sz val="24"/>
      <color rgb="FF000000"/>
      <name val="Arial"/>
      <family val="2"/>
    </font>
    <font>
      <b/>
      <sz val="22"/>
      <color indexed="8"/>
      <name val="Calibri"/>
      <family val="2"/>
    </font>
    <font>
      <b/>
      <sz val="22"/>
      <name val="Arial"/>
      <family val="2"/>
    </font>
    <font>
      <b/>
      <sz val="12"/>
      <name val="Arial"/>
      <family val="2"/>
    </font>
    <font>
      <b/>
      <sz val="14"/>
      <name val="Arial"/>
      <family val="2"/>
    </font>
    <font>
      <b/>
      <sz val="10"/>
      <name val="Arial"/>
      <family val="2"/>
    </font>
    <font>
      <sz val="10"/>
      <color indexed="8"/>
      <name val="Calibri"/>
      <family val="2"/>
    </font>
    <font>
      <sz val="10"/>
      <name val="Arial"/>
      <family val="2"/>
    </font>
    <font>
      <sz val="9"/>
      <name val="Arial"/>
      <family val="2"/>
    </font>
    <font>
      <sz val="9"/>
      <color indexed="8"/>
      <name val="Arial"/>
      <family val="2"/>
    </font>
    <font>
      <sz val="7"/>
      <name val="Arial"/>
      <family val="2"/>
    </font>
    <font>
      <sz val="8"/>
      <color indexed="8"/>
      <name val="Arial"/>
      <family val="2"/>
    </font>
    <font>
      <sz val="11"/>
      <color indexed="8"/>
      <name val="Calibri"/>
      <family val="2"/>
    </font>
    <font>
      <sz val="11"/>
      <name val="Arial"/>
      <family val="2"/>
    </font>
    <font>
      <sz val="8"/>
      <name val="Arial"/>
      <family val="2"/>
    </font>
    <font>
      <b/>
      <sz val="9"/>
      <name val="Arial"/>
      <family val="2"/>
    </font>
    <font>
      <b/>
      <sz val="9"/>
      <color indexed="8"/>
      <name val="Arial"/>
      <family val="2"/>
    </font>
    <font>
      <sz val="8"/>
      <color indexed="8"/>
      <name val="Calibri"/>
      <family val="2"/>
    </font>
    <font>
      <b/>
      <sz val="8"/>
      <name val="Arial"/>
      <family val="2"/>
    </font>
    <font>
      <sz val="11"/>
      <name val="Calibri"/>
      <family val="2"/>
    </font>
    <font>
      <b/>
      <sz val="11"/>
      <color indexed="8"/>
      <name val="Calibri"/>
      <family val="2"/>
    </font>
    <font>
      <sz val="12"/>
      <name val="Arial"/>
      <family val="2"/>
    </font>
    <font>
      <b/>
      <sz val="9"/>
      <color indexed="81"/>
      <name val="Tahoma"/>
      <family val="2"/>
    </font>
    <font>
      <sz val="9"/>
      <color indexed="81"/>
      <name val="Tahoma"/>
      <family val="2"/>
    </font>
    <font>
      <b/>
      <sz val="10"/>
      <color indexed="81"/>
      <name val="Tahoma"/>
      <family val="2"/>
    </font>
    <font>
      <sz val="10"/>
      <color indexed="81"/>
      <name val="Tahoma"/>
      <family val="2"/>
    </font>
    <font>
      <b/>
      <sz val="24"/>
      <color indexed="8"/>
      <name val="Arial"/>
      <family val="2"/>
    </font>
    <font>
      <b/>
      <sz val="11"/>
      <color indexed="8"/>
      <name val="Arial"/>
      <family val="2"/>
    </font>
    <font>
      <b/>
      <sz val="10"/>
      <color indexed="8"/>
      <name val="Arial"/>
      <family val="2"/>
    </font>
    <font>
      <sz val="11"/>
      <color indexed="8"/>
      <name val="Arial"/>
      <family val="2"/>
    </font>
    <font>
      <sz val="10"/>
      <color indexed="8"/>
      <name val="Arial"/>
      <family val="2"/>
    </font>
    <font>
      <b/>
      <sz val="11"/>
      <color theme="1"/>
      <name val="Calibri"/>
      <family val="2"/>
      <scheme val="minor"/>
    </font>
    <font>
      <sz val="11"/>
      <color theme="1"/>
      <name val="Calibri"/>
      <family val="2"/>
    </font>
    <font>
      <b/>
      <sz val="9"/>
      <color rgb="FF000000"/>
      <name val="Tahoma"/>
      <family val="2"/>
    </font>
    <font>
      <sz val="9"/>
      <color rgb="FF000000"/>
      <name val="Tahoma"/>
      <family val="2"/>
    </font>
    <font>
      <sz val="16"/>
      <color rgb="FF000000"/>
      <name val="Arial"/>
      <family val="2"/>
    </font>
  </fonts>
  <fills count="34">
    <fill>
      <patternFill patternType="none"/>
    </fill>
    <fill>
      <patternFill patternType="gray125"/>
    </fill>
    <fill>
      <patternFill patternType="solid">
        <fgColor rgb="FF95B3D7"/>
        <bgColor rgb="FF95B3D7"/>
      </patternFill>
    </fill>
    <fill>
      <patternFill patternType="solid">
        <fgColor rgb="FFDA9694"/>
        <bgColor rgb="FFDA9694"/>
      </patternFill>
    </fill>
    <fill>
      <patternFill patternType="solid">
        <fgColor rgb="FFC4D79B"/>
        <bgColor rgb="FFC4D79B"/>
      </patternFill>
    </fill>
    <fill>
      <patternFill patternType="solid">
        <fgColor rgb="FFFFFF99"/>
        <bgColor rgb="FFFFFF99"/>
      </patternFill>
    </fill>
    <fill>
      <patternFill patternType="solid">
        <fgColor rgb="FF99CCFF"/>
        <bgColor rgb="FF99CCFF"/>
      </patternFill>
    </fill>
    <fill>
      <patternFill patternType="solid">
        <fgColor rgb="FF339966"/>
        <bgColor rgb="FF339966"/>
      </patternFill>
    </fill>
    <fill>
      <patternFill patternType="solid">
        <fgColor rgb="FF4F81BD"/>
        <bgColor rgb="FF4F81BD"/>
      </patternFill>
    </fill>
    <fill>
      <patternFill patternType="solid">
        <fgColor rgb="FFFFFFFF"/>
        <bgColor rgb="FFFFFFFF"/>
      </patternFill>
    </fill>
    <fill>
      <patternFill patternType="solid">
        <fgColor rgb="FFCCFFFF"/>
        <bgColor rgb="FFCCFFFF"/>
      </patternFill>
    </fill>
    <fill>
      <patternFill patternType="solid">
        <fgColor rgb="FF808080"/>
        <bgColor rgb="FF808080"/>
      </patternFill>
    </fill>
    <fill>
      <patternFill patternType="solid">
        <fgColor rgb="FF92D050"/>
        <bgColor rgb="FF92D050"/>
      </patternFill>
    </fill>
    <fill>
      <patternFill patternType="solid">
        <fgColor rgb="FF00B050"/>
        <bgColor rgb="FF00B050"/>
      </patternFill>
    </fill>
    <fill>
      <patternFill patternType="solid">
        <fgColor rgb="FFEBF1DE"/>
        <bgColor rgb="FFEBF1DE"/>
      </patternFill>
    </fill>
    <fill>
      <patternFill patternType="solid">
        <fgColor rgb="FF76933C"/>
        <bgColor rgb="FF76933C"/>
      </patternFill>
    </fill>
    <fill>
      <patternFill patternType="solid">
        <fgColor rgb="FFD8E4BC"/>
        <bgColor rgb="FFD8E4BC"/>
      </patternFill>
    </fill>
    <fill>
      <patternFill patternType="solid">
        <fgColor rgb="FFD9D9D9"/>
        <bgColor rgb="FFD9D9D9"/>
      </patternFill>
    </fill>
    <fill>
      <patternFill patternType="solid">
        <fgColor rgb="FF99CC00"/>
        <bgColor rgb="FF99CC00"/>
      </patternFill>
    </fill>
    <fill>
      <patternFill patternType="solid">
        <fgColor rgb="FF008000"/>
        <bgColor rgb="FF008000"/>
      </patternFill>
    </fill>
    <fill>
      <patternFill patternType="solid">
        <fgColor rgb="FFBFBFBF"/>
        <bgColor rgb="FFBFBFBF"/>
      </patternFill>
    </fill>
    <fill>
      <patternFill patternType="solid">
        <fgColor rgb="FFA6A6A6"/>
        <bgColor rgb="FFA6A6A6"/>
      </patternFill>
    </fill>
    <fill>
      <patternFill patternType="solid">
        <fgColor rgb="FF75DBFF"/>
        <bgColor rgb="FF75DBFF"/>
      </patternFill>
    </fill>
    <fill>
      <patternFill patternType="solid">
        <fgColor rgb="FF669900"/>
        <bgColor rgb="FF669900"/>
      </patternFill>
    </fill>
    <fill>
      <patternFill patternType="solid">
        <fgColor indexed="50"/>
        <bgColor indexed="64"/>
      </patternFill>
    </fill>
    <fill>
      <patternFill patternType="solid">
        <fgColor indexed="9"/>
        <bgColor indexed="64"/>
      </patternFill>
    </fill>
    <fill>
      <patternFill patternType="solid">
        <fgColor indexed="17"/>
        <bgColor indexed="64"/>
      </patternFill>
    </fill>
    <fill>
      <patternFill patternType="solid">
        <fgColor indexed="50"/>
        <bgColor indexed="50"/>
      </patternFill>
    </fill>
    <fill>
      <patternFill patternType="solid">
        <fgColor indexed="17"/>
        <bgColor indexed="17"/>
      </patternFill>
    </fill>
    <fill>
      <patternFill patternType="solid">
        <fgColor indexed="9"/>
        <bgColor indexed="9"/>
      </patternFill>
    </fill>
    <fill>
      <patternFill patternType="solid">
        <fgColor theme="0" tint="-0.249977111117893"/>
        <bgColor rgb="FFBFBFBF"/>
      </patternFill>
    </fill>
    <fill>
      <patternFill patternType="solid">
        <fgColor theme="0" tint="-0.34998626667073579"/>
        <bgColor rgb="FFA6A6A6"/>
      </patternFill>
    </fill>
    <fill>
      <patternFill patternType="solid">
        <fgColor theme="0" tint="-0.14999847407452621"/>
        <bgColor indexed="64"/>
      </patternFill>
    </fill>
    <fill>
      <patternFill patternType="solid">
        <fgColor rgb="FF92D050"/>
        <bgColor indexed="64"/>
      </patternFill>
    </fill>
  </fills>
  <borders count="174">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8"/>
      </left>
      <right style="thin">
        <color indexed="8"/>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medium">
        <color indexed="64"/>
      </left>
      <right/>
      <top style="thin">
        <color indexed="64"/>
      </top>
      <bottom/>
      <diagonal/>
    </border>
    <border>
      <left/>
      <right style="thin">
        <color indexed="8"/>
      </right>
      <top style="thin">
        <color indexed="8"/>
      </top>
      <bottom/>
      <diagonal/>
    </border>
    <border>
      <left/>
      <right style="thin">
        <color indexed="64"/>
      </right>
      <top/>
      <bottom/>
      <diagonal/>
    </border>
    <border>
      <left/>
      <right style="thin">
        <color indexed="8"/>
      </right>
      <top/>
      <bottom/>
      <diagonal/>
    </border>
    <border>
      <left style="medium">
        <color indexed="64"/>
      </left>
      <right/>
      <top/>
      <bottom style="thin">
        <color indexed="64"/>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medium">
        <color indexed="64"/>
      </right>
      <top style="thin">
        <color indexed="64"/>
      </top>
      <bottom/>
      <diagonal/>
    </border>
    <border>
      <left style="thin">
        <color indexed="8"/>
      </left>
      <right style="thin">
        <color indexed="8"/>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rgb="FF000000"/>
      </right>
      <top style="thin">
        <color rgb="FF000000"/>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bottom/>
      <diagonal/>
    </border>
    <border>
      <left style="thin">
        <color indexed="8"/>
      </left>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top/>
      <bottom/>
      <diagonal/>
    </border>
    <border>
      <left/>
      <right style="medium">
        <color indexed="8"/>
      </right>
      <top/>
      <bottom/>
      <diagonal/>
    </border>
    <border>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bottom style="thin">
        <color rgb="FF000000"/>
      </bottom>
      <diagonal/>
    </border>
    <border>
      <left style="medium">
        <color indexed="64"/>
      </left>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64"/>
      </right>
      <top/>
      <bottom style="thin">
        <color indexed="8"/>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medium">
        <color indexed="8"/>
      </right>
      <top style="thin">
        <color indexed="8"/>
      </top>
      <bottom style="medium">
        <color indexed="64"/>
      </bottom>
      <diagonal/>
    </border>
    <border>
      <left style="medium">
        <color indexed="64"/>
      </left>
      <right style="thin">
        <color indexed="64"/>
      </right>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rgb="FF000000"/>
      </right>
      <top style="medium">
        <color indexed="64"/>
      </top>
      <bottom style="thin">
        <color rgb="FF000000"/>
      </bottom>
      <diagonal/>
    </border>
  </borders>
  <cellStyleXfs count="287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49" fontId="12" fillId="0" borderId="0" applyFill="0" applyBorder="0" applyProtection="0">
      <alignment horizontal="left" vertical="center"/>
    </xf>
    <xf numFmtId="0" fontId="13" fillId="0" borderId="0" applyNumberFormat="0" applyFill="0" applyBorder="0" applyProtection="0">
      <alignment horizontal="left" vertical="center"/>
    </xf>
    <xf numFmtId="0" fontId="13" fillId="0" borderId="0" applyNumberFormat="0" applyFill="0" applyBorder="0" applyProtection="0">
      <alignment horizontal="righ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182" fontId="10" fillId="0" borderId="0" applyFont="0" applyFill="0" applyBorder="0" applyAlignment="0" applyProtection="0"/>
    <xf numFmtId="182" fontId="10" fillId="0" borderId="0" applyFont="0" applyFill="0" applyBorder="0" applyAlignment="0" applyProtection="0"/>
    <xf numFmtId="177"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4" fontId="12" fillId="0" borderId="0" applyFill="0" applyBorder="0" applyProtection="0">
      <alignment horizontal="right" vertical="center"/>
    </xf>
    <xf numFmtId="185" fontId="12" fillId="0" borderId="0" applyFill="0" applyBorder="0" applyProtection="0">
      <alignment horizontal="right" vertical="center"/>
    </xf>
    <xf numFmtId="4" fontId="12" fillId="0" borderId="0" applyFill="0" applyBorder="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0" fontId="11" fillId="8" borderId="0" applyNumberFormat="0" applyBorder="0" applyAlignment="0" applyProtection="0"/>
    <xf numFmtId="0" fontId="14" fillId="8" borderId="0" applyNumberFormat="0" applyBorder="0" applyAlignment="0" applyProtection="0"/>
    <xf numFmtId="186" fontId="12" fillId="0" borderId="0" applyFill="0" applyBorder="0" applyProtection="0">
      <alignment horizontal="right" vertical="center"/>
    </xf>
    <xf numFmtId="186" fontId="12" fillId="0" borderId="1" applyFill="0" applyProtection="0">
      <alignment horizontal="right" vertical="center"/>
    </xf>
    <xf numFmtId="186" fontId="12" fillId="0" borderId="1" applyFill="0" applyProtection="0">
      <alignment horizontal="right" vertical="center"/>
    </xf>
    <xf numFmtId="186" fontId="12" fillId="0" borderId="1" applyFill="0" applyProtection="0">
      <alignment horizontal="right" vertical="center"/>
    </xf>
    <xf numFmtId="186" fontId="12" fillId="0" borderId="1" applyFill="0" applyProtection="0">
      <alignment horizontal="right" vertical="center"/>
    </xf>
    <xf numFmtId="186" fontId="12" fillId="0" borderId="1" applyFill="0" applyProtection="0">
      <alignment horizontal="right" vertical="center"/>
    </xf>
    <xf numFmtId="186" fontId="12" fillId="0" borderId="1" applyFill="0" applyProtection="0">
      <alignment horizontal="right" vertical="center"/>
    </xf>
    <xf numFmtId="186" fontId="12" fillId="0" borderId="1" applyFill="0" applyProtection="0">
      <alignment horizontal="right" vertical="center"/>
    </xf>
    <xf numFmtId="186" fontId="12" fillId="0" borderId="1" applyFill="0" applyProtection="0">
      <alignment horizontal="right" vertical="center"/>
    </xf>
    <xf numFmtId="0" fontId="13" fillId="9" borderId="0" applyNumberFormat="0" applyBorder="0" applyProtection="0">
      <alignment horizontal="center" vertical="center"/>
    </xf>
    <xf numFmtId="0" fontId="13" fillId="5" borderId="0" applyNumberFormat="0" applyBorder="0" applyProtection="0">
      <alignment horizontal="center" vertical="center" wrapText="1"/>
    </xf>
    <xf numFmtId="0" fontId="12" fillId="5" borderId="0" applyNumberFormat="0" applyBorder="0" applyProtection="0">
      <alignment horizontal="right" vertical="center" wrapText="1"/>
    </xf>
    <xf numFmtId="0" fontId="13" fillId="10" borderId="0" applyNumberFormat="0" applyBorder="0" applyProtection="0">
      <alignment horizontal="center" vertical="center"/>
    </xf>
    <xf numFmtId="0" fontId="13" fillId="11" borderId="0" applyNumberFormat="0" applyBorder="0" applyProtection="0">
      <alignment horizontal="center" vertical="center" wrapText="1"/>
    </xf>
    <xf numFmtId="0" fontId="13" fillId="11" borderId="0" applyNumberFormat="0" applyBorder="0" applyProtection="0">
      <alignment horizontal="righ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172" fontId="10" fillId="0" borderId="0" applyFont="0" applyFill="0" applyBorder="0" applyAlignment="0" applyProtection="0"/>
    <xf numFmtId="179"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87"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2"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88" fontId="10" fillId="0" borderId="0" applyFont="0" applyFill="0" applyBorder="0" applyAlignment="0" applyProtection="0"/>
    <xf numFmtId="168"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68"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8" fontId="10" fillId="0" borderId="0" applyFont="0" applyFill="0" applyBorder="0" applyAlignment="0" applyProtection="0"/>
    <xf numFmtId="190" fontId="10" fillId="0" borderId="0" applyFont="0" applyFill="0" applyBorder="0" applyAlignment="0" applyProtection="0"/>
    <xf numFmtId="191"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92" fontId="10" fillId="0" borderId="0" applyFont="0" applyFill="0" applyBorder="0" applyAlignment="0" applyProtection="0"/>
    <xf numFmtId="188"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8"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8"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8"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8"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9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94" fontId="10" fillId="0" borderId="0" applyFont="0" applyFill="0" applyBorder="0" applyAlignment="0" applyProtection="0"/>
    <xf numFmtId="183"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92" fontId="10" fillId="0" borderId="0" applyFont="0" applyFill="0" applyBorder="0" applyAlignment="0" applyProtection="0"/>
    <xf numFmtId="183" fontId="10" fillId="0" borderId="0" applyFont="0" applyFill="0" applyBorder="0" applyAlignment="0" applyProtection="0"/>
    <xf numFmtId="192"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92"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94"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5" fillId="5" borderId="0" applyNumberFormat="0" applyBorder="0" applyAlignment="0" applyProtection="0"/>
    <xf numFmtId="0" fontId="16" fillId="0" borderId="0" applyNumberFormat="0" applyBorder="0" applyProtection="0"/>
    <xf numFmtId="0" fontId="16" fillId="0" borderId="0" applyNumberFormat="0" applyBorder="0" applyProtection="0"/>
    <xf numFmtId="0" fontId="10" fillId="0" borderId="0" applyNumberFormat="0" applyFont="0" applyBorder="0" applyProtection="0"/>
    <xf numFmtId="0" fontId="16" fillId="0" borderId="0" applyNumberFormat="0" applyBorder="0" applyProtection="0"/>
    <xf numFmtId="0" fontId="17" fillId="0" borderId="0" applyNumberFormat="0" applyBorder="0" applyProtection="0"/>
    <xf numFmtId="0" fontId="16" fillId="0" borderId="0" applyNumberFormat="0" applyBorder="0" applyProtection="0"/>
    <xf numFmtId="0" fontId="16" fillId="0" borderId="0" applyNumberFormat="0" applyBorder="0" applyProtection="0"/>
    <xf numFmtId="0" fontId="16" fillId="0" borderId="0" applyNumberFormat="0" applyBorder="0" applyProtection="0"/>
    <xf numFmtId="0" fontId="16" fillId="0" borderId="0" applyNumberFormat="0" applyBorder="0" applyProtection="0"/>
    <xf numFmtId="0" fontId="17" fillId="0" borderId="0" applyNumberFormat="0" applyBorder="0" applyProtection="0"/>
    <xf numFmtId="0" fontId="16" fillId="0" borderId="0" applyNumberFormat="0" applyBorder="0" applyProtection="0"/>
    <xf numFmtId="0" fontId="10" fillId="0" borderId="0" applyNumberFormat="0" applyFont="0" applyBorder="0" applyProtection="0"/>
    <xf numFmtId="0" fontId="16" fillId="0" borderId="0" applyNumberFormat="0" applyBorder="0" applyProtection="0"/>
    <xf numFmtId="0" fontId="17" fillId="0" borderId="0" applyNumberFormat="0" applyBorder="0" applyProtection="0"/>
    <xf numFmtId="0" fontId="17" fillId="0" borderId="0" applyNumberFormat="0" applyBorder="0" applyProtection="0"/>
    <xf numFmtId="0" fontId="16" fillId="0" borderId="0" applyNumberFormat="0" applyBorder="0" applyProtection="0"/>
    <xf numFmtId="0" fontId="16" fillId="0" borderId="0" applyNumberFormat="0" applyBorder="0" applyProtection="0"/>
    <xf numFmtId="0" fontId="16" fillId="0" borderId="0" applyNumberFormat="0" applyBorder="0" applyProtection="0"/>
    <xf numFmtId="0" fontId="10" fillId="0" borderId="0" applyNumberFormat="0" applyFont="0" applyBorder="0" applyProtection="0"/>
    <xf numFmtId="0" fontId="16" fillId="0" borderId="0" applyNumberFormat="0" applyBorder="0" applyProtection="0"/>
    <xf numFmtId="0" fontId="18" fillId="0" borderId="0" applyNumberFormat="0" applyBorder="0" applyProtection="0"/>
    <xf numFmtId="0" fontId="16" fillId="0" borderId="0" applyNumberFormat="0" applyBorder="0" applyProtection="0"/>
    <xf numFmtId="3" fontId="12" fillId="0" borderId="0" applyFill="0" applyBorder="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66" fillId="0" borderId="0" applyFont="0" applyFill="0" applyBorder="0" applyAlignment="0" applyProtection="0"/>
  </cellStyleXfs>
  <cellXfs count="1125">
    <xf numFmtId="0" fontId="0" fillId="0" borderId="0" xfId="0"/>
    <xf numFmtId="0" fontId="0" fillId="0" borderId="0" xfId="0" applyFill="1"/>
    <xf numFmtId="0" fontId="0" fillId="9" borderId="0" xfId="0" applyFill="1"/>
    <xf numFmtId="0" fontId="0" fillId="9" borderId="0" xfId="0" applyFill="1" applyAlignment="1">
      <alignment horizontal="center"/>
    </xf>
    <xf numFmtId="0" fontId="19" fillId="0" borderId="0" xfId="0" applyFont="1" applyFill="1"/>
    <xf numFmtId="0" fontId="20" fillId="0" borderId="0" xfId="0" applyFont="1" applyFill="1"/>
    <xf numFmtId="0" fontId="21" fillId="0" borderId="2"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2" fillId="0" borderId="0" xfId="0" applyFont="1"/>
    <xf numFmtId="0" fontId="22" fillId="12" borderId="4" xfId="0" applyFont="1" applyFill="1" applyBorder="1" applyAlignment="1">
      <alignment vertical="center" wrapText="1"/>
    </xf>
    <xf numFmtId="0" fontId="22" fillId="12" borderId="5" xfId="0" applyFont="1" applyFill="1" applyBorder="1" applyAlignment="1">
      <alignment vertical="center" wrapText="1"/>
    </xf>
    <xf numFmtId="0" fontId="22" fillId="13" borderId="6" xfId="0" applyFont="1" applyFill="1" applyBorder="1" applyAlignment="1">
      <alignment horizontal="center" vertical="center" wrapText="1"/>
    </xf>
    <xf numFmtId="0" fontId="22" fillId="13" borderId="7"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3" fillId="15" borderId="10" xfId="0" applyFont="1" applyFill="1" applyBorder="1" applyAlignment="1">
      <alignment horizontal="center" vertical="center" wrapText="1"/>
    </xf>
    <xf numFmtId="0" fontId="23" fillId="16" borderId="11" xfId="0" applyFont="1" applyFill="1" applyBorder="1" applyAlignment="1">
      <alignment horizontal="center" vertical="center" wrapText="1"/>
    </xf>
    <xf numFmtId="0" fontId="23" fillId="12" borderId="10" xfId="0" applyFont="1" applyFill="1" applyBorder="1" applyAlignment="1">
      <alignment horizontal="center" vertical="center" wrapText="1"/>
    </xf>
    <xf numFmtId="0" fontId="23" fillId="14" borderId="10" xfId="0" applyFont="1" applyFill="1" applyBorder="1" applyAlignment="1">
      <alignment horizontal="center" vertical="center" wrapText="1"/>
    </xf>
    <xf numFmtId="0" fontId="23" fillId="16" borderId="1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3" fillId="16" borderId="13"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23" fillId="16" borderId="9"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wrapText="1"/>
    </xf>
    <xf numFmtId="0" fontId="17" fillId="0" borderId="1" xfId="0" applyFont="1" applyFill="1" applyBorder="1" applyAlignment="1">
      <alignment horizontal="center" vertical="center"/>
    </xf>
    <xf numFmtId="175" fontId="25" fillId="0" borderId="1" xfId="185" applyNumberFormat="1" applyFont="1" applyFill="1" applyBorder="1" applyAlignment="1">
      <alignment horizontal="center" vertical="center"/>
    </xf>
    <xf numFmtId="175" fontId="25" fillId="0" borderId="1" xfId="185" applyNumberFormat="1" applyFont="1" applyFill="1" applyBorder="1" applyAlignment="1">
      <alignment vertical="center"/>
    </xf>
    <xf numFmtId="175" fontId="25" fillId="0" borderId="1" xfId="190" applyNumberFormat="1" applyFont="1" applyFill="1" applyBorder="1" applyAlignment="1">
      <alignment horizontal="center" vertical="center"/>
    </xf>
    <xf numFmtId="177" fontId="25" fillId="0" borderId="1" xfId="0" applyNumberFormat="1" applyFont="1" applyFill="1" applyBorder="1" applyAlignment="1">
      <alignment horizontal="center" vertical="center"/>
    </xf>
    <xf numFmtId="164" fontId="25" fillId="0" borderId="1" xfId="185" applyNumberFormat="1" applyFont="1" applyFill="1" applyBorder="1" applyAlignment="1">
      <alignment horizontal="center" vertical="center"/>
    </xf>
    <xf numFmtId="172" fontId="25" fillId="0" borderId="1" xfId="185" applyFont="1" applyFill="1" applyBorder="1" applyAlignment="1">
      <alignment horizontal="center" vertical="center"/>
    </xf>
    <xf numFmtId="172" fontId="25" fillId="0" borderId="1" xfId="185" applyFont="1" applyFill="1" applyBorder="1" applyAlignment="1">
      <alignment vertical="center"/>
    </xf>
    <xf numFmtId="172" fontId="22" fillId="0" borderId="1" xfId="185" applyFont="1" applyFill="1" applyBorder="1" applyAlignment="1">
      <alignment vertical="center"/>
    </xf>
    <xf numFmtId="3" fontId="27" fillId="0" borderId="1" xfId="0" applyNumberFormat="1" applyFont="1" applyFill="1" applyBorder="1" applyAlignment="1">
      <alignment horizontal="center" vertical="center" wrapText="1"/>
    </xf>
    <xf numFmtId="0" fontId="22" fillId="0" borderId="0" xfId="0" applyFont="1" applyFill="1"/>
    <xf numFmtId="0" fontId="0" fillId="0" borderId="1" xfId="0" applyFill="1" applyBorder="1" applyAlignment="1">
      <alignment horizontal="center" vertical="center"/>
    </xf>
    <xf numFmtId="180" fontId="25" fillId="0" borderId="1" xfId="185" applyNumberFormat="1" applyFont="1" applyFill="1" applyBorder="1" applyAlignment="1">
      <alignment horizontal="center" vertical="center"/>
    </xf>
    <xf numFmtId="164" fontId="25" fillId="0" borderId="1" xfId="185" applyNumberFormat="1" applyFont="1" applyFill="1" applyBorder="1" applyAlignment="1">
      <alignment vertical="center"/>
    </xf>
    <xf numFmtId="2" fontId="25" fillId="0" borderId="1" xfId="190" applyNumberFormat="1" applyFont="1" applyFill="1" applyBorder="1" applyAlignment="1">
      <alignment horizontal="center" vertical="center"/>
    </xf>
    <xf numFmtId="164" fontId="25" fillId="0" borderId="1" xfId="0" applyNumberFormat="1" applyFont="1" applyFill="1" applyBorder="1" applyAlignment="1">
      <alignment horizontal="center" vertical="center"/>
    </xf>
    <xf numFmtId="3" fontId="25" fillId="0" borderId="1" xfId="0" applyNumberFormat="1" applyFont="1" applyFill="1" applyBorder="1" applyAlignment="1">
      <alignment horizontal="center" vertical="center" wrapText="1"/>
    </xf>
    <xf numFmtId="1" fontId="25" fillId="0" borderId="1" xfId="229"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center" vertical="center"/>
    </xf>
    <xf numFmtId="0" fontId="25" fillId="0" borderId="0" xfId="0" applyFont="1" applyFill="1" applyAlignment="1">
      <alignment horizontal="center" vertical="top" wrapText="1"/>
    </xf>
    <xf numFmtId="0" fontId="22" fillId="0" borderId="0" xfId="0" applyFont="1" applyFill="1" applyAlignment="1">
      <alignment vertical="center"/>
    </xf>
    <xf numFmtId="0" fontId="22" fillId="0" borderId="0" xfId="0" applyFont="1" applyFill="1" applyAlignment="1">
      <alignment horizontal="left" vertical="top" wrapText="1"/>
    </xf>
    <xf numFmtId="0" fontId="28" fillId="0" borderId="0" xfId="0" applyFont="1" applyFill="1" applyAlignment="1">
      <alignment horizontal="center" vertical="center"/>
    </xf>
    <xf numFmtId="164" fontId="22" fillId="0" borderId="0" xfId="185" applyNumberFormat="1" applyFont="1" applyFill="1" applyAlignment="1">
      <alignment horizontal="center" vertical="center"/>
    </xf>
    <xf numFmtId="2" fontId="22" fillId="0" borderId="0" xfId="0" applyNumberFormat="1" applyFont="1" applyFill="1" applyAlignment="1">
      <alignment horizontal="center" vertical="center"/>
    </xf>
    <xf numFmtId="165" fontId="25" fillId="0" borderId="0" xfId="0" applyNumberFormat="1" applyFont="1" applyFill="1" applyAlignment="1">
      <alignment horizontal="center" vertical="center" wrapText="1"/>
    </xf>
    <xf numFmtId="2" fontId="23" fillId="0" borderId="0" xfId="0" applyNumberFormat="1" applyFont="1" applyFill="1" applyAlignment="1">
      <alignment horizontal="center" vertical="center"/>
    </xf>
    <xf numFmtId="0" fontId="25" fillId="0" borderId="0" xfId="0" applyFont="1" applyFill="1" applyAlignment="1">
      <alignment horizontal="center" vertical="center"/>
    </xf>
    <xf numFmtId="9" fontId="29" fillId="0" borderId="0" xfId="2857" applyFont="1" applyFill="1" applyAlignment="1">
      <alignment horizontal="center" vertical="center"/>
    </xf>
    <xf numFmtId="10" fontId="29" fillId="0" borderId="0" xfId="2857" applyNumberFormat="1" applyFont="1" applyFill="1" applyAlignment="1">
      <alignment horizontal="center" vertical="center" wrapText="1"/>
    </xf>
    <xf numFmtId="10" fontId="30" fillId="0" borderId="0" xfId="2857" applyNumberFormat="1" applyFont="1" applyFill="1" applyAlignment="1">
      <alignment horizontal="center" vertical="center" wrapText="1"/>
    </xf>
    <xf numFmtId="0" fontId="17" fillId="0" borderId="0" xfId="0" applyFont="1" applyFill="1" applyAlignment="1">
      <alignment vertical="top" wrapText="1"/>
    </xf>
    <xf numFmtId="0" fontId="0" fillId="0" borderId="0" xfId="0" applyFill="1" applyAlignment="1">
      <alignment horizontal="center" vertical="center" wrapText="1"/>
    </xf>
    <xf numFmtId="0" fontId="0" fillId="0" borderId="0" xfId="0" applyFill="1" applyAlignment="1">
      <alignment horizontal="left" vertical="top" wrapText="1"/>
    </xf>
    <xf numFmtId="0" fontId="31" fillId="9" borderId="0" xfId="0" applyFont="1" applyFill="1"/>
    <xf numFmtId="0" fontId="0" fillId="0" borderId="0" xfId="0" applyFill="1" applyAlignment="1">
      <alignment horizontal="center"/>
    </xf>
    <xf numFmtId="179" fontId="0" fillId="0" borderId="0" xfId="0" applyNumberFormat="1" applyFill="1" applyAlignment="1">
      <alignment horizontal="center"/>
    </xf>
    <xf numFmtId="2" fontId="0" fillId="0" borderId="0" xfId="0" applyNumberFormat="1" applyFill="1" applyAlignment="1">
      <alignment horizontal="center"/>
    </xf>
    <xf numFmtId="177" fontId="32" fillId="0" borderId="0" xfId="0" applyNumberFormat="1" applyFont="1" applyFill="1" applyAlignment="1"/>
    <xf numFmtId="177" fontId="0" fillId="0" borderId="0" xfId="0" applyNumberFormat="1" applyFill="1" applyAlignment="1">
      <alignment horizontal="center"/>
    </xf>
    <xf numFmtId="0" fontId="31" fillId="17" borderId="1" xfId="0" applyFont="1" applyFill="1" applyBorder="1" applyAlignment="1">
      <alignment horizontal="center" vertical="center"/>
    </xf>
    <xf numFmtId="0" fontId="0" fillId="0" borderId="0" xfId="0" applyAlignment="1">
      <alignment horizontal="center"/>
    </xf>
    <xf numFmtId="2" fontId="0" fillId="0" borderId="0" xfId="0" applyNumberFormat="1" applyAlignment="1">
      <alignment horizontal="center"/>
    </xf>
    <xf numFmtId="0" fontId="0" fillId="0" borderId="0" xfId="0" applyAlignment="1">
      <alignment wrapText="1"/>
    </xf>
    <xf numFmtId="0" fontId="0" fillId="0" borderId="1" xfId="0" applyFill="1" applyBorder="1"/>
    <xf numFmtId="0" fontId="16" fillId="9" borderId="0" xfId="0" applyFont="1" applyFill="1"/>
    <xf numFmtId="0" fontId="33" fillId="9" borderId="0" xfId="0" applyFont="1" applyFill="1"/>
    <xf numFmtId="0" fontId="22" fillId="9" borderId="0" xfId="0" applyFont="1" applyFill="1" applyAlignment="1">
      <alignment horizontal="center"/>
    </xf>
    <xf numFmtId="164" fontId="0" fillId="9" borderId="0" xfId="0" applyNumberFormat="1" applyFill="1" applyAlignment="1">
      <alignment horizontal="center"/>
    </xf>
    <xf numFmtId="0" fontId="34" fillId="0" borderId="0" xfId="0" applyFont="1" applyFill="1" applyAlignment="1">
      <alignment horizontal="center" vertical="center"/>
    </xf>
    <xf numFmtId="0" fontId="22" fillId="12" borderId="4" xfId="0" applyFont="1" applyFill="1" applyBorder="1" applyAlignment="1">
      <alignment horizontal="center" vertical="center" wrapText="1"/>
    </xf>
    <xf numFmtId="0" fontId="22" fillId="12" borderId="15" xfId="0" applyFont="1" applyFill="1" applyBorder="1" applyAlignment="1">
      <alignment horizontal="center" vertical="center" wrapText="1"/>
    </xf>
    <xf numFmtId="0" fontId="21" fillId="12" borderId="5" xfId="0" applyFont="1" applyFill="1" applyBorder="1" applyAlignment="1">
      <alignment horizontal="center" vertical="center" wrapText="1"/>
    </xf>
    <xf numFmtId="0" fontId="23" fillId="12" borderId="5" xfId="0" applyFont="1" applyFill="1" applyBorder="1" applyAlignment="1">
      <alignment horizontal="center" vertical="center" wrapText="1"/>
    </xf>
    <xf numFmtId="0" fontId="22" fillId="15" borderId="10" xfId="0" applyFont="1" applyFill="1" applyBorder="1" applyAlignment="1">
      <alignment horizontal="center" vertical="center" wrapText="1"/>
    </xf>
    <xf numFmtId="0" fontId="25" fillId="14" borderId="8" xfId="0" applyFont="1" applyFill="1" applyBorder="1" applyAlignment="1">
      <alignment horizontal="center" vertical="center" wrapText="1"/>
    </xf>
    <xf numFmtId="0" fontId="25" fillId="12" borderId="8" xfId="0" applyFont="1" applyFill="1" applyBorder="1" applyAlignment="1">
      <alignment horizontal="center" vertical="center" wrapText="1"/>
    </xf>
    <xf numFmtId="0" fontId="25" fillId="12" borderId="9" xfId="0" applyFont="1" applyFill="1" applyBorder="1" applyAlignment="1">
      <alignment horizontal="center" vertical="center" wrapText="1"/>
    </xf>
    <xf numFmtId="0" fontId="23" fillId="15" borderId="14" xfId="0" applyFont="1" applyFill="1" applyBorder="1" applyAlignment="1">
      <alignment horizontal="center" vertical="center" wrapText="1"/>
    </xf>
    <xf numFmtId="0" fontId="35" fillId="18" borderId="16" xfId="0" applyFont="1" applyFill="1" applyBorder="1" applyAlignment="1" applyProtection="1">
      <alignment horizontal="left" vertical="center" wrapText="1"/>
      <protection locked="0"/>
    </xf>
    <xf numFmtId="3" fontId="27" fillId="0" borderId="18" xfId="0" applyNumberFormat="1" applyFont="1" applyFill="1" applyBorder="1" applyAlignment="1">
      <alignment horizontal="center" vertical="center" wrapText="1"/>
    </xf>
    <xf numFmtId="165" fontId="21" fillId="0" borderId="18" xfId="0" applyNumberFormat="1" applyFont="1" applyFill="1" applyBorder="1" applyAlignment="1">
      <alignment horizontal="center" vertical="center" wrapText="1"/>
    </xf>
    <xf numFmtId="165" fontId="26" fillId="0" borderId="18" xfId="0" applyNumberFormat="1" applyFont="1" applyFill="1" applyBorder="1" applyAlignment="1">
      <alignment horizontal="center" vertical="center" wrapText="1"/>
    </xf>
    <xf numFmtId="10" fontId="36" fillId="0" borderId="19" xfId="2857" applyNumberFormat="1" applyFont="1" applyFill="1" applyBorder="1" applyAlignment="1">
      <alignment horizontal="center" vertical="center" wrapText="1"/>
    </xf>
    <xf numFmtId="0" fontId="0" fillId="0" borderId="0" xfId="0" applyFill="1" applyAlignment="1">
      <alignment horizontal="center" vertical="center"/>
    </xf>
    <xf numFmtId="0" fontId="35" fillId="19" borderId="20" xfId="0" applyFont="1" applyFill="1" applyBorder="1" applyAlignment="1" applyProtection="1">
      <alignment horizontal="left" vertical="center" wrapText="1"/>
      <protection locked="0"/>
    </xf>
    <xf numFmtId="166" fontId="27" fillId="0" borderId="1" xfId="228" applyNumberFormat="1" applyFont="1" applyFill="1" applyBorder="1" applyAlignment="1">
      <alignment horizontal="center" vertical="center"/>
    </xf>
    <xf numFmtId="3" fontId="26" fillId="0" borderId="1" xfId="0" applyNumberFormat="1" applyFont="1" applyFill="1" applyBorder="1" applyAlignment="1">
      <alignment horizontal="center" vertical="center" wrapText="1"/>
    </xf>
    <xf numFmtId="168" fontId="25" fillId="0" borderId="1" xfId="229" applyFont="1" applyFill="1" applyBorder="1" applyAlignment="1">
      <alignment horizontal="center" vertical="center" wrapText="1"/>
    </xf>
    <xf numFmtId="169" fontId="25" fillId="0" borderId="1" xfId="228" applyNumberFormat="1" applyFont="1" applyFill="1" applyBorder="1" applyAlignment="1">
      <alignment horizontal="center" vertical="center"/>
    </xf>
    <xf numFmtId="10" fontId="36" fillId="0" borderId="22" xfId="2857" applyNumberFormat="1" applyFont="1" applyFill="1" applyBorder="1" applyAlignment="1">
      <alignment horizontal="center" vertical="center" wrapText="1"/>
    </xf>
    <xf numFmtId="166" fontId="0" fillId="0" borderId="0" xfId="0" applyNumberFormat="1" applyFill="1" applyAlignment="1">
      <alignment horizontal="center" vertical="center"/>
    </xf>
    <xf numFmtId="3" fontId="21" fillId="0" borderId="1" xfId="0" applyNumberFormat="1" applyFont="1" applyFill="1" applyBorder="1" applyAlignment="1">
      <alignment horizontal="center" vertical="center" wrapText="1"/>
    </xf>
    <xf numFmtId="0" fontId="35" fillId="18" borderId="20" xfId="0" applyFont="1" applyFill="1" applyBorder="1" applyAlignment="1" applyProtection="1">
      <alignment horizontal="left" vertical="center" wrapText="1"/>
      <protection locked="0"/>
    </xf>
    <xf numFmtId="0" fontId="27" fillId="0" borderId="1" xfId="0" applyFont="1" applyFill="1" applyBorder="1" applyAlignment="1">
      <alignment horizontal="center" vertical="center"/>
    </xf>
    <xf numFmtId="1" fontId="27" fillId="0" borderId="1" xfId="0" applyNumberFormat="1" applyFont="1" applyFill="1" applyBorder="1" applyAlignment="1">
      <alignment horizontal="center" vertical="center"/>
    </xf>
    <xf numFmtId="1" fontId="25" fillId="0" borderId="1" xfId="0" applyNumberFormat="1" applyFont="1" applyFill="1" applyBorder="1" applyAlignment="1">
      <alignment horizontal="center" vertical="center"/>
    </xf>
    <xf numFmtId="165" fontId="25" fillId="0" borderId="1" xfId="949" applyNumberFormat="1" applyFont="1" applyFill="1" applyBorder="1" applyAlignment="1">
      <alignment horizontal="center" vertical="center" wrapText="1"/>
    </xf>
    <xf numFmtId="9" fontId="36" fillId="0" borderId="22" xfId="2857" applyFont="1" applyFill="1" applyBorder="1" applyAlignment="1">
      <alignment horizontal="center" vertical="center" wrapText="1"/>
    </xf>
    <xf numFmtId="166" fontId="27" fillId="0" borderId="1" xfId="0" applyNumberFormat="1" applyFont="1" applyFill="1" applyBorder="1" applyAlignment="1">
      <alignment horizontal="center" vertical="center"/>
    </xf>
    <xf numFmtId="169" fontId="25" fillId="0" borderId="1" xfId="0" applyNumberFormat="1" applyFont="1" applyFill="1" applyBorder="1" applyAlignment="1">
      <alignment horizontal="center" vertical="center"/>
    </xf>
    <xf numFmtId="0" fontId="35" fillId="19" borderId="23" xfId="0" applyFont="1" applyFill="1" applyBorder="1" applyAlignment="1" applyProtection="1">
      <alignment horizontal="left" vertical="center" wrapText="1"/>
      <protection locked="0"/>
    </xf>
    <xf numFmtId="166" fontId="37" fillId="0" borderId="1" xfId="228" applyNumberFormat="1" applyFont="1" applyFill="1" applyBorder="1" applyAlignment="1">
      <alignment horizontal="center" vertical="center"/>
    </xf>
    <xf numFmtId="4" fontId="35" fillId="18" borderId="20" xfId="0" applyNumberFormat="1" applyFont="1" applyFill="1" applyBorder="1" applyAlignment="1" applyProtection="1">
      <alignment horizontal="left" vertical="center" wrapText="1"/>
      <protection locked="0"/>
    </xf>
    <xf numFmtId="4" fontId="0" fillId="0" borderId="0" xfId="0" applyNumberFormat="1" applyFill="1" applyAlignment="1">
      <alignment horizontal="center" vertical="center"/>
    </xf>
    <xf numFmtId="169" fontId="25" fillId="0" borderId="1" xfId="229" applyNumberFormat="1" applyFont="1" applyFill="1" applyBorder="1" applyAlignment="1">
      <alignment horizontal="center" vertical="center" wrapText="1"/>
    </xf>
    <xf numFmtId="169" fontId="0" fillId="0" borderId="0" xfId="0" applyNumberFormat="1" applyFill="1" applyAlignment="1">
      <alignment horizontal="center" vertical="center"/>
    </xf>
    <xf numFmtId="0" fontId="25" fillId="0" borderId="1" xfId="0" applyFont="1" applyFill="1" applyBorder="1" applyAlignment="1">
      <alignment horizontal="center" vertical="center"/>
    </xf>
    <xf numFmtId="166" fontId="25" fillId="0" borderId="1" xfId="228" applyNumberFormat="1" applyFont="1" applyFill="1" applyBorder="1" applyAlignment="1">
      <alignment horizontal="center" vertical="center"/>
    </xf>
    <xf numFmtId="169" fontId="31" fillId="0" borderId="0" xfId="0" applyNumberFormat="1" applyFont="1" applyFill="1" applyAlignment="1">
      <alignment horizontal="center" vertical="center"/>
    </xf>
    <xf numFmtId="167" fontId="25" fillId="0" borderId="1" xfId="228" applyNumberFormat="1" applyFont="1" applyFill="1" applyBorder="1" applyAlignment="1">
      <alignment horizontal="center" vertical="center"/>
    </xf>
    <xf numFmtId="166" fontId="31" fillId="0" borderId="0" xfId="0" applyNumberFormat="1" applyFont="1" applyFill="1" applyAlignment="1">
      <alignment horizontal="center" vertical="center"/>
    </xf>
    <xf numFmtId="166" fontId="25" fillId="21" borderId="32" xfId="949" applyNumberFormat="1" applyFont="1" applyFill="1" applyBorder="1" applyAlignment="1">
      <alignment horizontal="center" vertical="center" wrapText="1"/>
    </xf>
    <xf numFmtId="166" fontId="25" fillId="21" borderId="33" xfId="949" applyNumberFormat="1" applyFont="1" applyFill="1" applyBorder="1" applyAlignment="1">
      <alignment horizontal="center" vertical="center" wrapText="1"/>
    </xf>
    <xf numFmtId="166" fontId="25" fillId="21" borderId="34" xfId="949" applyNumberFormat="1" applyFont="1" applyFill="1" applyBorder="1" applyAlignment="1">
      <alignment horizontal="center" vertical="center" wrapText="1"/>
    </xf>
    <xf numFmtId="166" fontId="39" fillId="12" borderId="0" xfId="0" applyNumberFormat="1" applyFont="1" applyFill="1" applyAlignment="1">
      <alignment horizontal="center" wrapText="1"/>
    </xf>
    <xf numFmtId="166" fontId="39" fillId="12" borderId="0" xfId="0" applyNumberFormat="1" applyFont="1" applyFill="1" applyAlignment="1">
      <alignment wrapText="1"/>
    </xf>
    <xf numFmtId="166" fontId="40" fillId="12" borderId="0" xfId="0" applyNumberFormat="1" applyFont="1" applyFill="1" applyAlignment="1">
      <alignment wrapText="1"/>
    </xf>
    <xf numFmtId="166" fontId="40" fillId="12" borderId="35" xfId="0" applyNumberFormat="1" applyFont="1" applyFill="1" applyBorder="1" applyAlignment="1">
      <alignment wrapText="1"/>
    </xf>
    <xf numFmtId="166" fontId="0" fillId="0" borderId="0" xfId="0" applyNumberFormat="1" applyFill="1" applyAlignment="1">
      <alignment horizontal="center"/>
    </xf>
    <xf numFmtId="166" fontId="25" fillId="21" borderId="5" xfId="228" applyNumberFormat="1" applyFont="1" applyFill="1" applyBorder="1" applyAlignment="1">
      <alignment horizontal="center" vertical="center"/>
    </xf>
    <xf numFmtId="166" fontId="25" fillId="21" borderId="5" xfId="0" applyNumberFormat="1" applyFont="1" applyFill="1" applyBorder="1" applyAlignment="1">
      <alignment horizontal="center" vertical="center"/>
    </xf>
    <xf numFmtId="166" fontId="25" fillId="21" borderId="6" xfId="228" applyNumberFormat="1" applyFont="1" applyFill="1" applyBorder="1" applyAlignment="1">
      <alignment horizontal="center" vertical="center"/>
    </xf>
    <xf numFmtId="166" fontId="25" fillId="21" borderId="4" xfId="228" applyNumberFormat="1" applyFont="1" applyFill="1" applyBorder="1" applyAlignment="1">
      <alignment horizontal="center" vertical="center"/>
    </xf>
    <xf numFmtId="166" fontId="21" fillId="21" borderId="32" xfId="0" applyNumberFormat="1" applyFont="1" applyFill="1" applyBorder="1" applyAlignment="1">
      <alignment horizontal="center" vertical="center" wrapText="1"/>
    </xf>
    <xf numFmtId="166" fontId="25" fillId="21" borderId="33" xfId="0" applyNumberFormat="1" applyFont="1" applyFill="1" applyBorder="1" applyAlignment="1">
      <alignment horizontal="center" vertical="center" wrapText="1"/>
    </xf>
    <xf numFmtId="166" fontId="25" fillId="21" borderId="34" xfId="0" applyNumberFormat="1" applyFont="1" applyFill="1" applyBorder="1" applyAlignment="1">
      <alignment horizontal="center" vertical="center" wrapText="1"/>
    </xf>
    <xf numFmtId="166" fontId="25" fillId="21" borderId="32" xfId="0" applyNumberFormat="1" applyFont="1" applyFill="1" applyBorder="1" applyAlignment="1">
      <alignment horizontal="center" vertical="center" wrapText="1"/>
    </xf>
    <xf numFmtId="166" fontId="39" fillId="12" borderId="3" xfId="0" applyNumberFormat="1" applyFont="1" applyFill="1" applyBorder="1" applyAlignment="1">
      <alignment horizontal="center" wrapText="1"/>
    </xf>
    <xf numFmtId="166" fontId="39" fillId="12" borderId="3" xfId="0" applyNumberFormat="1" applyFont="1" applyFill="1" applyBorder="1" applyAlignment="1">
      <alignment wrapText="1"/>
    </xf>
    <xf numFmtId="166" fontId="40" fillId="12" borderId="3" xfId="0" applyNumberFormat="1" applyFont="1" applyFill="1" applyBorder="1" applyAlignment="1">
      <alignment wrapText="1"/>
    </xf>
    <xf numFmtId="166" fontId="40" fillId="12" borderId="39" xfId="0" applyNumberFormat="1" applyFont="1" applyFill="1" applyBorder="1" applyAlignment="1">
      <alignment wrapText="1"/>
    </xf>
    <xf numFmtId="0" fontId="16" fillId="0" borderId="0" xfId="0" applyFont="1" applyFill="1"/>
    <xf numFmtId="0" fontId="33" fillId="0" borderId="0" xfId="0" applyFont="1" applyFill="1"/>
    <xf numFmtId="0" fontId="22" fillId="0" borderId="0" xfId="0" applyFont="1" applyFill="1" applyAlignment="1">
      <alignment horizontal="center"/>
    </xf>
    <xf numFmtId="168" fontId="22" fillId="0" borderId="0" xfId="229" applyFont="1" applyFill="1" applyAlignment="1">
      <alignment horizontal="center"/>
    </xf>
    <xf numFmtId="0" fontId="31" fillId="0" borderId="0" xfId="0" applyFont="1" applyFill="1"/>
    <xf numFmtId="167" fontId="0" fillId="0" borderId="0" xfId="0" applyNumberFormat="1" applyFill="1"/>
    <xf numFmtId="3" fontId="41" fillId="0" borderId="0" xfId="0" applyNumberFormat="1" applyFont="1"/>
    <xf numFmtId="166" fontId="22" fillId="0" borderId="0" xfId="0" applyNumberFormat="1" applyFont="1" applyFill="1" applyAlignment="1">
      <alignment horizontal="center"/>
    </xf>
    <xf numFmtId="166" fontId="27" fillId="0" borderId="0" xfId="228" applyNumberFormat="1" applyFont="1" applyFill="1" applyAlignment="1">
      <alignment horizontal="center" vertical="center"/>
    </xf>
    <xf numFmtId="172" fontId="22" fillId="0" borderId="0" xfId="185" applyFont="1" applyFill="1" applyAlignment="1">
      <alignment horizontal="center"/>
    </xf>
    <xf numFmtId="3" fontId="22" fillId="0" borderId="0" xfId="0" applyNumberFormat="1" applyFont="1" applyFill="1" applyAlignment="1">
      <alignment horizontal="center"/>
    </xf>
    <xf numFmtId="166" fontId="27" fillId="0" borderId="0" xfId="0" applyNumberFormat="1" applyFont="1" applyFill="1" applyAlignment="1">
      <alignment horizontal="center" vertical="center"/>
    </xf>
    <xf numFmtId="169" fontId="22" fillId="0" borderId="0" xfId="0" applyNumberFormat="1" applyFont="1" applyFill="1" applyAlignment="1">
      <alignment horizontal="center"/>
    </xf>
    <xf numFmtId="176" fontId="22" fillId="0" borderId="0" xfId="0" applyNumberFormat="1" applyFont="1" applyFill="1" applyAlignment="1">
      <alignment horizontal="center"/>
    </xf>
    <xf numFmtId="177" fontId="22" fillId="0" borderId="0" xfId="0" applyNumberFormat="1" applyFont="1" applyFill="1" applyAlignment="1">
      <alignment horizontal="center"/>
    </xf>
    <xf numFmtId="0" fontId="16" fillId="0" borderId="0" xfId="2823" applyFont="1" applyFill="1" applyAlignment="1">
      <alignment vertical="center"/>
    </xf>
    <xf numFmtId="0" fontId="42" fillId="9" borderId="40" xfId="0" applyFont="1" applyFill="1" applyBorder="1" applyAlignment="1">
      <alignment horizontal="center" vertical="top" wrapText="1"/>
    </xf>
    <xf numFmtId="0" fontId="16" fillId="9" borderId="0" xfId="2823" applyFont="1" applyFill="1" applyAlignment="1">
      <alignment vertical="center"/>
    </xf>
    <xf numFmtId="0" fontId="43" fillId="12" borderId="28" xfId="2823" applyFont="1" applyFill="1" applyBorder="1" applyAlignment="1">
      <alignment horizontal="center" vertical="center" textRotation="90" wrapText="1"/>
    </xf>
    <xf numFmtId="10" fontId="16" fillId="12" borderId="28" xfId="2823" applyNumberFormat="1" applyFont="1" applyFill="1" applyBorder="1" applyAlignment="1">
      <alignment horizontal="center" vertical="center" wrapText="1"/>
    </xf>
    <xf numFmtId="0" fontId="44" fillId="12" borderId="28" xfId="2823" applyFont="1" applyFill="1" applyBorder="1" applyAlignment="1">
      <alignment horizontal="center" vertical="center" wrapText="1"/>
    </xf>
    <xf numFmtId="0" fontId="0" fillId="0" borderId="18" xfId="0" applyFill="1" applyBorder="1"/>
    <xf numFmtId="174" fontId="33" fillId="12" borderId="18" xfId="0" applyNumberFormat="1" applyFont="1" applyFill="1" applyBorder="1" applyAlignment="1">
      <alignment vertical="center"/>
    </xf>
    <xf numFmtId="10" fontId="35" fillId="0" borderId="18" xfId="2823" applyNumberFormat="1" applyFont="1" applyFill="1" applyBorder="1" applyAlignment="1">
      <alignment horizontal="center" vertical="center" wrapText="1"/>
    </xf>
    <xf numFmtId="10" fontId="45" fillId="12" borderId="18" xfId="0" applyNumberFormat="1" applyFont="1" applyFill="1" applyBorder="1" applyAlignment="1">
      <alignment vertical="center"/>
    </xf>
    <xf numFmtId="10" fontId="16" fillId="9" borderId="0" xfId="2823" applyNumberFormat="1" applyFont="1" applyFill="1" applyAlignment="1">
      <alignment vertical="center"/>
    </xf>
    <xf numFmtId="174" fontId="33" fillId="13" borderId="1" xfId="0" applyNumberFormat="1" applyFont="1" applyFill="1" applyBorder="1" applyAlignment="1">
      <alignment vertical="center"/>
    </xf>
    <xf numFmtId="10" fontId="35" fillId="0" borderId="1" xfId="2823" applyNumberFormat="1" applyFont="1" applyFill="1" applyBorder="1" applyAlignment="1">
      <alignment horizontal="center" vertical="center" wrapText="1"/>
    </xf>
    <xf numFmtId="10" fontId="45" fillId="13" borderId="1" xfId="0" applyNumberFormat="1" applyFont="1" applyFill="1" applyBorder="1" applyAlignment="1">
      <alignment vertical="center"/>
    </xf>
    <xf numFmtId="10" fontId="45" fillId="12" borderId="1" xfId="0" applyNumberFormat="1" applyFont="1" applyFill="1" applyBorder="1" applyAlignment="1">
      <alignment vertical="center"/>
    </xf>
    <xf numFmtId="10" fontId="16" fillId="0" borderId="0" xfId="2823" applyNumberFormat="1" applyFont="1" applyFill="1" applyAlignment="1">
      <alignment vertical="center"/>
    </xf>
    <xf numFmtId="10" fontId="44" fillId="12" borderId="32" xfId="2857" applyNumberFormat="1" applyFont="1" applyFill="1" applyBorder="1" applyAlignment="1">
      <alignment horizontal="center" vertical="center" wrapText="1"/>
    </xf>
    <xf numFmtId="0" fontId="44" fillId="12" borderId="33" xfId="2823" applyFont="1" applyFill="1" applyBorder="1" applyAlignment="1">
      <alignment horizontal="center" vertical="top" wrapText="1"/>
    </xf>
    <xf numFmtId="0" fontId="33" fillId="0" borderId="0" xfId="2823" applyFont="1" applyFill="1" applyAlignment="1">
      <alignment vertical="center"/>
    </xf>
    <xf numFmtId="0" fontId="16" fillId="9" borderId="0" xfId="2823" applyFont="1" applyFill="1" applyAlignment="1">
      <alignment horizontal="left" vertical="center"/>
    </xf>
    <xf numFmtId="10" fontId="18" fillId="9" borderId="0" xfId="2823" applyNumberFormat="1" applyFont="1" applyFill="1" applyAlignment="1">
      <alignment vertical="center"/>
    </xf>
    <xf numFmtId="0" fontId="16" fillId="9" borderId="0" xfId="2823" applyFont="1" applyFill="1" applyAlignment="1">
      <alignment vertical="top"/>
    </xf>
    <xf numFmtId="0" fontId="16" fillId="0" borderId="0" xfId="2823" applyFont="1" applyFill="1" applyAlignment="1">
      <alignment horizontal="left" vertical="center"/>
    </xf>
    <xf numFmtId="0" fontId="0" fillId="0" borderId="31" xfId="0" applyBorder="1"/>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0" xfId="0" applyFont="1"/>
    <xf numFmtId="0" fontId="0" fillId="0" borderId="0" xfId="0" applyAlignment="1">
      <alignment horizontal="center" vertical="center"/>
    </xf>
    <xf numFmtId="0" fontId="0" fillId="0" borderId="43" xfId="0" applyFill="1" applyBorder="1"/>
    <xf numFmtId="0" fontId="44" fillId="13" borderId="21" xfId="0" applyFont="1" applyFill="1" applyBorder="1" applyAlignment="1">
      <alignment horizontal="center" vertical="center"/>
    </xf>
    <xf numFmtId="0" fontId="44" fillId="12" borderId="1" xfId="2844" applyFont="1" applyFill="1" applyBorder="1" applyAlignment="1">
      <alignment horizontal="center" vertical="center" wrapText="1"/>
    </xf>
    <xf numFmtId="0" fontId="44" fillId="12" borderId="43" xfId="2844" applyFont="1" applyFill="1" applyBorder="1" applyAlignment="1">
      <alignment horizontal="center" vertical="center" wrapText="1"/>
    </xf>
    <xf numFmtId="0" fontId="18" fillId="0" borderId="21" xfId="0" applyFont="1" applyBorder="1" applyAlignment="1">
      <alignment vertical="center"/>
    </xf>
    <xf numFmtId="0" fontId="0" fillId="0" borderId="28" xfId="0" applyBorder="1" applyAlignment="1">
      <alignment horizontal="center" vertical="center"/>
    </xf>
    <xf numFmtId="0" fontId="0" fillId="0" borderId="21" xfId="0" applyBorder="1"/>
    <xf numFmtId="0" fontId="0" fillId="0" borderId="43" xfId="0" applyBorder="1"/>
    <xf numFmtId="0" fontId="0" fillId="0" borderId="27" xfId="0" applyBorder="1"/>
    <xf numFmtId="0" fontId="0" fillId="0" borderId="28" xfId="0" applyBorder="1"/>
    <xf numFmtId="0" fontId="44" fillId="12" borderId="1" xfId="2844" applyFont="1" applyFill="1" applyBorder="1" applyAlignment="1">
      <alignment horizontal="center" vertical="top" wrapText="1"/>
    </xf>
    <xf numFmtId="0" fontId="0" fillId="0" borderId="1" xfId="0" applyFill="1" applyBorder="1" applyAlignment="1">
      <alignment vertical="center"/>
    </xf>
    <xf numFmtId="0" fontId="0" fillId="0" borderId="25" xfId="0" applyBorder="1" applyAlignment="1">
      <alignment horizontal="center" vertical="center"/>
    </xf>
    <xf numFmtId="0" fontId="0" fillId="0" borderId="25" xfId="0" applyFill="1" applyBorder="1" applyAlignment="1">
      <alignment horizontal="center" vertical="center"/>
    </xf>
    <xf numFmtId="0" fontId="0" fillId="0" borderId="28" xfId="0" applyFill="1" applyBorder="1"/>
    <xf numFmtId="0" fontId="0" fillId="0" borderId="40" xfId="0" applyBorder="1"/>
    <xf numFmtId="0" fontId="44" fillId="12" borderId="28" xfId="2844" applyFont="1" applyFill="1" applyBorder="1" applyAlignment="1">
      <alignment horizontal="center" vertical="center" wrapText="1"/>
    </xf>
    <xf numFmtId="0" fontId="44" fillId="12" borderId="40" xfId="2844" applyFont="1" applyFill="1" applyBorder="1" applyAlignment="1">
      <alignment horizontal="center" vertical="center" wrapText="1"/>
    </xf>
    <xf numFmtId="0" fontId="0" fillId="0" borderId="41" xfId="0" applyBorder="1"/>
    <xf numFmtId="0" fontId="0" fillId="0" borderId="45" xfId="0" applyBorder="1"/>
    <xf numFmtId="0" fontId="0" fillId="0" borderId="2" xfId="0" applyBorder="1"/>
    <xf numFmtId="0" fontId="0" fillId="0" borderId="42" xfId="0" applyBorder="1"/>
    <xf numFmtId="0" fontId="36" fillId="12" borderId="1" xfId="0" applyFont="1" applyFill="1" applyBorder="1" applyAlignment="1">
      <alignment horizontal="center" vertical="center" wrapText="1"/>
    </xf>
    <xf numFmtId="0" fontId="18" fillId="0" borderId="21" xfId="0" applyFont="1" applyFill="1" applyBorder="1" applyAlignment="1">
      <alignment horizontal="left" vertical="center"/>
    </xf>
    <xf numFmtId="0" fontId="18" fillId="0" borderId="21" xfId="0" applyFont="1" applyFill="1" applyBorder="1" applyAlignment="1">
      <alignment vertical="center"/>
    </xf>
    <xf numFmtId="0" fontId="44" fillId="13" borderId="24" xfId="0" applyFont="1" applyFill="1" applyBorder="1" applyAlignment="1">
      <alignment horizontal="center" vertical="center"/>
    </xf>
    <xf numFmtId="0" fontId="44" fillId="12" borderId="25" xfId="2844" applyFont="1" applyFill="1" applyBorder="1" applyAlignment="1">
      <alignment horizontal="center" vertical="center" wrapText="1"/>
    </xf>
    <xf numFmtId="0" fontId="44" fillId="12" borderId="44" xfId="2844" applyFont="1" applyFill="1" applyBorder="1" applyAlignment="1">
      <alignment horizontal="center" vertical="center" wrapText="1"/>
    </xf>
    <xf numFmtId="0" fontId="0" fillId="0" borderId="18" xfId="0" applyBorder="1" applyAlignment="1">
      <alignment horizontal="left"/>
    </xf>
    <xf numFmtId="179" fontId="0" fillId="0" borderId="18" xfId="0" applyNumberFormat="1" applyBorder="1"/>
    <xf numFmtId="0" fontId="0" fillId="0" borderId="1" xfId="0" applyBorder="1" applyAlignment="1">
      <alignment horizontal="left"/>
    </xf>
    <xf numFmtId="179" fontId="0" fillId="0" borderId="1" xfId="0" applyNumberFormat="1" applyBorder="1"/>
    <xf numFmtId="0" fontId="0" fillId="0" borderId="28" xfId="0" applyBorder="1" applyAlignment="1">
      <alignment horizontal="left"/>
    </xf>
    <xf numFmtId="179" fontId="0" fillId="0" borderId="28" xfId="0" applyNumberFormat="1" applyBorder="1"/>
    <xf numFmtId="0" fontId="0" fillId="0" borderId="25" xfId="0" applyBorder="1" applyAlignment="1">
      <alignment horizontal="left"/>
    </xf>
    <xf numFmtId="179" fontId="0" fillId="0" borderId="25" xfId="0" applyNumberFormat="1" applyBorder="1"/>
    <xf numFmtId="179" fontId="0" fillId="0" borderId="18" xfId="0" applyNumberFormat="1" applyFill="1" applyBorder="1"/>
    <xf numFmtId="179" fontId="0" fillId="0" borderId="1" xfId="0" applyNumberFormat="1" applyFill="1" applyBorder="1"/>
    <xf numFmtId="179" fontId="0" fillId="0" borderId="28" xfId="0" applyNumberFormat="1" applyFill="1" applyBorder="1"/>
    <xf numFmtId="179" fontId="0" fillId="0" borderId="25" xfId="0" applyNumberFormat="1" applyFill="1" applyBorder="1"/>
    <xf numFmtId="179" fontId="0" fillId="0" borderId="19" xfId="0" applyNumberFormat="1" applyFill="1" applyBorder="1"/>
    <xf numFmtId="179" fontId="10" fillId="0" borderId="46" xfId="186" applyFill="1" applyBorder="1"/>
    <xf numFmtId="179" fontId="0" fillId="0" borderId="22" xfId="0" applyNumberFormat="1" applyFill="1" applyBorder="1"/>
    <xf numFmtId="179" fontId="10" fillId="0" borderId="36" xfId="186" applyFill="1" applyBorder="1"/>
    <xf numFmtId="179" fontId="0" fillId="0" borderId="29" xfId="0" applyNumberFormat="1" applyFill="1" applyBorder="1"/>
    <xf numFmtId="179" fontId="10" fillId="0" borderId="38" xfId="186" applyFill="1" applyBorder="1"/>
    <xf numFmtId="0" fontId="0" fillId="0" borderId="47" xfId="0" applyBorder="1"/>
    <xf numFmtId="169" fontId="0" fillId="0" borderId="18" xfId="0" applyNumberFormat="1" applyBorder="1"/>
    <xf numFmtId="0" fontId="0" fillId="0" borderId="37" xfId="0" applyBorder="1"/>
    <xf numFmtId="169" fontId="0" fillId="0" borderId="1" xfId="0" applyNumberFormat="1" applyBorder="1"/>
    <xf numFmtId="0" fontId="0" fillId="0" borderId="48" xfId="0" applyBorder="1"/>
    <xf numFmtId="169" fontId="0" fillId="0" borderId="28" xfId="0" applyNumberFormat="1" applyBorder="1"/>
    <xf numFmtId="0" fontId="44" fillId="12" borderId="22" xfId="2844" applyFont="1" applyFill="1" applyBorder="1" applyAlignment="1">
      <alignment horizontal="center" vertical="center" wrapText="1"/>
    </xf>
    <xf numFmtId="0" fontId="44" fillId="12" borderId="17" xfId="2844" applyFont="1" applyFill="1" applyBorder="1" applyAlignment="1">
      <alignment horizontal="center" vertical="center" wrapText="1"/>
    </xf>
    <xf numFmtId="0" fontId="44" fillId="12" borderId="18" xfId="2844" applyFont="1" applyFill="1" applyBorder="1" applyAlignment="1">
      <alignment horizontal="center" vertical="center" wrapText="1"/>
    </xf>
    <xf numFmtId="0" fontId="44" fillId="12" borderId="18" xfId="2844" applyFont="1" applyFill="1" applyBorder="1" applyAlignment="1">
      <alignment horizontal="center" vertical="top" wrapText="1"/>
    </xf>
    <xf numFmtId="0" fontId="44" fillId="12" borderId="49" xfId="2844" applyFont="1" applyFill="1" applyBorder="1" applyAlignment="1">
      <alignment horizontal="center" vertical="center" wrapText="1"/>
    </xf>
    <xf numFmtId="10" fontId="0" fillId="0" borderId="0" xfId="0" applyNumberFormat="1"/>
    <xf numFmtId="0" fontId="18" fillId="0" borderId="21" xfId="0" applyFont="1" applyBorder="1"/>
    <xf numFmtId="0" fontId="0" fillId="0" borderId="2" xfId="0" applyBorder="1" applyAlignment="1">
      <alignment horizontal="center" vertical="center" wrapText="1"/>
    </xf>
    <xf numFmtId="9" fontId="10" fillId="0" borderId="1" xfId="2858" applyFont="1" applyFill="1" applyBorder="1" applyAlignment="1">
      <alignment vertical="center"/>
    </xf>
    <xf numFmtId="0" fontId="0" fillId="0" borderId="43" xfId="0" applyFill="1" applyBorder="1" applyAlignment="1">
      <alignment vertical="center"/>
    </xf>
    <xf numFmtId="0" fontId="0" fillId="0" borderId="0" xfId="0" applyAlignment="1">
      <alignment vertical="center"/>
    </xf>
    <xf numFmtId="0" fontId="18" fillId="0" borderId="21" xfId="0" applyFont="1" applyFill="1" applyBorder="1"/>
    <xf numFmtId="10" fontId="10" fillId="0" borderId="1" xfId="2858" applyNumberFormat="1" applyFont="1" applyFill="1" applyBorder="1"/>
    <xf numFmtId="0" fontId="0" fillId="0" borderId="1" xfId="0" applyFill="1" applyBorder="1" applyAlignment="1">
      <alignment horizontal="center"/>
    </xf>
    <xf numFmtId="0" fontId="0" fillId="0" borderId="2" xfId="0" applyFill="1" applyBorder="1" applyAlignment="1">
      <alignment horizontal="center" vertical="center" wrapText="1"/>
    </xf>
    <xf numFmtId="0" fontId="18" fillId="22" borderId="27" xfId="0" applyFont="1" applyFill="1" applyBorder="1"/>
    <xf numFmtId="0" fontId="0" fillId="22" borderId="28" xfId="0" applyFill="1" applyBorder="1" applyAlignment="1">
      <alignment horizontal="center" vertical="center"/>
    </xf>
    <xf numFmtId="0" fontId="0" fillId="22" borderId="28" xfId="0" applyFill="1" applyBorder="1"/>
    <xf numFmtId="10" fontId="10" fillId="22" borderId="1" xfId="2858" applyNumberFormat="1" applyFont="1" applyFill="1" applyBorder="1" applyAlignment="1">
      <alignment vertical="center"/>
    </xf>
    <xf numFmtId="0" fontId="0" fillId="22" borderId="28" xfId="0" applyFill="1" applyBorder="1" applyAlignment="1">
      <alignment horizontal="center"/>
    </xf>
    <xf numFmtId="0" fontId="0" fillId="22" borderId="40" xfId="0" applyFill="1" applyBorder="1"/>
    <xf numFmtId="0" fontId="18" fillId="0" borderId="0" xfId="0" applyFont="1"/>
    <xf numFmtId="0" fontId="0" fillId="0" borderId="0" xfId="0" applyAlignment="1">
      <alignment horizontal="center" vertical="center" wrapText="1"/>
    </xf>
    <xf numFmtId="0" fontId="44" fillId="13" borderId="17" xfId="0" applyFont="1" applyFill="1" applyBorder="1" applyAlignment="1">
      <alignment horizontal="center" vertical="center"/>
    </xf>
    <xf numFmtId="0" fontId="44" fillId="12" borderId="19" xfId="2844" applyFont="1" applyFill="1" applyBorder="1" applyAlignment="1">
      <alignment horizontal="center" vertical="center" wrapText="1"/>
    </xf>
    <xf numFmtId="0" fontId="0" fillId="0" borderId="2" xfId="0" applyBorder="1" applyAlignment="1">
      <alignment horizontal="center" vertical="center"/>
    </xf>
    <xf numFmtId="9" fontId="10" fillId="0" borderId="1" xfId="2858" applyFont="1" applyFill="1" applyBorder="1"/>
    <xf numFmtId="9" fontId="10" fillId="22" borderId="28" xfId="2858" applyFont="1" applyFill="1" applyBorder="1"/>
    <xf numFmtId="174" fontId="10" fillId="0" borderId="1" xfId="2858" applyNumberFormat="1" applyFont="1" applyFill="1" applyBorder="1"/>
    <xf numFmtId="2" fontId="0" fillId="0" borderId="1" xfId="0" applyNumberFormat="1" applyFill="1" applyBorder="1"/>
    <xf numFmtId="0" fontId="18" fillId="0" borderId="0" xfId="0" applyFont="1" applyFill="1"/>
    <xf numFmtId="9" fontId="10" fillId="0" borderId="0" xfId="2858" applyFont="1" applyFill="1"/>
    <xf numFmtId="0" fontId="18" fillId="22" borderId="21" xfId="0" applyFont="1" applyFill="1" applyBorder="1"/>
    <xf numFmtId="0" fontId="0" fillId="22" borderId="1" xfId="0" applyFill="1" applyBorder="1" applyAlignment="1">
      <alignment horizontal="center" vertical="center"/>
    </xf>
    <xf numFmtId="0" fontId="0" fillId="22" borderId="1" xfId="0" applyFill="1" applyBorder="1"/>
    <xf numFmtId="9" fontId="10" fillId="22" borderId="1" xfId="2857" applyFill="1" applyBorder="1"/>
    <xf numFmtId="0" fontId="0" fillId="22" borderId="1" xfId="0" applyFill="1" applyBorder="1" applyAlignment="1">
      <alignment horizontal="center"/>
    </xf>
    <xf numFmtId="0" fontId="0" fillId="22" borderId="43" xfId="0" applyFill="1" applyBorder="1"/>
    <xf numFmtId="9" fontId="10" fillId="0" borderId="1" xfId="2857" applyBorder="1"/>
    <xf numFmtId="0" fontId="18" fillId="0" borderId="27" xfId="0" applyFont="1" applyFill="1" applyBorder="1"/>
    <xf numFmtId="9" fontId="10" fillId="0" borderId="28" xfId="2857" applyBorder="1"/>
    <xf numFmtId="0" fontId="0" fillId="0" borderId="28" xfId="0" applyBorder="1" applyAlignment="1">
      <alignment horizontal="center"/>
    </xf>
    <xf numFmtId="0" fontId="0" fillId="0" borderId="40" xfId="0" applyFill="1" applyBorder="1"/>
    <xf numFmtId="10" fontId="10" fillId="22" borderId="1" xfId="2857" applyNumberFormat="1" applyFill="1" applyBorder="1"/>
    <xf numFmtId="0" fontId="0" fillId="0" borderId="28" xfId="0" applyFill="1" applyBorder="1" applyAlignment="1">
      <alignment horizontal="center"/>
    </xf>
    <xf numFmtId="0" fontId="0" fillId="22" borderId="25" xfId="0" applyFill="1" applyBorder="1" applyAlignment="1">
      <alignment horizontal="center" vertical="center"/>
    </xf>
    <xf numFmtId="2" fontId="0" fillId="22" borderId="1" xfId="0" applyNumberFormat="1" applyFill="1" applyBorder="1" applyAlignment="1">
      <alignment horizontal="center"/>
    </xf>
    <xf numFmtId="0" fontId="0" fillId="22" borderId="21" xfId="0" applyFill="1" applyBorder="1"/>
    <xf numFmtId="0" fontId="0" fillId="22" borderId="2" xfId="0" applyFill="1" applyBorder="1" applyAlignment="1">
      <alignment horizontal="center" vertical="center" wrapText="1"/>
    </xf>
    <xf numFmtId="0" fontId="0" fillId="22" borderId="0" xfId="0" applyFill="1"/>
    <xf numFmtId="0" fontId="0" fillId="22" borderId="0" xfId="0" applyFill="1" applyAlignment="1">
      <alignment vertical="center"/>
    </xf>
    <xf numFmtId="0" fontId="0" fillId="22" borderId="1" xfId="0" applyFill="1" applyBorder="1" applyAlignment="1">
      <alignment horizontal="right"/>
    </xf>
    <xf numFmtId="0" fontId="0" fillId="22" borderId="0" xfId="0" applyFill="1" applyAlignment="1">
      <alignment horizontal="left"/>
    </xf>
    <xf numFmtId="0" fontId="0" fillId="22" borderId="27" xfId="0" applyFill="1" applyBorder="1"/>
    <xf numFmtId="0" fontId="0" fillId="22" borderId="0" xfId="0" applyFill="1" applyAlignment="1">
      <alignment horizontal="center" vertical="center"/>
    </xf>
    <xf numFmtId="0" fontId="18" fillId="0" borderId="41" xfId="0" applyFont="1" applyBorder="1" applyAlignment="1"/>
    <xf numFmtId="168" fontId="10" fillId="0" borderId="31" xfId="229" applyBorder="1" applyAlignment="1"/>
    <xf numFmtId="0" fontId="0" fillId="0" borderId="45" xfId="0" applyBorder="1" applyAlignment="1"/>
    <xf numFmtId="0" fontId="0" fillId="0" borderId="0" xfId="0" applyAlignment="1"/>
    <xf numFmtId="168" fontId="0" fillId="0" borderId="0" xfId="0" applyNumberFormat="1" applyAlignment="1"/>
    <xf numFmtId="168" fontId="10" fillId="0" borderId="1" xfId="229" applyBorder="1"/>
    <xf numFmtId="168" fontId="10" fillId="0" borderId="1" xfId="229" applyFill="1" applyBorder="1" applyAlignment="1">
      <alignment vertical="center"/>
    </xf>
    <xf numFmtId="0" fontId="0" fillId="0" borderId="0" xfId="0" applyFill="1" applyAlignment="1"/>
    <xf numFmtId="168" fontId="0" fillId="22" borderId="28" xfId="0" applyNumberFormat="1" applyFill="1" applyBorder="1"/>
    <xf numFmtId="0" fontId="18" fillId="22" borderId="40" xfId="0" applyFont="1" applyFill="1" applyBorder="1"/>
    <xf numFmtId="168" fontId="0" fillId="0" borderId="1" xfId="0" applyNumberFormat="1" applyBorder="1" applyAlignment="1"/>
    <xf numFmtId="168" fontId="10" fillId="0" borderId="1" xfId="229" applyBorder="1" applyAlignment="1"/>
    <xf numFmtId="0" fontId="0" fillId="0" borderId="1" xfId="0" applyBorder="1" applyAlignment="1"/>
    <xf numFmtId="0" fontId="18" fillId="0" borderId="21" xfId="0" applyFont="1" applyBorder="1" applyAlignment="1"/>
    <xf numFmtId="168" fontId="0" fillId="0" borderId="1" xfId="0" applyNumberFormat="1" applyFill="1" applyBorder="1" applyAlignment="1">
      <alignment vertical="center"/>
    </xf>
    <xf numFmtId="168" fontId="0" fillId="0" borderId="0" xfId="0" applyNumberFormat="1" applyFill="1" applyAlignment="1"/>
    <xf numFmtId="0" fontId="0" fillId="22" borderId="1" xfId="0" applyFill="1" applyBorder="1" applyAlignment="1">
      <alignment vertical="center"/>
    </xf>
    <xf numFmtId="168" fontId="0" fillId="0" borderId="0" xfId="0" applyNumberFormat="1"/>
    <xf numFmtId="168" fontId="0" fillId="0" borderId="1" xfId="0" applyNumberFormat="1" applyBorder="1"/>
    <xf numFmtId="168" fontId="0" fillId="22" borderId="1" xfId="0" applyNumberFormat="1" applyFill="1" applyBorder="1"/>
    <xf numFmtId="0" fontId="18" fillId="0" borderId="0" xfId="0" applyFont="1" applyFill="1" applyAlignment="1">
      <alignment horizontal="center" vertical="top" wrapText="1"/>
    </xf>
    <xf numFmtId="168" fontId="0" fillId="0" borderId="0" xfId="0" applyNumberFormat="1" applyFill="1"/>
    <xf numFmtId="0" fontId="0" fillId="0" borderId="0" xfId="0" applyFill="1" applyAlignment="1">
      <alignment vertical="center"/>
    </xf>
    <xf numFmtId="0" fontId="18" fillId="22" borderId="41" xfId="0" applyFont="1" applyFill="1" applyBorder="1" applyAlignment="1"/>
    <xf numFmtId="168" fontId="10" fillId="22" borderId="31" xfId="229" applyFill="1" applyBorder="1" applyAlignment="1"/>
    <xf numFmtId="0" fontId="0" fillId="22" borderId="45" xfId="0" applyFill="1" applyBorder="1" applyAlignment="1"/>
    <xf numFmtId="168" fontId="0" fillId="0" borderId="28" xfId="0" applyNumberFormat="1" applyFill="1" applyBorder="1"/>
    <xf numFmtId="0" fontId="18" fillId="0" borderId="40" xfId="0" applyFont="1" applyFill="1" applyBorder="1"/>
    <xf numFmtId="0" fontId="44" fillId="12" borderId="5" xfId="2844" applyFont="1" applyFill="1" applyBorder="1" applyAlignment="1">
      <alignment horizontal="center" vertical="center" wrapText="1"/>
    </xf>
    <xf numFmtId="0" fontId="44" fillId="12" borderId="14" xfId="2844" applyFont="1" applyFill="1" applyBorder="1" applyAlignment="1">
      <alignment horizontal="center" vertical="center" wrapText="1"/>
    </xf>
    <xf numFmtId="168" fontId="0" fillId="22" borderId="1" xfId="0" applyNumberFormat="1" applyFill="1" applyBorder="1" applyAlignment="1"/>
    <xf numFmtId="168" fontId="10" fillId="22" borderId="1" xfId="229" applyFill="1" applyBorder="1" applyAlignment="1"/>
    <xf numFmtId="0" fontId="0" fillId="22" borderId="43" xfId="0" applyFill="1" applyBorder="1" applyAlignment="1"/>
    <xf numFmtId="0" fontId="0" fillId="0" borderId="43" xfId="0" applyBorder="1" applyAlignment="1"/>
    <xf numFmtId="0" fontId="0" fillId="0" borderId="40" xfId="0" applyFill="1" applyBorder="1" applyAlignment="1">
      <alignment vertical="center"/>
    </xf>
    <xf numFmtId="0" fontId="36" fillId="12" borderId="18" xfId="0" applyFont="1" applyFill="1" applyBorder="1" applyAlignment="1">
      <alignment horizontal="center" vertical="center" wrapText="1"/>
    </xf>
    <xf numFmtId="0" fontId="18" fillId="0" borderId="1" xfId="0" applyFont="1" applyBorder="1" applyAlignment="1">
      <alignment horizontal="center" wrapText="1"/>
    </xf>
    <xf numFmtId="0" fontId="18" fillId="0" borderId="1" xfId="0" applyFont="1" applyBorder="1"/>
    <xf numFmtId="0" fontId="18" fillId="0" borderId="43" xfId="0" applyFont="1" applyBorder="1"/>
    <xf numFmtId="0" fontId="18" fillId="0" borderId="1" xfId="0" applyFont="1" applyFill="1" applyBorder="1" applyAlignment="1">
      <alignment horizontal="center" wrapText="1"/>
    </xf>
    <xf numFmtId="0" fontId="18" fillId="0" borderId="1" xfId="0" applyFont="1" applyFill="1" applyBorder="1"/>
    <xf numFmtId="0" fontId="18" fillId="0" borderId="43" xfId="0" applyFont="1" applyFill="1" applyBorder="1"/>
    <xf numFmtId="9" fontId="18" fillId="0" borderId="1" xfId="2858" applyFont="1" applyFill="1" applyBorder="1"/>
    <xf numFmtId="0" fontId="18" fillId="22" borderId="28" xfId="0" applyFont="1" applyFill="1" applyBorder="1" applyAlignment="1">
      <alignment horizontal="center" wrapText="1"/>
    </xf>
    <xf numFmtId="0" fontId="18" fillId="22" borderId="28" xfId="0" applyFont="1" applyFill="1" applyBorder="1"/>
    <xf numFmtId="9" fontId="18" fillId="22" borderId="28" xfId="2858" applyFont="1" applyFill="1" applyBorder="1"/>
    <xf numFmtId="0" fontId="18" fillId="0" borderId="0" xfId="0" applyFont="1" applyAlignment="1">
      <alignment horizontal="center"/>
    </xf>
    <xf numFmtId="0" fontId="36" fillId="12" borderId="25" xfId="0" applyFont="1" applyFill="1" applyBorder="1" applyAlignment="1">
      <alignment horizontal="center" vertical="center" wrapText="1"/>
    </xf>
    <xf numFmtId="0" fontId="18" fillId="0" borderId="17" xfId="0" applyFont="1" applyBorder="1"/>
    <xf numFmtId="0" fontId="18" fillId="0" borderId="18" xfId="0" applyFont="1" applyBorder="1" applyAlignment="1">
      <alignment horizontal="center"/>
    </xf>
    <xf numFmtId="0" fontId="18" fillId="0" borderId="18" xfId="0" applyFont="1" applyBorder="1"/>
    <xf numFmtId="0" fontId="18" fillId="0" borderId="49" xfId="0" applyFont="1" applyBorder="1"/>
    <xf numFmtId="0" fontId="18" fillId="0" borderId="1" xfId="0" applyFont="1" applyBorder="1" applyAlignment="1">
      <alignment horizontal="center"/>
    </xf>
    <xf numFmtId="0" fontId="18" fillId="0" borderId="1" xfId="0" applyFont="1" applyFill="1" applyBorder="1" applyAlignment="1">
      <alignment horizontal="center"/>
    </xf>
    <xf numFmtId="2" fontId="18" fillId="0" borderId="1" xfId="0" applyNumberFormat="1" applyFont="1" applyFill="1" applyBorder="1"/>
    <xf numFmtId="0" fontId="18" fillId="22" borderId="28" xfId="0" applyFont="1" applyFill="1" applyBorder="1" applyAlignment="1">
      <alignment horizontal="center"/>
    </xf>
    <xf numFmtId="0" fontId="18" fillId="0" borderId="28" xfId="0" applyFont="1" applyBorder="1" applyAlignment="1">
      <alignment horizontal="center"/>
    </xf>
    <xf numFmtId="0" fontId="18" fillId="0" borderId="28" xfId="0" applyFont="1" applyBorder="1"/>
    <xf numFmtId="9" fontId="18" fillId="0" borderId="28" xfId="2858" applyFont="1" applyBorder="1"/>
    <xf numFmtId="0" fontId="18" fillId="0" borderId="0" xfId="0" applyFont="1" applyFill="1" applyAlignment="1">
      <alignment horizontal="center" vertical="center"/>
    </xf>
    <xf numFmtId="0" fontId="18" fillId="0" borderId="0" xfId="0" applyFont="1" applyFill="1" applyAlignment="1">
      <alignment horizontal="center"/>
    </xf>
    <xf numFmtId="9" fontId="18" fillId="0" borderId="0" xfId="2858" applyFont="1" applyFill="1"/>
    <xf numFmtId="0" fontId="18" fillId="22" borderId="1" xfId="0" applyFont="1" applyFill="1" applyBorder="1" applyAlignment="1">
      <alignment horizontal="center" wrapText="1"/>
    </xf>
    <xf numFmtId="0" fontId="18" fillId="22" borderId="1" xfId="0" applyFont="1" applyFill="1" applyBorder="1"/>
    <xf numFmtId="10" fontId="18" fillId="22" borderId="1" xfId="2857" applyNumberFormat="1" applyFont="1" applyFill="1" applyBorder="1"/>
    <xf numFmtId="0" fontId="18" fillId="22" borderId="43" xfId="0" applyFont="1" applyFill="1" applyBorder="1"/>
    <xf numFmtId="10" fontId="18" fillId="0" borderId="1" xfId="2857" applyNumberFormat="1" applyFont="1" applyFill="1" applyBorder="1"/>
    <xf numFmtId="0" fontId="18" fillId="0" borderId="28" xfId="0" applyFont="1" applyBorder="1" applyAlignment="1">
      <alignment horizontal="center" wrapText="1"/>
    </xf>
    <xf numFmtId="0" fontId="18" fillId="0" borderId="28" xfId="0" applyFont="1" applyFill="1" applyBorder="1"/>
    <xf numFmtId="10" fontId="18" fillId="0" borderId="28" xfId="2857" applyNumberFormat="1" applyFont="1" applyFill="1" applyBorder="1"/>
    <xf numFmtId="0" fontId="18" fillId="22" borderId="21" xfId="0" applyFont="1" applyFill="1" applyBorder="1" applyAlignment="1"/>
    <xf numFmtId="0" fontId="18" fillId="22" borderId="1" xfId="0" applyFont="1" applyFill="1" applyBorder="1" applyAlignment="1">
      <alignment horizontal="center"/>
    </xf>
    <xf numFmtId="10" fontId="18" fillId="0" borderId="1" xfId="2857" applyNumberFormat="1" applyFont="1" applyBorder="1"/>
    <xf numFmtId="10" fontId="18" fillId="0" borderId="28" xfId="2857" applyNumberFormat="1" applyFont="1" applyBorder="1"/>
    <xf numFmtId="4" fontId="0" fillId="9" borderId="0" xfId="0" applyNumberFormat="1" applyFill="1"/>
    <xf numFmtId="4" fontId="0" fillId="9" borderId="0" xfId="0" applyNumberFormat="1" applyFill="1" applyAlignment="1">
      <alignment horizontal="center" vertical="center"/>
    </xf>
    <xf numFmtId="0" fontId="46" fillId="9" borderId="0" xfId="0" applyFont="1" applyFill="1" applyProtection="1">
      <protection locked="0"/>
    </xf>
    <xf numFmtId="0" fontId="46" fillId="9" borderId="0" xfId="0" applyFont="1" applyFill="1" applyAlignment="1" applyProtection="1">
      <alignment horizontal="center"/>
      <protection locked="0"/>
    </xf>
    <xf numFmtId="0" fontId="47" fillId="9" borderId="0" xfId="0" applyFont="1" applyFill="1" applyAlignment="1" applyProtection="1">
      <alignment horizontal="center"/>
      <protection locked="0"/>
    </xf>
    <xf numFmtId="0" fontId="0" fillId="9" borderId="0" xfId="0" applyFill="1" applyAlignment="1">
      <alignment horizontal="center" vertical="center"/>
    </xf>
    <xf numFmtId="0" fontId="0" fillId="0" borderId="0" xfId="0"/>
    <xf numFmtId="0" fontId="60" fillId="0" borderId="0" xfId="0" applyFont="1"/>
    <xf numFmtId="0" fontId="64" fillId="24" borderId="86" xfId="0" applyFont="1" applyFill="1" applyBorder="1" applyAlignment="1" applyProtection="1">
      <alignment horizontal="left" vertical="center" wrapText="1"/>
      <protection locked="0"/>
    </xf>
    <xf numFmtId="181" fontId="62" fillId="0" borderId="57" xfId="0" applyNumberFormat="1" applyFont="1" applyFill="1" applyBorder="1" applyAlignment="1">
      <alignment horizontal="center" vertical="center" wrapText="1"/>
    </xf>
    <xf numFmtId="3" fontId="62" fillId="0" borderId="87" xfId="0" applyNumberFormat="1" applyFont="1" applyFill="1" applyBorder="1" applyAlignment="1">
      <alignment horizontal="center" vertical="center"/>
    </xf>
    <xf numFmtId="181" fontId="61" fillId="0" borderId="57" xfId="0" applyNumberFormat="1" applyFont="1" applyFill="1" applyBorder="1" applyAlignment="1">
      <alignment horizontal="center" vertical="center" wrapText="1"/>
    </xf>
    <xf numFmtId="3" fontId="59" fillId="0" borderId="57" xfId="0" applyNumberFormat="1" applyFont="1" applyFill="1" applyBorder="1" applyAlignment="1">
      <alignment horizontal="center" vertical="center" wrapText="1"/>
    </xf>
    <xf numFmtId="3" fontId="61" fillId="0" borderId="57" xfId="0" applyNumberFormat="1" applyFont="1" applyFill="1" applyBorder="1" applyAlignment="1">
      <alignment horizontal="center" vertical="center" wrapText="1"/>
    </xf>
    <xf numFmtId="0" fontId="0" fillId="0" borderId="57" xfId="0" applyFill="1" applyBorder="1" applyAlignment="1">
      <alignment horizontal="center"/>
    </xf>
    <xf numFmtId="0" fontId="0" fillId="0" borderId="57" xfId="0" applyFill="1" applyBorder="1"/>
    <xf numFmtId="181" fontId="62" fillId="0" borderId="57" xfId="0" applyNumberFormat="1" applyFont="1" applyFill="1" applyBorder="1" applyAlignment="1">
      <alignment horizontal="center" vertical="center"/>
    </xf>
    <xf numFmtId="0" fontId="64" fillId="26" borderId="92" xfId="0" applyFont="1" applyFill="1" applyBorder="1" applyAlignment="1" applyProtection="1">
      <alignment horizontal="left" vertical="center" wrapText="1"/>
      <protection locked="0"/>
    </xf>
    <xf numFmtId="37" fontId="63" fillId="0" borderId="57" xfId="949" applyNumberFormat="1" applyFont="1" applyFill="1" applyBorder="1" applyAlignment="1">
      <alignment horizontal="center" vertical="center"/>
    </xf>
    <xf numFmtId="3" fontId="62" fillId="0" borderId="93" xfId="0" applyNumberFormat="1" applyFont="1" applyFill="1" applyBorder="1" applyAlignment="1">
      <alignment horizontal="center" vertical="center"/>
    </xf>
    <xf numFmtId="3" fontId="61" fillId="0" borderId="57" xfId="2869" applyNumberFormat="1" applyFont="1" applyFill="1" applyBorder="1" applyAlignment="1">
      <alignment horizontal="center" vertical="center"/>
    </xf>
    <xf numFmtId="37" fontId="63" fillId="0" borderId="57" xfId="58" applyNumberFormat="1" applyFont="1" applyFill="1" applyBorder="1" applyAlignment="1">
      <alignment horizontal="center" vertical="center"/>
    </xf>
    <xf numFmtId="195" fontId="61" fillId="0" borderId="57" xfId="2869" applyNumberFormat="1" applyFont="1" applyFill="1" applyBorder="1" applyAlignment="1">
      <alignment horizontal="center" vertical="center"/>
    </xf>
    <xf numFmtId="0" fontId="64" fillId="24" borderId="92" xfId="0" applyFont="1" applyFill="1" applyBorder="1" applyAlignment="1" applyProtection="1">
      <alignment horizontal="left" vertical="center" wrapText="1"/>
      <protection locked="0"/>
    </xf>
    <xf numFmtId="0" fontId="63" fillId="0" borderId="57" xfId="0" applyFont="1" applyFill="1" applyBorder="1" applyAlignment="1">
      <alignment horizontal="right" vertical="center"/>
    </xf>
    <xf numFmtId="4" fontId="69" fillId="0" borderId="93" xfId="0" applyNumberFormat="1" applyFont="1" applyFill="1" applyBorder="1" applyAlignment="1">
      <alignment horizontal="center" vertical="center"/>
    </xf>
    <xf numFmtId="181" fontId="61" fillId="0" borderId="57" xfId="0" applyNumberFormat="1" applyFont="1" applyFill="1" applyBorder="1" applyAlignment="1">
      <alignment horizontal="center" vertical="center"/>
    </xf>
    <xf numFmtId="4" fontId="62" fillId="0" borderId="93" xfId="0" applyNumberFormat="1" applyFont="1" applyFill="1" applyBorder="1" applyAlignment="1">
      <alignment horizontal="center" vertical="center"/>
    </xf>
    <xf numFmtId="0" fontId="61" fillId="0" borderId="57" xfId="0" applyFont="1" applyFill="1" applyBorder="1" applyAlignment="1">
      <alignment horizontal="center" vertical="center"/>
    </xf>
    <xf numFmtId="181" fontId="69" fillId="0" borderId="57" xfId="949" applyNumberFormat="1" applyFont="1" applyFill="1" applyBorder="1" applyAlignment="1">
      <alignment horizontal="center" vertical="center" wrapText="1"/>
    </xf>
    <xf numFmtId="3" fontId="69" fillId="0" borderId="57" xfId="949" applyNumberFormat="1" applyFont="1" applyFill="1" applyBorder="1" applyAlignment="1">
      <alignment horizontal="center" vertical="center" wrapText="1"/>
    </xf>
    <xf numFmtId="181" fontId="69" fillId="0" borderId="93" xfId="0" applyNumberFormat="1" applyFont="1" applyFill="1" applyBorder="1" applyAlignment="1">
      <alignment horizontal="center" vertical="center"/>
    </xf>
    <xf numFmtId="3" fontId="64" fillId="26" borderId="97" xfId="0" applyNumberFormat="1" applyFont="1" applyFill="1" applyBorder="1" applyAlignment="1" applyProtection="1">
      <alignment horizontal="left" vertical="center" wrapText="1"/>
      <protection locked="0"/>
    </xf>
    <xf numFmtId="3" fontId="70" fillId="0" borderId="57" xfId="949" applyNumberFormat="1" applyFont="1" applyFill="1" applyBorder="1" applyAlignment="1">
      <alignment horizontal="center" vertical="center"/>
    </xf>
    <xf numFmtId="3" fontId="69" fillId="0" borderId="93" xfId="0" applyNumberFormat="1" applyFont="1" applyFill="1" applyBorder="1" applyAlignment="1">
      <alignment horizontal="center" vertical="center"/>
    </xf>
    <xf numFmtId="37" fontId="70" fillId="0" borderId="57" xfId="58" applyNumberFormat="1" applyFont="1" applyFill="1" applyBorder="1" applyAlignment="1">
      <alignment horizontal="center" vertical="center"/>
    </xf>
    <xf numFmtId="3" fontId="61" fillId="0" borderId="57" xfId="0" applyNumberFormat="1" applyFont="1" applyFill="1" applyBorder="1" applyAlignment="1">
      <alignment horizontal="center" vertical="center"/>
    </xf>
    <xf numFmtId="181" fontId="63" fillId="0" borderId="57" xfId="949" applyNumberFormat="1" applyFont="1" applyFill="1" applyBorder="1" applyAlignment="1">
      <alignment horizontal="center" vertical="center"/>
    </xf>
    <xf numFmtId="3" fontId="69" fillId="0" borderId="57" xfId="0" applyNumberFormat="1" applyFont="1" applyFill="1" applyBorder="1" applyAlignment="1">
      <alignment horizontal="center" vertical="center"/>
    </xf>
    <xf numFmtId="181" fontId="62" fillId="0" borderId="93" xfId="0" applyNumberFormat="1" applyFont="1" applyFill="1" applyBorder="1" applyAlignment="1">
      <alignment horizontal="center" vertical="center"/>
    </xf>
    <xf numFmtId="3" fontId="63" fillId="0" borderId="57" xfId="949" applyNumberFormat="1" applyFont="1" applyFill="1" applyBorder="1" applyAlignment="1">
      <alignment horizontal="center" vertical="center"/>
    </xf>
    <xf numFmtId="181" fontId="70" fillId="0" borderId="57" xfId="949" applyNumberFormat="1" applyFont="1" applyFill="1" applyBorder="1" applyAlignment="1">
      <alignment horizontal="center" vertical="center"/>
    </xf>
    <xf numFmtId="3" fontId="62" fillId="0" borderId="57" xfId="0" applyNumberFormat="1" applyFont="1" applyFill="1" applyBorder="1" applyAlignment="1">
      <alignment horizontal="center" vertical="center"/>
    </xf>
    <xf numFmtId="4" fontId="63" fillId="0" borderId="57" xfId="949" applyNumberFormat="1" applyFont="1" applyFill="1" applyBorder="1" applyAlignment="1">
      <alignment horizontal="center" vertical="center"/>
    </xf>
    <xf numFmtId="4" fontId="70" fillId="0" borderId="57" xfId="949" applyNumberFormat="1" applyFont="1" applyFill="1" applyBorder="1" applyAlignment="1">
      <alignment horizontal="center" vertical="center"/>
    </xf>
    <xf numFmtId="3" fontId="70" fillId="0" borderId="59" xfId="949" applyNumberFormat="1" applyFont="1" applyFill="1" applyBorder="1" applyAlignment="1">
      <alignment horizontal="center" vertical="center"/>
    </xf>
    <xf numFmtId="3" fontId="69" fillId="0" borderId="80" xfId="0" applyNumberFormat="1" applyFont="1" applyFill="1" applyBorder="1" applyAlignment="1">
      <alignment horizontal="center" vertical="center"/>
    </xf>
    <xf numFmtId="3" fontId="61" fillId="0" borderId="59" xfId="0" applyNumberFormat="1" applyFont="1" applyFill="1" applyBorder="1" applyAlignment="1">
      <alignment horizontal="center" vertical="center"/>
    </xf>
    <xf numFmtId="181" fontId="61" fillId="0" borderId="59" xfId="0" applyNumberFormat="1" applyFont="1" applyFill="1" applyBorder="1" applyAlignment="1">
      <alignment horizontal="center" vertical="center"/>
    </xf>
    <xf numFmtId="3" fontId="62" fillId="0" borderId="57" xfId="0" applyNumberFormat="1" applyFont="1" applyFill="1" applyBorder="1" applyAlignment="1">
      <alignment horizontal="center" vertical="center" wrapText="1"/>
    </xf>
    <xf numFmtId="165" fontId="62" fillId="0" borderId="57" xfId="0" applyNumberFormat="1" applyFont="1" applyFill="1" applyBorder="1" applyAlignment="1">
      <alignment horizontal="center" vertical="center" wrapText="1"/>
    </xf>
    <xf numFmtId="3" fontId="69" fillId="0" borderId="87" xfId="0" applyNumberFormat="1" applyFont="1" applyFill="1" applyBorder="1" applyAlignment="1">
      <alignment horizontal="center" vertical="center"/>
    </xf>
    <xf numFmtId="4" fontId="62" fillId="0" borderId="57" xfId="0" applyNumberFormat="1" applyFont="1" applyFill="1" applyBorder="1" applyAlignment="1">
      <alignment horizontal="center" vertical="center"/>
    </xf>
    <xf numFmtId="0" fontId="63" fillId="0" borderId="57" xfId="0" applyFont="1" applyFill="1" applyBorder="1" applyAlignment="1">
      <alignment horizontal="center" vertical="center"/>
    </xf>
    <xf numFmtId="3" fontId="63" fillId="0" borderId="57" xfId="0" applyNumberFormat="1" applyFont="1" applyFill="1" applyBorder="1" applyAlignment="1">
      <alignment horizontal="center" vertical="center"/>
    </xf>
    <xf numFmtId="4" fontId="69" fillId="0" borderId="57" xfId="949" applyNumberFormat="1" applyFont="1" applyFill="1" applyBorder="1" applyAlignment="1">
      <alignment horizontal="center" vertical="center" wrapText="1"/>
    </xf>
    <xf numFmtId="165" fontId="69" fillId="0" borderId="57" xfId="949" applyNumberFormat="1" applyFont="1" applyFill="1" applyBorder="1" applyAlignment="1">
      <alignment horizontal="center" vertical="center" wrapText="1"/>
    </xf>
    <xf numFmtId="4" fontId="69" fillId="0" borderId="57" xfId="0" applyNumberFormat="1" applyFont="1" applyFill="1" applyBorder="1" applyAlignment="1">
      <alignment horizontal="center" vertical="center"/>
    </xf>
    <xf numFmtId="4" fontId="62" fillId="0" borderId="57" xfId="0" applyNumberFormat="1" applyFont="1" applyFill="1" applyBorder="1" applyAlignment="1">
      <alignment horizontal="center" vertical="center" wrapText="1"/>
    </xf>
    <xf numFmtId="0" fontId="0" fillId="0" borderId="89" xfId="0" applyFill="1" applyBorder="1"/>
    <xf numFmtId="181" fontId="63" fillId="0" borderId="89" xfId="949" applyNumberFormat="1" applyFont="1" applyFill="1" applyBorder="1" applyAlignment="1">
      <alignment horizontal="center" vertical="center"/>
    </xf>
    <xf numFmtId="3" fontId="61" fillId="0" borderId="95" xfId="0" applyNumberFormat="1" applyFont="1" applyFill="1" applyBorder="1" applyAlignment="1">
      <alignment horizontal="center" vertical="center"/>
    </xf>
    <xf numFmtId="0" fontId="0" fillId="0" borderId="59" xfId="0" applyFill="1" applyBorder="1"/>
    <xf numFmtId="165" fontId="62" fillId="0" borderId="93" xfId="0" applyNumberFormat="1" applyFont="1" applyFill="1" applyBorder="1" applyAlignment="1">
      <alignment horizontal="center" vertical="center"/>
    </xf>
    <xf numFmtId="165" fontId="62" fillId="0" borderId="108" xfId="0" applyNumberFormat="1" applyFont="1" applyFill="1" applyBorder="1" applyAlignment="1">
      <alignment horizontal="center" vertical="center" wrapText="1"/>
    </xf>
    <xf numFmtId="37" fontId="63" fillId="0" borderId="108" xfId="58" applyNumberFormat="1" applyFont="1" applyFill="1" applyBorder="1" applyAlignment="1">
      <alignment horizontal="center" vertical="center"/>
    </xf>
    <xf numFmtId="0" fontId="63" fillId="0" borderId="108" xfId="0" applyFont="1" applyFill="1" applyBorder="1" applyAlignment="1">
      <alignment horizontal="center" vertical="center"/>
    </xf>
    <xf numFmtId="3" fontId="63" fillId="0" borderId="108" xfId="0" applyNumberFormat="1" applyFont="1" applyFill="1" applyBorder="1" applyAlignment="1">
      <alignment horizontal="center" vertical="center"/>
    </xf>
    <xf numFmtId="165" fontId="69" fillId="0" borderId="108" xfId="949" applyNumberFormat="1" applyFont="1" applyFill="1" applyBorder="1" applyAlignment="1">
      <alignment horizontal="center" vertical="center" wrapText="1"/>
    </xf>
    <xf numFmtId="37" fontId="70" fillId="0" borderId="108" xfId="58" applyNumberFormat="1" applyFont="1" applyFill="1" applyBorder="1" applyAlignment="1">
      <alignment horizontal="center" vertical="center"/>
    </xf>
    <xf numFmtId="3" fontId="62" fillId="0" borderId="108" xfId="0" applyNumberFormat="1" applyFont="1" applyFill="1" applyBorder="1" applyAlignment="1">
      <alignment horizontal="center" vertical="center" wrapText="1"/>
    </xf>
    <xf numFmtId="4" fontId="69" fillId="0" borderId="108" xfId="949" applyNumberFormat="1" applyFont="1" applyFill="1" applyBorder="1" applyAlignment="1">
      <alignment horizontal="center" vertical="center" wrapText="1"/>
    </xf>
    <xf numFmtId="39" fontId="62" fillId="0" borderId="93" xfId="0" applyNumberFormat="1" applyFont="1" applyFill="1" applyBorder="1" applyAlignment="1">
      <alignment horizontal="center" vertical="center" wrapText="1"/>
    </xf>
    <xf numFmtId="4" fontId="62" fillId="0" borderId="108" xfId="0" applyNumberFormat="1" applyFont="1" applyFill="1" applyBorder="1" applyAlignment="1">
      <alignment horizontal="center" vertical="center" wrapText="1"/>
    </xf>
    <xf numFmtId="39" fontId="62" fillId="0" borderId="57" xfId="0" applyNumberFormat="1" applyFont="1" applyFill="1" applyBorder="1" applyAlignment="1">
      <alignment horizontal="center" vertical="center" wrapText="1"/>
    </xf>
    <xf numFmtId="3" fontId="62" fillId="0" borderId="93" xfId="0" applyNumberFormat="1" applyFont="1" applyFill="1" applyBorder="1" applyAlignment="1">
      <alignment horizontal="center" vertical="center" wrapText="1"/>
    </xf>
    <xf numFmtId="37" fontId="62" fillId="0" borderId="93" xfId="0" applyNumberFormat="1" applyFont="1" applyFill="1" applyBorder="1" applyAlignment="1">
      <alignment horizontal="center" vertical="center"/>
    </xf>
    <xf numFmtId="37" fontId="64" fillId="26" borderId="97" xfId="0" applyNumberFormat="1" applyFont="1" applyFill="1" applyBorder="1" applyAlignment="1" applyProtection="1">
      <alignment horizontal="left" vertical="center" wrapText="1"/>
      <protection locked="0"/>
    </xf>
    <xf numFmtId="4" fontId="70" fillId="0" borderId="57" xfId="58" applyNumberFormat="1" applyFont="1" applyFill="1" applyBorder="1" applyAlignment="1">
      <alignment horizontal="center" vertical="center"/>
    </xf>
    <xf numFmtId="37" fontId="69" fillId="0" borderId="93" xfId="0" applyNumberFormat="1" applyFont="1" applyFill="1" applyBorder="1" applyAlignment="1">
      <alignment horizontal="center" vertical="center"/>
    </xf>
    <xf numFmtId="37" fontId="69" fillId="0" borderId="57" xfId="0" applyNumberFormat="1" applyFont="1" applyFill="1" applyBorder="1" applyAlignment="1">
      <alignment horizontal="center" vertical="center"/>
    </xf>
    <xf numFmtId="39" fontId="69" fillId="0" borderId="93" xfId="0" applyNumberFormat="1" applyFont="1" applyFill="1" applyBorder="1" applyAlignment="1">
      <alignment horizontal="center" vertical="center"/>
    </xf>
    <xf numFmtId="3" fontId="69" fillId="0" borderId="108" xfId="949" applyNumberFormat="1" applyFont="1" applyFill="1" applyBorder="1" applyAlignment="1">
      <alignment horizontal="center" vertical="center" wrapText="1"/>
    </xf>
    <xf numFmtId="0" fontId="69" fillId="24" borderId="108" xfId="0" applyFont="1" applyFill="1" applyBorder="1" applyAlignment="1">
      <alignment horizontal="left" vertical="center" wrapText="1"/>
    </xf>
    <xf numFmtId="42" fontId="69" fillId="24" borderId="119" xfId="0" applyNumberFormat="1" applyFont="1" applyFill="1" applyBorder="1" applyAlignment="1">
      <alignment horizontal="center" vertical="center" wrapText="1"/>
    </xf>
    <xf numFmtId="42" fontId="69" fillId="24" borderId="106" xfId="0" applyNumberFormat="1" applyFont="1" applyFill="1" applyBorder="1" applyAlignment="1">
      <alignment horizontal="center" vertical="center" wrapText="1"/>
    </xf>
    <xf numFmtId="42" fontId="69" fillId="24" borderId="92" xfId="0" applyNumberFormat="1" applyFont="1" applyFill="1" applyBorder="1" applyAlignment="1">
      <alignment horizontal="center" vertical="center" wrapText="1"/>
    </xf>
    <xf numFmtId="42" fontId="69" fillId="24" borderId="57" xfId="0" applyNumberFormat="1" applyFont="1" applyFill="1" applyBorder="1" applyAlignment="1">
      <alignment horizontal="center" vertical="center" wrapText="1"/>
    </xf>
    <xf numFmtId="3" fontId="69" fillId="24" borderId="57" xfId="949" applyNumberFormat="1" applyFont="1" applyFill="1" applyBorder="1" applyAlignment="1">
      <alignment horizontal="center" vertical="center" wrapText="1"/>
    </xf>
    <xf numFmtId="42" fontId="69" fillId="24" borderId="108" xfId="0" applyNumberFormat="1" applyFont="1" applyFill="1" applyBorder="1" applyAlignment="1">
      <alignment horizontal="center" vertical="center" wrapText="1"/>
    </xf>
    <xf numFmtId="42" fontId="69" fillId="24" borderId="0" xfId="0" applyNumberFormat="1" applyFont="1" applyFill="1" applyBorder="1" applyAlignment="1">
      <alignment horizontal="center" vertical="center" wrapText="1"/>
    </xf>
    <xf numFmtId="0" fontId="59" fillId="24" borderId="58" xfId="0" applyFont="1" applyFill="1" applyBorder="1" applyAlignment="1">
      <alignment vertical="center" wrapText="1"/>
    </xf>
    <xf numFmtId="0" fontId="59" fillId="24" borderId="0" xfId="0" applyFont="1" applyFill="1" applyAlignment="1">
      <alignment vertical="center" wrapText="1"/>
    </xf>
    <xf numFmtId="0" fontId="61" fillId="24" borderId="0" xfId="0" applyFont="1" applyFill="1" applyAlignment="1">
      <alignment horizontal="center" vertical="center" wrapText="1"/>
    </xf>
    <xf numFmtId="0" fontId="59" fillId="24" borderId="0" xfId="0" applyFont="1" applyFill="1" applyAlignment="1">
      <alignment horizontal="center" vertical="center" wrapText="1"/>
    </xf>
    <xf numFmtId="0" fontId="59" fillId="24" borderId="114" xfId="0" applyFont="1" applyFill="1" applyBorder="1" applyAlignment="1">
      <alignment vertical="center" wrapText="1"/>
    </xf>
    <xf numFmtId="42" fontId="69" fillId="24" borderId="118" xfId="0" applyNumberFormat="1" applyFont="1" applyFill="1" applyBorder="1" applyAlignment="1">
      <alignment horizontal="center" vertical="center" wrapText="1"/>
    </xf>
    <xf numFmtId="3" fontId="70" fillId="24" borderId="57" xfId="0" applyNumberFormat="1" applyFont="1" applyFill="1" applyBorder="1" applyAlignment="1">
      <alignment horizontal="right" vertical="center"/>
    </xf>
    <xf numFmtId="3" fontId="70" fillId="24" borderId="57" xfId="0" applyNumberFormat="1" applyFont="1" applyFill="1" applyBorder="1" applyAlignment="1">
      <alignment horizontal="center" vertical="center"/>
    </xf>
    <xf numFmtId="0" fontId="69" fillId="24" borderId="83" xfId="0" applyFont="1" applyFill="1" applyBorder="1" applyAlignment="1">
      <alignment horizontal="left" vertical="center" wrapText="1"/>
    </xf>
    <xf numFmtId="3" fontId="69" fillId="24" borderId="57" xfId="0" applyNumberFormat="1" applyFont="1" applyFill="1" applyBorder="1" applyAlignment="1">
      <alignment horizontal="center" vertical="center" wrapText="1"/>
    </xf>
    <xf numFmtId="3" fontId="69" fillId="24" borderId="83" xfId="0" applyNumberFormat="1" applyFont="1" applyFill="1" applyBorder="1" applyAlignment="1">
      <alignment horizontal="center" vertical="center" wrapText="1"/>
    </xf>
    <xf numFmtId="0" fontId="59" fillId="24" borderId="67" xfId="0" applyFont="1" applyFill="1" applyBorder="1" applyAlignment="1">
      <alignment vertical="center" wrapText="1"/>
    </xf>
    <xf numFmtId="0" fontId="59" fillId="24" borderId="68" xfId="0" applyFont="1" applyFill="1" applyBorder="1" applyAlignment="1">
      <alignment vertical="center" wrapText="1"/>
    </xf>
    <xf numFmtId="0" fontId="61" fillId="24" borderId="68" xfId="0" applyFont="1" applyFill="1" applyBorder="1" applyAlignment="1">
      <alignment horizontal="center" vertical="center" wrapText="1"/>
    </xf>
    <xf numFmtId="0" fontId="59" fillId="24" borderId="68" xfId="0" applyFont="1" applyFill="1" applyBorder="1" applyAlignment="1">
      <alignment horizontal="center" vertical="center" wrapText="1"/>
    </xf>
    <xf numFmtId="0" fontId="59" fillId="24" borderId="69" xfId="0" applyFont="1" applyFill="1" applyBorder="1" applyAlignment="1">
      <alignment vertical="center" wrapText="1"/>
    </xf>
    <xf numFmtId="0" fontId="73" fillId="25" borderId="0" xfId="0" applyFont="1" applyFill="1"/>
    <xf numFmtId="4" fontId="73" fillId="25" borderId="0" xfId="0" applyNumberFormat="1" applyFont="1" applyFill="1"/>
    <xf numFmtId="4" fontId="73" fillId="25" borderId="0" xfId="0" applyNumberFormat="1" applyFont="1" applyFill="1" applyAlignment="1">
      <alignment horizontal="center"/>
    </xf>
    <xf numFmtId="0" fontId="73" fillId="25" borderId="0" xfId="0" applyNumberFormat="1" applyFont="1" applyFill="1" applyAlignment="1">
      <alignment horizontal="center" vertical="center"/>
    </xf>
    <xf numFmtId="0" fontId="73" fillId="25" borderId="0" xfId="0" applyFont="1" applyFill="1" applyAlignment="1">
      <alignment horizontal="center"/>
    </xf>
    <xf numFmtId="0" fontId="16" fillId="25" borderId="0" xfId="2823" applyFill="1" applyAlignment="1">
      <alignment vertical="center"/>
    </xf>
    <xf numFmtId="0" fontId="74" fillId="0" borderId="0" xfId="0" applyFont="1" applyFill="1"/>
    <xf numFmtId="0" fontId="16" fillId="25" borderId="0" xfId="2823" applyFill="1" applyAlignment="1">
      <alignment horizontal="left" vertical="center"/>
    </xf>
    <xf numFmtId="10" fontId="16" fillId="25" borderId="0" xfId="2823" applyNumberFormat="1" applyFill="1" applyAlignment="1">
      <alignment vertical="center"/>
    </xf>
    <xf numFmtId="0" fontId="16" fillId="25" borderId="0" xfId="2823" applyFill="1" applyAlignment="1">
      <alignment vertical="top"/>
    </xf>
    <xf numFmtId="0" fontId="61" fillId="25" borderId="0" xfId="2823" applyFont="1" applyFill="1" applyAlignment="1">
      <alignment vertical="center"/>
    </xf>
    <xf numFmtId="0" fontId="61" fillId="0" borderId="0" xfId="2823" applyFont="1" applyAlignment="1">
      <alignment vertical="center"/>
    </xf>
    <xf numFmtId="0" fontId="16" fillId="0" borderId="0" xfId="2823" applyAlignment="1">
      <alignment vertical="center"/>
    </xf>
    <xf numFmtId="0" fontId="73" fillId="0" borderId="0" xfId="0" applyFont="1"/>
    <xf numFmtId="196" fontId="75" fillId="0" borderId="0" xfId="0" applyNumberFormat="1" applyFont="1" applyAlignment="1">
      <alignment horizontal="center"/>
    </xf>
    <xf numFmtId="0" fontId="73" fillId="0" borderId="0" xfId="0" applyNumberFormat="1" applyFont="1" applyAlignment="1">
      <alignment horizontal="center" vertical="center"/>
    </xf>
    <xf numFmtId="0" fontId="73" fillId="0" borderId="0" xfId="0" applyFont="1" applyAlignment="1">
      <alignment horizontal="center"/>
    </xf>
    <xf numFmtId="0" fontId="69" fillId="0" borderId="0" xfId="0" applyNumberFormat="1" applyFont="1" applyAlignment="1">
      <alignment horizontal="center" vertical="center" wrapText="1"/>
    </xf>
    <xf numFmtId="4" fontId="73" fillId="0" borderId="0" xfId="0" applyNumberFormat="1" applyFont="1"/>
    <xf numFmtId="4" fontId="73" fillId="0" borderId="0" xfId="0" applyNumberFormat="1" applyFont="1" applyAlignment="1">
      <alignment horizontal="center"/>
    </xf>
    <xf numFmtId="0" fontId="0" fillId="0" borderId="0" xfId="0" applyNumberFormat="1" applyAlignment="1">
      <alignment horizontal="center" vertical="center"/>
    </xf>
    <xf numFmtId="0" fontId="0" fillId="0" borderId="0" xfId="0"/>
    <xf numFmtId="166" fontId="0" fillId="0" borderId="0" xfId="0" applyNumberFormat="1" applyFill="1" applyAlignment="1">
      <alignment horizontal="center" vertical="center" wrapText="1"/>
    </xf>
    <xf numFmtId="9" fontId="36" fillId="0" borderId="19" xfId="2857" applyFont="1" applyFill="1" applyBorder="1" applyAlignment="1">
      <alignment horizontal="center" vertical="center"/>
    </xf>
    <xf numFmtId="9" fontId="36" fillId="0" borderId="22" xfId="2857" applyFont="1" applyFill="1" applyBorder="1" applyAlignment="1">
      <alignment horizontal="center" vertical="center"/>
    </xf>
    <xf numFmtId="10" fontId="36" fillId="0" borderId="47" xfId="2857" applyNumberFormat="1" applyFont="1" applyFill="1" applyBorder="1" applyAlignment="1">
      <alignment horizontal="center" vertical="center" wrapText="1"/>
    </xf>
    <xf numFmtId="10" fontId="36" fillId="0" borderId="37" xfId="2857" applyNumberFormat="1" applyFont="1" applyFill="1" applyBorder="1" applyAlignment="1">
      <alignment horizontal="center" vertical="center" wrapText="1"/>
    </xf>
    <xf numFmtId="9" fontId="36" fillId="0" borderId="37" xfId="2857" applyFont="1" applyFill="1" applyBorder="1" applyAlignment="1">
      <alignment horizontal="center" vertical="center" wrapText="1"/>
    </xf>
    <xf numFmtId="10" fontId="36" fillId="0" borderId="57" xfId="2857" applyNumberFormat="1" applyFont="1" applyFill="1" applyBorder="1" applyAlignment="1">
      <alignment horizontal="center" vertical="center" wrapText="1"/>
    </xf>
    <xf numFmtId="10" fontId="36" fillId="0" borderId="89" xfId="2857" applyNumberFormat="1" applyFont="1" applyFill="1" applyBorder="1" applyAlignment="1">
      <alignment horizontal="center" vertical="center" wrapText="1"/>
    </xf>
    <xf numFmtId="181" fontId="62" fillId="0" borderId="87" xfId="0" applyNumberFormat="1" applyFont="1" applyFill="1" applyBorder="1" applyAlignment="1">
      <alignment horizontal="center" vertical="center"/>
    </xf>
    <xf numFmtId="0" fontId="70" fillId="0" borderId="57" xfId="0" applyFont="1" applyFill="1" applyBorder="1" applyAlignment="1">
      <alignment horizontal="center" vertical="center"/>
    </xf>
    <xf numFmtId="165" fontId="62" fillId="0" borderId="57" xfId="0" applyNumberFormat="1" applyFont="1" applyFill="1" applyBorder="1" applyAlignment="1">
      <alignment horizontal="center" vertical="center"/>
    </xf>
    <xf numFmtId="0" fontId="82" fillId="28" borderId="125" xfId="0" applyFont="1" applyFill="1" applyBorder="1" applyAlignment="1">
      <alignment horizontal="center" vertical="center"/>
    </xf>
    <xf numFmtId="0" fontId="82" fillId="27" borderId="126" xfId="2844" applyFont="1" applyFill="1" applyBorder="1" applyAlignment="1">
      <alignment horizontal="center" vertical="center" wrapText="1"/>
    </xf>
    <xf numFmtId="0" fontId="82" fillId="27" borderId="127" xfId="2844" applyFont="1" applyFill="1" applyBorder="1" applyAlignment="1">
      <alignment horizontal="center" vertical="center" wrapText="1"/>
    </xf>
    <xf numFmtId="0" fontId="83" fillId="0" borderId="125" xfId="0" applyFont="1" applyBorder="1" applyAlignment="1">
      <alignment vertical="center"/>
    </xf>
    <xf numFmtId="0" fontId="0" fillId="0" borderId="126" xfId="0" applyBorder="1" applyAlignment="1">
      <alignment horizontal="center" vertical="center" wrapText="1"/>
    </xf>
    <xf numFmtId="0" fontId="0" fillId="0" borderId="126" xfId="0" applyBorder="1" applyAlignment="1">
      <alignment horizontal="center"/>
    </xf>
    <xf numFmtId="168" fontId="10" fillId="0" borderId="126" xfId="229" applyBorder="1" applyAlignment="1">
      <alignment horizontal="center" vertical="center"/>
    </xf>
    <xf numFmtId="9" fontId="66" fillId="0" borderId="127" xfId="2858" applyFont="1" applyBorder="1" applyAlignment="1">
      <alignment horizontal="center" vertical="center"/>
    </xf>
    <xf numFmtId="168" fontId="10" fillId="0" borderId="126" xfId="229" applyFill="1" applyBorder="1" applyAlignment="1">
      <alignment horizontal="center" vertical="center"/>
    </xf>
    <xf numFmtId="10" fontId="66" fillId="0" borderId="127" xfId="2858" applyNumberFormat="1" applyFont="1" applyFill="1" applyBorder="1" applyAlignment="1">
      <alignment horizontal="center" vertical="center"/>
    </xf>
    <xf numFmtId="0" fontId="0" fillId="0" borderId="126" xfId="0" applyBorder="1" applyAlignment="1">
      <alignment horizontal="center" vertical="center"/>
    </xf>
    <xf numFmtId="0" fontId="83" fillId="0" borderId="128" xfId="0" applyFont="1" applyBorder="1" applyAlignment="1">
      <alignment vertical="center"/>
    </xf>
    <xf numFmtId="0" fontId="0" fillId="0" borderId="129" xfId="0" applyBorder="1" applyAlignment="1">
      <alignment horizontal="center" vertical="center" wrapText="1"/>
    </xf>
    <xf numFmtId="0" fontId="0" fillId="0" borderId="129" xfId="0" applyBorder="1" applyAlignment="1">
      <alignment horizontal="center" vertical="center"/>
    </xf>
    <xf numFmtId="0" fontId="0" fillId="0" borderId="125" xfId="0" applyBorder="1"/>
    <xf numFmtId="0" fontId="0" fillId="0" borderId="126" xfId="0" applyBorder="1"/>
    <xf numFmtId="0" fontId="0" fillId="0" borderId="127" xfId="0" applyBorder="1"/>
    <xf numFmtId="0" fontId="0" fillId="0" borderId="128" xfId="0" applyBorder="1"/>
    <xf numFmtId="0" fontId="0" fillId="0" borderId="129" xfId="0" applyBorder="1"/>
    <xf numFmtId="0" fontId="82" fillId="27" borderId="126" xfId="2844" applyFont="1" applyFill="1" applyBorder="1" applyAlignment="1">
      <alignment horizontal="center" vertical="top" wrapText="1"/>
    </xf>
    <xf numFmtId="0" fontId="0" fillId="0" borderId="126" xfId="0" applyBorder="1" applyAlignment="1">
      <alignment vertical="top" wrapText="1"/>
    </xf>
    <xf numFmtId="0" fontId="0" fillId="0" borderId="126" xfId="0" applyBorder="1" applyAlignment="1">
      <alignment vertical="center" wrapText="1"/>
    </xf>
    <xf numFmtId="0" fontId="0" fillId="0" borderId="126" xfId="0" applyFill="1" applyBorder="1" applyAlignment="1">
      <alignment horizontal="center" vertical="center"/>
    </xf>
    <xf numFmtId="9" fontId="66" fillId="0" borderId="126" xfId="2858" applyFont="1" applyFill="1" applyBorder="1" applyAlignment="1">
      <alignment horizontal="center" vertical="center"/>
    </xf>
    <xf numFmtId="0" fontId="0" fillId="0" borderId="126" xfId="0" applyFill="1" applyBorder="1"/>
    <xf numFmtId="0" fontId="0" fillId="0" borderId="126" xfId="0" applyFill="1" applyBorder="1" applyAlignment="1">
      <alignment vertical="center"/>
    </xf>
    <xf numFmtId="0" fontId="0" fillId="0" borderId="127" xfId="0" applyFill="1" applyBorder="1" applyAlignment="1">
      <alignment vertical="center" wrapText="1"/>
    </xf>
    <xf numFmtId="0" fontId="0" fillId="0" borderId="127" xfId="0" applyFill="1" applyBorder="1" applyAlignment="1">
      <alignment vertical="top" wrapText="1"/>
    </xf>
    <xf numFmtId="174" fontId="66" fillId="0" borderId="126" xfId="2858" applyNumberFormat="1" applyFont="1" applyFill="1" applyBorder="1" applyAlignment="1">
      <alignment horizontal="center" vertical="center"/>
    </xf>
    <xf numFmtId="0" fontId="0" fillId="0" borderId="126" xfId="0" applyBorder="1" applyAlignment="1">
      <alignment wrapText="1"/>
    </xf>
    <xf numFmtId="0" fontId="0" fillId="0" borderId="85" xfId="0" applyBorder="1" applyAlignment="1">
      <alignment wrapText="1"/>
    </xf>
    <xf numFmtId="0" fontId="0" fillId="0" borderId="85" xfId="0" applyBorder="1" applyAlignment="1">
      <alignment vertical="top" wrapText="1"/>
    </xf>
    <xf numFmtId="0" fontId="0" fillId="0" borderId="85" xfId="0" applyBorder="1" applyAlignment="1">
      <alignment horizontal="center" vertical="center"/>
    </xf>
    <xf numFmtId="0" fontId="0" fillId="0" borderId="85" xfId="0" applyFill="1" applyBorder="1" applyAlignment="1">
      <alignment horizontal="center" vertical="center"/>
    </xf>
    <xf numFmtId="0" fontId="0" fillId="0" borderId="85" xfId="0" applyFill="1" applyBorder="1"/>
    <xf numFmtId="0" fontId="0" fillId="0" borderId="129" xfId="0" applyBorder="1" applyAlignment="1">
      <alignment wrapText="1"/>
    </xf>
    <xf numFmtId="0" fontId="0" fillId="0" borderId="129" xfId="0" applyBorder="1" applyAlignment="1">
      <alignment vertical="top" wrapText="1"/>
    </xf>
    <xf numFmtId="0" fontId="0" fillId="0" borderId="129" xfId="0" applyFill="1" applyBorder="1" applyAlignment="1">
      <alignment horizontal="center" vertical="center"/>
    </xf>
    <xf numFmtId="9" fontId="66" fillId="0" borderId="129" xfId="2858" applyFont="1" applyFill="1" applyBorder="1" applyAlignment="1">
      <alignment horizontal="center" vertical="center"/>
    </xf>
    <xf numFmtId="0" fontId="0" fillId="0" borderId="129" xfId="0" applyFill="1" applyBorder="1"/>
    <xf numFmtId="0" fontId="0" fillId="0" borderId="129" xfId="0" applyFill="1" applyBorder="1" applyAlignment="1">
      <alignment vertical="center"/>
    </xf>
    <xf numFmtId="0" fontId="0" fillId="0" borderId="131" xfId="0" applyBorder="1"/>
    <xf numFmtId="0" fontId="82" fillId="27" borderId="129" xfId="2844" applyFont="1" applyFill="1" applyBorder="1" applyAlignment="1">
      <alignment horizontal="center" vertical="center" wrapText="1"/>
    </xf>
    <xf numFmtId="0" fontId="82" fillId="27" borderId="131" xfId="2844" applyFont="1" applyFill="1" applyBorder="1" applyAlignment="1">
      <alignment horizontal="center" vertical="center" wrapText="1"/>
    </xf>
    <xf numFmtId="0" fontId="83" fillId="0" borderId="126" xfId="0" applyFont="1" applyFill="1" applyBorder="1" applyAlignment="1">
      <alignment vertical="top" wrapText="1"/>
    </xf>
    <xf numFmtId="168" fontId="83" fillId="0" borderId="96" xfId="229" applyFont="1" applyFill="1" applyBorder="1" applyAlignment="1">
      <alignment horizontal="center" vertical="center"/>
    </xf>
    <xf numFmtId="0" fontId="83" fillId="0" borderId="96" xfId="0" applyFont="1" applyFill="1" applyBorder="1" applyAlignment="1">
      <alignment horizontal="center" vertical="center"/>
    </xf>
    <xf numFmtId="0" fontId="83" fillId="0" borderId="133" xfId="0" applyFont="1" applyFill="1" applyBorder="1" applyAlignment="1">
      <alignment horizontal="center" vertical="center" wrapText="1"/>
    </xf>
    <xf numFmtId="0" fontId="83" fillId="0" borderId="85" xfId="0" applyFont="1" applyFill="1" applyBorder="1" applyAlignment="1">
      <alignment vertical="top" wrapText="1"/>
    </xf>
    <xf numFmtId="0" fontId="83" fillId="0" borderId="135" xfId="0" applyFont="1" applyFill="1" applyBorder="1" applyAlignment="1">
      <alignment vertical="top" wrapText="1"/>
    </xf>
    <xf numFmtId="0" fontId="83" fillId="0" borderId="99" xfId="0" applyFont="1" applyFill="1" applyBorder="1" applyAlignment="1">
      <alignment vertical="top" wrapText="1"/>
    </xf>
    <xf numFmtId="168" fontId="83" fillId="0" borderId="91" xfId="229" applyFont="1" applyFill="1" applyBorder="1" applyAlignment="1">
      <alignment horizontal="center" vertical="center"/>
    </xf>
    <xf numFmtId="178" fontId="83" fillId="0" borderId="126" xfId="0" applyNumberFormat="1" applyFont="1" applyFill="1" applyBorder="1" applyAlignment="1">
      <alignment horizontal="right" vertical="center"/>
    </xf>
    <xf numFmtId="0" fontId="83" fillId="0" borderId="126" xfId="0" applyFont="1" applyFill="1" applyBorder="1" applyAlignment="1">
      <alignment horizontal="center" vertical="center"/>
    </xf>
    <xf numFmtId="0" fontId="83" fillId="0" borderId="127" xfId="0" applyFont="1" applyFill="1" applyBorder="1" applyAlignment="1">
      <alignment vertical="top" wrapText="1"/>
    </xf>
    <xf numFmtId="178" fontId="83" fillId="0" borderId="85" xfId="0" applyNumberFormat="1" applyFont="1" applyFill="1" applyBorder="1" applyAlignment="1">
      <alignment horizontal="right" vertical="center"/>
    </xf>
    <xf numFmtId="0" fontId="83" fillId="0" borderId="96" xfId="0" applyFont="1" applyFill="1" applyBorder="1" applyAlignment="1">
      <alignment vertical="top" wrapText="1"/>
    </xf>
    <xf numFmtId="178" fontId="83" fillId="0" borderId="96" xfId="0" applyNumberFormat="1" applyFont="1" applyFill="1" applyBorder="1" applyAlignment="1">
      <alignment horizontal="right" vertical="center"/>
    </xf>
    <xf numFmtId="168" fontId="83" fillId="0" borderId="126" xfId="229" applyFont="1" applyFill="1" applyBorder="1" applyAlignment="1">
      <alignment horizontal="center" vertical="center"/>
    </xf>
    <xf numFmtId="0" fontId="83" fillId="0" borderId="127" xfId="0" applyFont="1" applyFill="1" applyBorder="1" applyAlignment="1">
      <alignment wrapText="1"/>
    </xf>
    <xf numFmtId="0" fontId="83" fillId="0" borderId="127" xfId="0" applyFont="1" applyFill="1" applyBorder="1" applyAlignment="1">
      <alignment vertical="center" wrapText="1"/>
    </xf>
    <xf numFmtId="0" fontId="0" fillId="0" borderId="136" xfId="0" applyBorder="1"/>
    <xf numFmtId="0" fontId="0" fillId="0" borderId="96" xfId="0" applyBorder="1"/>
    <xf numFmtId="0" fontId="0" fillId="0" borderId="133" xfId="0" applyBorder="1"/>
    <xf numFmtId="0" fontId="0" fillId="0" borderId="137" xfId="0" applyBorder="1"/>
    <xf numFmtId="0" fontId="0" fillId="0" borderId="138" xfId="0" applyBorder="1"/>
    <xf numFmtId="0" fontId="81" fillId="27" borderId="126" xfId="0" applyFont="1" applyFill="1" applyBorder="1" applyAlignment="1">
      <alignment horizontal="center" vertical="center" wrapText="1"/>
    </xf>
    <xf numFmtId="0" fontId="83" fillId="0" borderId="125" xfId="0" applyFont="1" applyFill="1" applyBorder="1" applyAlignment="1">
      <alignment horizontal="left" vertical="center"/>
    </xf>
    <xf numFmtId="0" fontId="83" fillId="0" borderId="126" xfId="0" applyFont="1" applyFill="1" applyBorder="1" applyAlignment="1">
      <alignment vertical="center" wrapText="1"/>
    </xf>
    <xf numFmtId="10" fontId="83" fillId="0" borderId="126" xfId="2861" applyNumberFormat="1" applyFont="1" applyFill="1" applyBorder="1" applyAlignment="1">
      <alignment horizontal="center" vertical="center"/>
    </xf>
    <xf numFmtId="0" fontId="83" fillId="0" borderId="125" xfId="0" applyFont="1" applyFill="1" applyBorder="1" applyAlignment="1">
      <alignment vertical="center"/>
    </xf>
    <xf numFmtId="0" fontId="83" fillId="0" borderId="126" xfId="0" applyFont="1" applyFill="1" applyBorder="1" applyAlignment="1">
      <alignment horizontal="center" vertical="top" wrapText="1"/>
    </xf>
    <xf numFmtId="0" fontId="83" fillId="0" borderId="125" xfId="0" applyFont="1" applyFill="1" applyBorder="1" applyAlignment="1">
      <alignment vertical="center" wrapText="1"/>
    </xf>
    <xf numFmtId="0" fontId="83" fillId="0" borderId="128" xfId="0" applyFont="1" applyFill="1" applyBorder="1" applyAlignment="1">
      <alignment vertical="center"/>
    </xf>
    <xf numFmtId="0" fontId="83" fillId="0" borderId="129" xfId="0" applyFont="1" applyFill="1" applyBorder="1" applyAlignment="1">
      <alignment vertical="center" wrapText="1"/>
    </xf>
    <xf numFmtId="0" fontId="83" fillId="0" borderId="129" xfId="0" applyFont="1" applyFill="1" applyBorder="1" applyAlignment="1">
      <alignment horizontal="center" vertical="top" wrapText="1"/>
    </xf>
    <xf numFmtId="0" fontId="84" fillId="29" borderId="0" xfId="2823" applyFont="1" applyFill="1" applyAlignment="1">
      <alignment vertical="center"/>
    </xf>
    <xf numFmtId="0" fontId="84" fillId="29" borderId="0" xfId="2823" applyFont="1" applyFill="1" applyAlignment="1">
      <alignment horizontal="left" vertical="center"/>
    </xf>
    <xf numFmtId="10" fontId="84" fillId="29" borderId="0" xfId="2823" applyNumberFormat="1" applyFont="1" applyFill="1" applyAlignment="1">
      <alignment vertical="center"/>
    </xf>
    <xf numFmtId="0" fontId="84" fillId="29" borderId="0" xfId="2823" applyFont="1" applyFill="1" applyAlignment="1">
      <alignment vertical="top"/>
    </xf>
    <xf numFmtId="0" fontId="84" fillId="0" borderId="0" xfId="2823" applyFont="1" applyFill="1" applyAlignment="1">
      <alignment vertical="center"/>
    </xf>
    <xf numFmtId="10" fontId="83" fillId="0" borderId="126" xfId="2858" applyNumberFormat="1" applyFont="1" applyFill="1" applyBorder="1" applyAlignment="1">
      <alignment horizontal="center" vertical="top" wrapText="1"/>
    </xf>
    <xf numFmtId="0" fontId="0" fillId="0" borderId="126" xfId="0" applyFill="1" applyBorder="1"/>
    <xf numFmtId="165" fontId="22" fillId="0" borderId="18" xfId="0" applyNumberFormat="1" applyFont="1" applyFill="1" applyBorder="1" applyAlignment="1">
      <alignment horizontal="center" vertical="center" wrapText="1"/>
    </xf>
    <xf numFmtId="3" fontId="22" fillId="0" borderId="18" xfId="0" applyNumberFormat="1" applyFont="1" applyFill="1" applyBorder="1" applyAlignment="1">
      <alignment horizontal="center" vertical="center" wrapText="1"/>
    </xf>
    <xf numFmtId="4" fontId="22" fillId="0" borderId="18" xfId="0" applyNumberFormat="1" applyFont="1" applyFill="1" applyBorder="1" applyAlignment="1">
      <alignment horizontal="center" vertical="center" wrapText="1"/>
    </xf>
    <xf numFmtId="165" fontId="23" fillId="0" borderId="18" xfId="0" applyNumberFormat="1" applyFont="1" applyFill="1" applyBorder="1" applyAlignment="1">
      <alignment horizontal="center" vertical="center" wrapText="1"/>
    </xf>
    <xf numFmtId="4" fontId="23" fillId="0" borderId="18" xfId="0" applyNumberFormat="1" applyFont="1" applyFill="1" applyBorder="1" applyAlignment="1">
      <alignment horizontal="center" vertical="center" wrapText="1"/>
    </xf>
    <xf numFmtId="3" fontId="23" fillId="0" borderId="18" xfId="0" applyNumberFormat="1" applyFont="1" applyFill="1" applyBorder="1" applyAlignment="1">
      <alignment horizontal="center" vertical="center" wrapText="1"/>
    </xf>
    <xf numFmtId="167" fontId="22" fillId="0" borderId="1" xfId="58" applyNumberFormat="1" applyFont="1" applyFill="1" applyBorder="1" applyAlignment="1">
      <alignment horizontal="center" vertical="center"/>
    </xf>
    <xf numFmtId="3" fontId="23" fillId="0" borderId="1" xfId="0" applyNumberFormat="1" applyFont="1" applyFill="1" applyBorder="1" applyAlignment="1">
      <alignment horizontal="center" vertical="center" wrapText="1"/>
    </xf>
    <xf numFmtId="3" fontId="23" fillId="0" borderId="1" xfId="229" applyNumberFormat="1" applyFont="1" applyFill="1" applyBorder="1" applyAlignment="1">
      <alignment horizontal="center" vertical="center" wrapText="1"/>
    </xf>
    <xf numFmtId="3" fontId="22" fillId="0" borderId="1" xfId="229" applyNumberFormat="1" applyFont="1" applyFill="1" applyBorder="1" applyAlignment="1">
      <alignment horizontal="center" vertical="center" wrapText="1"/>
    </xf>
    <xf numFmtId="3" fontId="22" fillId="0" borderId="1" xfId="228" applyNumberFormat="1" applyFont="1" applyFill="1" applyBorder="1" applyAlignment="1">
      <alignment horizontal="center" vertical="center"/>
    </xf>
    <xf numFmtId="165" fontId="23" fillId="0" borderId="1" xfId="0" applyNumberFormat="1" applyFont="1" applyFill="1" applyBorder="1" applyAlignment="1">
      <alignment horizontal="center" vertical="center" wrapText="1"/>
    </xf>
    <xf numFmtId="0" fontId="22" fillId="0" borderId="1" xfId="0" applyFont="1" applyFill="1" applyBorder="1" applyAlignment="1">
      <alignment horizontal="right" vertical="center"/>
    </xf>
    <xf numFmtId="167" fontId="22" fillId="0" borderId="1" xfId="0" applyNumberFormat="1" applyFont="1" applyFill="1" applyBorder="1" applyAlignment="1">
      <alignment horizontal="right" vertical="center"/>
    </xf>
    <xf numFmtId="167" fontId="22" fillId="0" borderId="1" xfId="0" applyNumberFormat="1" applyFont="1" applyFill="1" applyBorder="1" applyAlignment="1">
      <alignment horizontal="center" vertical="center"/>
    </xf>
    <xf numFmtId="170" fontId="22" fillId="0" borderId="1" xfId="0" applyNumberFormat="1" applyFont="1" applyFill="1" applyBorder="1" applyAlignment="1">
      <alignment horizontal="center" vertical="center"/>
    </xf>
    <xf numFmtId="4" fontId="23" fillId="0" borderId="1" xfId="0" applyNumberFormat="1" applyFont="1" applyFill="1" applyBorder="1" applyAlignment="1">
      <alignment horizontal="center" vertical="center" wrapText="1"/>
    </xf>
    <xf numFmtId="1" fontId="22" fillId="0" borderId="1" xfId="0" applyNumberFormat="1" applyFont="1" applyFill="1" applyBorder="1" applyAlignment="1">
      <alignment horizontal="center" vertical="center"/>
    </xf>
    <xf numFmtId="3" fontId="22" fillId="0" borderId="1" xfId="0" applyNumberFormat="1" applyFont="1" applyFill="1" applyBorder="1" applyAlignment="1">
      <alignment horizontal="center" vertical="center"/>
    </xf>
    <xf numFmtId="165" fontId="22" fillId="0" borderId="1" xfId="949" applyNumberFormat="1" applyFont="1" applyFill="1" applyBorder="1" applyAlignment="1">
      <alignment horizontal="center" vertical="center" wrapText="1"/>
    </xf>
    <xf numFmtId="168" fontId="22" fillId="0" borderId="1" xfId="229" applyFont="1" applyFill="1" applyBorder="1" applyAlignment="1">
      <alignment horizontal="center" vertical="center" wrapText="1"/>
    </xf>
    <xf numFmtId="3" fontId="22" fillId="0" borderId="1" xfId="0" applyNumberFormat="1" applyFont="1" applyFill="1" applyBorder="1" applyAlignment="1">
      <alignment horizontal="center" vertical="center" wrapText="1"/>
    </xf>
    <xf numFmtId="169" fontId="22" fillId="0" borderId="1" xfId="0" applyNumberFormat="1" applyFont="1" applyFill="1" applyBorder="1" applyAlignment="1">
      <alignment horizontal="center" vertical="center"/>
    </xf>
    <xf numFmtId="169" fontId="22" fillId="0" borderId="1" xfId="228" applyNumberFormat="1" applyFont="1" applyFill="1" applyBorder="1" applyAlignment="1">
      <alignment horizontal="center" vertical="center"/>
    </xf>
    <xf numFmtId="166" fontId="22" fillId="0" borderId="1" xfId="0" applyNumberFormat="1" applyFont="1" applyFill="1" applyBorder="1" applyAlignment="1">
      <alignment horizontal="center" vertical="center"/>
    </xf>
    <xf numFmtId="165" fontId="22" fillId="0" borderId="1" xfId="0" applyNumberFormat="1" applyFont="1" applyFill="1" applyBorder="1" applyAlignment="1">
      <alignment horizontal="right" vertical="center"/>
    </xf>
    <xf numFmtId="171" fontId="22" fillId="0" borderId="1" xfId="0" applyNumberFormat="1" applyFont="1" applyFill="1" applyBorder="1" applyAlignment="1">
      <alignment horizontal="right" vertical="center"/>
    </xf>
    <xf numFmtId="166" fontId="17" fillId="0" borderId="0" xfId="0" applyNumberFormat="1" applyFont="1" applyFill="1" applyAlignment="1">
      <alignment horizontal="center" vertical="center"/>
    </xf>
    <xf numFmtId="3" fontId="23" fillId="0" borderId="1" xfId="228" applyNumberFormat="1" applyFont="1" applyFill="1" applyBorder="1" applyAlignment="1">
      <alignment horizontal="center" vertical="center"/>
    </xf>
    <xf numFmtId="165" fontId="22" fillId="0" borderId="1" xfId="0" applyNumberFormat="1" applyFont="1" applyFill="1" applyBorder="1" applyAlignment="1">
      <alignment horizontal="center" vertical="center"/>
    </xf>
    <xf numFmtId="166" fontId="22" fillId="0" borderId="1" xfId="228" applyNumberFormat="1" applyFont="1" applyFill="1" applyBorder="1" applyAlignment="1">
      <alignment horizontal="center" vertical="center"/>
    </xf>
    <xf numFmtId="166" fontId="23" fillId="0" borderId="1" xfId="228" applyNumberFormat="1" applyFont="1" applyFill="1" applyBorder="1" applyAlignment="1">
      <alignment horizontal="center" vertical="center"/>
    </xf>
    <xf numFmtId="3" fontId="22" fillId="0" borderId="1" xfId="0" applyNumberFormat="1" applyFont="1" applyFill="1" applyBorder="1" applyAlignment="1">
      <alignment horizontal="right" vertical="center"/>
    </xf>
    <xf numFmtId="4" fontId="22" fillId="0" borderId="1" xfId="0" applyNumberFormat="1" applyFont="1" applyFill="1" applyBorder="1" applyAlignment="1">
      <alignment horizontal="center" vertical="center" wrapText="1"/>
    </xf>
    <xf numFmtId="3" fontId="22" fillId="0" borderId="1" xfId="58" applyNumberFormat="1" applyFont="1" applyFill="1" applyBorder="1" applyAlignment="1">
      <alignment horizontal="center" vertical="center"/>
    </xf>
    <xf numFmtId="0" fontId="23" fillId="0" borderId="1" xfId="0" applyFont="1" applyFill="1" applyBorder="1" applyAlignment="1">
      <alignment horizontal="center" vertical="center"/>
    </xf>
    <xf numFmtId="172" fontId="23" fillId="0" borderId="1" xfId="185" applyFont="1" applyFill="1" applyBorder="1" applyAlignment="1">
      <alignment horizontal="center" vertical="center"/>
    </xf>
    <xf numFmtId="172" fontId="22" fillId="0" borderId="1" xfId="185" applyFont="1" applyFill="1" applyBorder="1" applyAlignment="1">
      <alignment horizontal="center" vertical="center"/>
    </xf>
    <xf numFmtId="1" fontId="22" fillId="0" borderId="1" xfId="229" applyNumberFormat="1" applyFont="1" applyFill="1" applyBorder="1" applyAlignment="1">
      <alignment horizontal="center" vertical="center" wrapText="1"/>
    </xf>
    <xf numFmtId="167" fontId="22" fillId="0" borderId="1" xfId="228" applyNumberFormat="1" applyFont="1" applyFill="1" applyBorder="1" applyAlignment="1">
      <alignment horizontal="center" vertical="center"/>
    </xf>
    <xf numFmtId="165" fontId="23" fillId="0" borderId="25" xfId="949" applyNumberFormat="1" applyFont="1" applyFill="1" applyBorder="1" applyAlignment="1">
      <alignment horizontal="center" vertical="center" wrapText="1"/>
    </xf>
    <xf numFmtId="3" fontId="22" fillId="0" borderId="25" xfId="949" applyNumberFormat="1" applyFont="1" applyFill="1" applyBorder="1" applyAlignment="1">
      <alignment horizontal="center" vertical="center" wrapText="1"/>
    </xf>
    <xf numFmtId="3" fontId="23" fillId="0" borderId="25" xfId="949" applyNumberFormat="1" applyFont="1" applyFill="1" applyBorder="1" applyAlignment="1">
      <alignment horizontal="center" vertical="center" wrapText="1"/>
    </xf>
    <xf numFmtId="4" fontId="23" fillId="0" borderId="25" xfId="949" applyNumberFormat="1" applyFont="1" applyFill="1" applyBorder="1" applyAlignment="1">
      <alignment horizontal="center" vertical="center" wrapText="1"/>
    </xf>
    <xf numFmtId="165" fontId="23" fillId="0" borderId="25" xfId="0" applyNumberFormat="1" applyFont="1" applyFill="1" applyBorder="1" applyAlignment="1">
      <alignment horizontal="center" vertical="center" wrapText="1"/>
    </xf>
    <xf numFmtId="3" fontId="23" fillId="0" borderId="25" xfId="0" applyNumberFormat="1" applyFont="1" applyFill="1" applyBorder="1" applyAlignment="1">
      <alignment horizontal="center" vertical="center" wrapText="1"/>
    </xf>
    <xf numFmtId="4" fontId="23" fillId="0" borderId="25" xfId="0" applyNumberFormat="1" applyFont="1" applyFill="1" applyBorder="1" applyAlignment="1">
      <alignment horizontal="center" vertical="center" wrapText="1"/>
    </xf>
    <xf numFmtId="4" fontId="22" fillId="0" borderId="25" xfId="949" applyNumberFormat="1" applyFont="1" applyFill="1" applyBorder="1" applyAlignment="1">
      <alignment horizontal="center" vertical="center" wrapText="1"/>
    </xf>
    <xf numFmtId="165" fontId="22" fillId="0" borderId="25" xfId="0" applyNumberFormat="1" applyFont="1" applyFill="1" applyBorder="1" applyAlignment="1">
      <alignment horizontal="center" vertical="center" wrapText="1"/>
    </xf>
    <xf numFmtId="165" fontId="22" fillId="0" borderId="25" xfId="949" applyNumberFormat="1" applyFont="1" applyFill="1" applyBorder="1" applyAlignment="1">
      <alignment horizontal="center" vertical="center" wrapText="1"/>
    </xf>
    <xf numFmtId="3" fontId="37" fillId="0" borderId="25" xfId="949" applyNumberFormat="1" applyFont="1" applyFill="1" applyBorder="1" applyAlignment="1">
      <alignment horizontal="center" vertical="center" wrapText="1"/>
    </xf>
    <xf numFmtId="4" fontId="25" fillId="0" borderId="25" xfId="949" applyNumberFormat="1" applyFont="1" applyFill="1" applyBorder="1" applyAlignment="1">
      <alignment horizontal="center" vertical="center" wrapText="1"/>
    </xf>
    <xf numFmtId="165" fontId="25" fillId="0" borderId="25" xfId="0" applyNumberFormat="1" applyFont="1" applyFill="1" applyBorder="1" applyAlignment="1">
      <alignment horizontal="center" vertical="center" wrapText="1"/>
    </xf>
    <xf numFmtId="165" fontId="25" fillId="0" borderId="25" xfId="949" applyNumberFormat="1" applyFont="1" applyFill="1" applyBorder="1" applyAlignment="1">
      <alignment horizontal="center" vertical="center" wrapText="1"/>
    </xf>
    <xf numFmtId="3" fontId="25" fillId="0" borderId="25" xfId="949" applyNumberFormat="1" applyFont="1" applyFill="1" applyBorder="1" applyAlignment="1">
      <alignment horizontal="center" vertical="center" wrapText="1"/>
    </xf>
    <xf numFmtId="9" fontId="36" fillId="0" borderId="26" xfId="2857" applyFont="1" applyFill="1" applyBorder="1" applyAlignment="1">
      <alignment horizontal="center" vertical="center"/>
    </xf>
    <xf numFmtId="10" fontId="36" fillId="0" borderId="59" xfId="2857" applyNumberFormat="1" applyFont="1" applyFill="1" applyBorder="1" applyAlignment="1">
      <alignment horizontal="center" vertical="center" wrapText="1"/>
    </xf>
    <xf numFmtId="10" fontId="36" fillId="0" borderId="120" xfId="2857" applyNumberFormat="1" applyFont="1" applyFill="1" applyBorder="1" applyAlignment="1">
      <alignment horizontal="center" vertical="center" wrapText="1"/>
    </xf>
    <xf numFmtId="10" fontId="36" fillId="0" borderId="26" xfId="2857" applyNumberFormat="1" applyFont="1" applyFill="1" applyBorder="1" applyAlignment="1">
      <alignment horizontal="center" vertical="center" wrapText="1"/>
    </xf>
    <xf numFmtId="165" fontId="22" fillId="0" borderId="31" xfId="0" applyNumberFormat="1" applyFont="1" applyFill="1" applyBorder="1" applyAlignment="1">
      <alignment horizontal="center" vertical="center" wrapText="1"/>
    </xf>
    <xf numFmtId="3" fontId="22" fillId="0" borderId="31" xfId="0" applyNumberFormat="1" applyFont="1" applyFill="1" applyBorder="1" applyAlignment="1">
      <alignment horizontal="center" vertical="center" wrapText="1"/>
    </xf>
    <xf numFmtId="165" fontId="23" fillId="0" borderId="31" xfId="0" applyNumberFormat="1" applyFont="1" applyFill="1" applyBorder="1" applyAlignment="1">
      <alignment horizontal="center" vertical="center" wrapText="1"/>
    </xf>
    <xf numFmtId="4" fontId="23" fillId="0" borderId="31" xfId="0" applyNumberFormat="1" applyFont="1" applyFill="1" applyBorder="1" applyAlignment="1">
      <alignment horizontal="center" vertical="center" wrapText="1"/>
    </xf>
    <xf numFmtId="4" fontId="22" fillId="0" borderId="31" xfId="0" applyNumberFormat="1" applyFont="1" applyFill="1" applyBorder="1" applyAlignment="1">
      <alignment horizontal="center" vertical="center" wrapText="1"/>
    </xf>
    <xf numFmtId="3" fontId="23" fillId="0" borderId="31" xfId="0" applyNumberFormat="1" applyFont="1" applyFill="1" applyBorder="1" applyAlignment="1">
      <alignment horizontal="center" vertical="center" wrapText="1"/>
    </xf>
    <xf numFmtId="3" fontId="27" fillId="0" borderId="31" xfId="0" applyNumberFormat="1" applyFont="1" applyFill="1" applyBorder="1" applyAlignment="1">
      <alignment horizontal="center" vertical="center" wrapText="1"/>
    </xf>
    <xf numFmtId="165" fontId="21" fillId="0" borderId="31" xfId="0" applyNumberFormat="1" applyFont="1" applyFill="1" applyBorder="1" applyAlignment="1">
      <alignment horizontal="center" vertical="center" wrapText="1"/>
    </xf>
    <xf numFmtId="165" fontId="26" fillId="0" borderId="31" xfId="0" applyNumberFormat="1" applyFont="1" applyFill="1" applyBorder="1" applyAlignment="1">
      <alignment horizontal="center" vertical="center" wrapText="1"/>
    </xf>
    <xf numFmtId="9" fontId="36" fillId="0" borderId="30" xfId="2857" applyFont="1" applyFill="1" applyBorder="1" applyAlignment="1">
      <alignment horizontal="center" vertical="center"/>
    </xf>
    <xf numFmtId="10" fontId="36" fillId="0" borderId="139" xfId="2857" applyNumberFormat="1" applyFont="1" applyFill="1" applyBorder="1" applyAlignment="1">
      <alignment horizontal="center" vertical="center" wrapText="1"/>
    </xf>
    <xf numFmtId="10" fontId="36" fillId="0" borderId="30" xfId="2857" applyNumberFormat="1" applyFont="1" applyFill="1" applyBorder="1" applyAlignment="1">
      <alignment horizontal="center" vertical="center" wrapText="1"/>
    </xf>
    <xf numFmtId="167" fontId="23" fillId="20" borderId="140" xfId="58" applyNumberFormat="1" applyFont="1" applyFill="1" applyBorder="1" applyAlignment="1">
      <alignment horizontal="center" vertical="center"/>
    </xf>
    <xf numFmtId="167" fontId="23" fillId="20" borderId="141" xfId="58" applyNumberFormat="1" applyFont="1" applyFill="1" applyBorder="1" applyAlignment="1">
      <alignment horizontal="center" vertical="center"/>
    </xf>
    <xf numFmtId="167" fontId="22" fillId="20" borderId="141" xfId="58" applyNumberFormat="1" applyFont="1" applyFill="1" applyBorder="1" applyAlignment="1">
      <alignment horizontal="center" vertical="center"/>
    </xf>
    <xf numFmtId="165" fontId="23" fillId="20" borderId="141" xfId="0" applyNumberFormat="1" applyFont="1" applyFill="1" applyBorder="1" applyAlignment="1">
      <alignment horizontal="center" vertical="center" wrapText="1"/>
    </xf>
    <xf numFmtId="3" fontId="23" fillId="20" borderId="141" xfId="0" applyNumberFormat="1" applyFont="1" applyFill="1" applyBorder="1" applyAlignment="1">
      <alignment horizontal="center" vertical="center" wrapText="1"/>
    </xf>
    <xf numFmtId="3" fontId="22" fillId="20" borderId="141" xfId="228" applyNumberFormat="1" applyFont="1" applyFill="1" applyBorder="1" applyAlignment="1">
      <alignment horizontal="center" vertical="center"/>
    </xf>
    <xf numFmtId="3" fontId="22" fillId="20" borderId="141" xfId="0" applyNumberFormat="1" applyFont="1" applyFill="1" applyBorder="1" applyAlignment="1">
      <alignment horizontal="center" vertical="center" wrapText="1"/>
    </xf>
    <xf numFmtId="3" fontId="23" fillId="20" borderId="141" xfId="228" applyNumberFormat="1" applyFont="1" applyFill="1" applyBorder="1" applyAlignment="1">
      <alignment horizontal="center" vertical="center"/>
    </xf>
    <xf numFmtId="166" fontId="37" fillId="20" borderId="141" xfId="228" applyNumberFormat="1" applyFont="1" applyFill="1" applyBorder="1" applyAlignment="1">
      <alignment horizontal="center" vertical="center"/>
    </xf>
    <xf numFmtId="3" fontId="25" fillId="20" borderId="141" xfId="0" applyNumberFormat="1" applyFont="1" applyFill="1" applyBorder="1" applyAlignment="1">
      <alignment horizontal="center" vertical="center" wrapText="1"/>
    </xf>
    <xf numFmtId="169" fontId="25" fillId="20" borderId="141" xfId="228" applyNumberFormat="1" applyFont="1" applyFill="1" applyBorder="1" applyAlignment="1">
      <alignment horizontal="center" vertical="center"/>
    </xf>
    <xf numFmtId="9" fontId="36" fillId="20" borderId="142" xfId="2857" applyFont="1" applyFill="1" applyBorder="1" applyAlignment="1">
      <alignment horizontal="center" vertical="center"/>
    </xf>
    <xf numFmtId="10" fontId="36" fillId="20" borderId="142" xfId="2857" applyNumberFormat="1" applyFont="1" applyFill="1" applyBorder="1" applyAlignment="1">
      <alignment horizontal="center" vertical="center"/>
    </xf>
    <xf numFmtId="10" fontId="36" fillId="20" borderId="143" xfId="2857" applyNumberFormat="1" applyFont="1" applyFill="1" applyBorder="1" applyAlignment="1">
      <alignment horizontal="center" vertical="center" wrapText="1"/>
    </xf>
    <xf numFmtId="166" fontId="37" fillId="0" borderId="31" xfId="228" applyNumberFormat="1" applyFont="1" applyFill="1" applyBorder="1" applyAlignment="1">
      <alignment horizontal="center" vertical="center"/>
    </xf>
    <xf numFmtId="3" fontId="25" fillId="0" borderId="31" xfId="0" applyNumberFormat="1" applyFont="1" applyFill="1" applyBorder="1" applyAlignment="1">
      <alignment horizontal="center" vertical="center" wrapText="1"/>
    </xf>
    <xf numFmtId="169" fontId="25" fillId="0" borderId="31" xfId="228" applyNumberFormat="1" applyFont="1" applyFill="1" applyBorder="1" applyAlignment="1">
      <alignment horizontal="center" vertical="center"/>
    </xf>
    <xf numFmtId="173" fontId="22" fillId="0" borderId="21" xfId="58" applyNumberFormat="1" applyFont="1" applyFill="1" applyBorder="1" applyAlignment="1">
      <alignment horizontal="center" vertical="center"/>
    </xf>
    <xf numFmtId="173" fontId="22" fillId="0" borderId="24" xfId="58" applyNumberFormat="1" applyFont="1" applyFill="1" applyBorder="1" applyAlignment="1">
      <alignment horizontal="center" vertical="center"/>
    </xf>
    <xf numFmtId="4" fontId="22" fillId="0" borderId="25" xfId="228" applyNumberFormat="1" applyFont="1" applyFill="1" applyBorder="1" applyAlignment="1">
      <alignment horizontal="center" vertical="center"/>
    </xf>
    <xf numFmtId="4" fontId="22" fillId="0" borderId="25" xfId="0" applyNumberFormat="1" applyFont="1" applyFill="1" applyBorder="1" applyAlignment="1">
      <alignment horizontal="center" vertical="center" wrapText="1"/>
    </xf>
    <xf numFmtId="4" fontId="23" fillId="0" borderId="25" xfId="228" applyNumberFormat="1" applyFont="1" applyFill="1" applyBorder="1" applyAlignment="1">
      <alignment horizontal="center" vertical="center"/>
    </xf>
    <xf numFmtId="4" fontId="37" fillId="0" borderId="25" xfId="228" applyNumberFormat="1" applyFont="1" applyFill="1" applyBorder="1" applyAlignment="1">
      <alignment horizontal="center" vertical="center"/>
    </xf>
    <xf numFmtId="4" fontId="25" fillId="0" borderId="25" xfId="0" applyNumberFormat="1" applyFont="1" applyFill="1" applyBorder="1" applyAlignment="1">
      <alignment horizontal="center" vertical="center" wrapText="1"/>
    </xf>
    <xf numFmtId="4" fontId="25" fillId="0" borderId="25" xfId="228" applyNumberFormat="1" applyFont="1" applyFill="1" applyBorder="1" applyAlignment="1">
      <alignment horizontal="center" vertical="center"/>
    </xf>
    <xf numFmtId="167" fontId="22" fillId="0" borderId="41" xfId="58" applyNumberFormat="1" applyFont="1" applyFill="1" applyBorder="1" applyAlignment="1">
      <alignment horizontal="center" vertical="center"/>
    </xf>
    <xf numFmtId="4" fontId="25" fillId="0" borderId="31" xfId="0" applyNumberFormat="1" applyFont="1" applyFill="1" applyBorder="1" applyAlignment="1">
      <alignment horizontal="center" vertical="center" wrapText="1"/>
    </xf>
    <xf numFmtId="3" fontId="38" fillId="0" borderId="31" xfId="0" applyNumberFormat="1" applyFont="1" applyFill="1" applyBorder="1" applyAlignment="1">
      <alignment horizontal="center" vertical="center" wrapText="1"/>
    </xf>
    <xf numFmtId="3" fontId="21" fillId="0" borderId="31" xfId="0" applyNumberFormat="1" applyFont="1" applyFill="1" applyBorder="1" applyAlignment="1">
      <alignment horizontal="center" vertical="center" wrapText="1"/>
    </xf>
    <xf numFmtId="1" fontId="25" fillId="0" borderId="31" xfId="229" applyNumberFormat="1" applyFont="1" applyFill="1" applyBorder="1" applyAlignment="1">
      <alignment horizontal="center" vertical="center" wrapText="1"/>
    </xf>
    <xf numFmtId="3" fontId="22" fillId="20" borderId="141" xfId="58" applyNumberFormat="1" applyFont="1" applyFill="1" applyBorder="1" applyAlignment="1">
      <alignment horizontal="center" vertical="center"/>
    </xf>
    <xf numFmtId="181" fontId="22" fillId="0" borderId="31" xfId="0" applyNumberFormat="1" applyFont="1" applyFill="1" applyBorder="1" applyAlignment="1">
      <alignment horizontal="center" vertical="center" wrapText="1"/>
    </xf>
    <xf numFmtId="167" fontId="22" fillId="0" borderId="24" xfId="58" applyNumberFormat="1" applyFont="1" applyFill="1" applyBorder="1" applyAlignment="1">
      <alignment horizontal="center" vertical="center"/>
    </xf>
    <xf numFmtId="172" fontId="22" fillId="0" borderId="25" xfId="185" applyFont="1" applyFill="1" applyBorder="1" applyAlignment="1">
      <alignment horizontal="center" vertical="center"/>
    </xf>
    <xf numFmtId="1" fontId="22" fillId="0" borderId="25" xfId="229" applyNumberFormat="1" applyFont="1" applyFill="1" applyBorder="1" applyAlignment="1">
      <alignment horizontal="center" vertical="center" wrapText="1"/>
    </xf>
    <xf numFmtId="4" fontId="21" fillId="0" borderId="25" xfId="949" applyNumberFormat="1" applyFont="1" applyFill="1" applyBorder="1" applyAlignment="1">
      <alignment horizontal="center" vertical="center" wrapText="1"/>
    </xf>
    <xf numFmtId="172" fontId="25" fillId="0" borderId="25" xfId="185" applyFont="1" applyFill="1" applyBorder="1" applyAlignment="1">
      <alignment horizontal="center" vertical="center"/>
    </xf>
    <xf numFmtId="1" fontId="25" fillId="0" borderId="25" xfId="229" applyNumberFormat="1" applyFont="1" applyFill="1" applyBorder="1" applyAlignment="1">
      <alignment horizontal="center" vertical="center" wrapText="1"/>
    </xf>
    <xf numFmtId="173" fontId="22" fillId="0" borderId="41" xfId="58" applyNumberFormat="1" applyFont="1" applyFill="1" applyBorder="1" applyAlignment="1">
      <alignment horizontal="center" vertical="center"/>
    </xf>
    <xf numFmtId="167" fontId="25" fillId="0" borderId="31" xfId="228" applyNumberFormat="1" applyFont="1" applyFill="1" applyBorder="1" applyAlignment="1">
      <alignment horizontal="center" vertical="center"/>
    </xf>
    <xf numFmtId="167" fontId="21" fillId="0" borderId="31" xfId="228" applyNumberFormat="1" applyFont="1" applyFill="1" applyBorder="1" applyAlignment="1">
      <alignment horizontal="center" vertical="center"/>
    </xf>
    <xf numFmtId="3" fontId="26" fillId="0" borderId="31" xfId="0" applyNumberFormat="1" applyFont="1" applyFill="1" applyBorder="1" applyAlignment="1">
      <alignment horizontal="center" vertical="center" wrapText="1"/>
    </xf>
    <xf numFmtId="4" fontId="21" fillId="0" borderId="31" xfId="0" applyNumberFormat="1" applyFont="1" applyFill="1" applyBorder="1" applyAlignment="1">
      <alignment horizontal="center" vertical="center" wrapText="1"/>
    </xf>
    <xf numFmtId="1" fontId="21" fillId="0" borderId="31" xfId="229" applyNumberFormat="1" applyFont="1" applyFill="1" applyBorder="1" applyAlignment="1">
      <alignment horizontal="center" vertical="center" wrapText="1"/>
    </xf>
    <xf numFmtId="166" fontId="21" fillId="20" borderId="141" xfId="228" applyNumberFormat="1" applyFont="1" applyFill="1" applyBorder="1" applyAlignment="1">
      <alignment horizontal="center" vertical="center"/>
    </xf>
    <xf numFmtId="173" fontId="22" fillId="0" borderId="25" xfId="228" applyNumberFormat="1" applyFont="1" applyFill="1" applyBorder="1" applyAlignment="1">
      <alignment horizontal="center" vertical="center"/>
    </xf>
    <xf numFmtId="173" fontId="23" fillId="0" borderId="25" xfId="228" applyNumberFormat="1" applyFont="1" applyFill="1" applyBorder="1" applyAlignment="1">
      <alignment horizontal="center" vertical="center"/>
    </xf>
    <xf numFmtId="173" fontId="21" fillId="0" borderId="25" xfId="228" applyNumberFormat="1" applyFont="1" applyFill="1" applyBorder="1" applyAlignment="1">
      <alignment horizontal="center" vertical="center"/>
    </xf>
    <xf numFmtId="173" fontId="25" fillId="0" borderId="25" xfId="228" applyNumberFormat="1" applyFont="1" applyFill="1" applyBorder="1" applyAlignment="1">
      <alignment horizontal="center" vertical="center"/>
    </xf>
    <xf numFmtId="166" fontId="39" fillId="12" borderId="0" xfId="0" applyNumberFormat="1" applyFont="1" applyFill="1" applyBorder="1" applyAlignment="1">
      <alignment wrapText="1"/>
    </xf>
    <xf numFmtId="167" fontId="23" fillId="30" borderId="140" xfId="58" applyNumberFormat="1" applyFont="1" applyFill="1" applyBorder="1" applyAlignment="1">
      <alignment horizontal="center" vertical="center"/>
    </xf>
    <xf numFmtId="167" fontId="23" fillId="30" borderId="141" xfId="58" applyNumberFormat="1" applyFont="1" applyFill="1" applyBorder="1" applyAlignment="1">
      <alignment horizontal="center" vertical="center"/>
    </xf>
    <xf numFmtId="167" fontId="22" fillId="30" borderId="141" xfId="58" applyNumberFormat="1" applyFont="1" applyFill="1" applyBorder="1" applyAlignment="1">
      <alignment horizontal="center" vertical="center"/>
    </xf>
    <xf numFmtId="165" fontId="23" fillId="30" borderId="141" xfId="0" applyNumberFormat="1" applyFont="1" applyFill="1" applyBorder="1" applyAlignment="1">
      <alignment horizontal="center" vertical="center" wrapText="1"/>
    </xf>
    <xf numFmtId="3" fontId="23" fillId="30" borderId="141" xfId="0" applyNumberFormat="1" applyFont="1" applyFill="1" applyBorder="1" applyAlignment="1">
      <alignment horizontal="center" vertical="center" wrapText="1"/>
    </xf>
    <xf numFmtId="3" fontId="22" fillId="30" borderId="141" xfId="228" applyNumberFormat="1" applyFont="1" applyFill="1" applyBorder="1" applyAlignment="1">
      <alignment horizontal="center" vertical="center"/>
    </xf>
    <xf numFmtId="3" fontId="22" fillId="30" borderId="141" xfId="0" applyNumberFormat="1" applyFont="1" applyFill="1" applyBorder="1" applyAlignment="1">
      <alignment horizontal="center" vertical="center" wrapText="1"/>
    </xf>
    <xf numFmtId="3" fontId="23" fillId="30" borderId="141" xfId="228" applyNumberFormat="1" applyFont="1" applyFill="1" applyBorder="1" applyAlignment="1">
      <alignment horizontal="center" vertical="center"/>
    </xf>
    <xf numFmtId="166" fontId="21" fillId="30" borderId="141" xfId="228" applyNumberFormat="1" applyFont="1" applyFill="1" applyBorder="1" applyAlignment="1">
      <alignment horizontal="center" vertical="center"/>
    </xf>
    <xf numFmtId="3" fontId="25" fillId="30" borderId="141" xfId="0" applyNumberFormat="1" applyFont="1" applyFill="1" applyBorder="1" applyAlignment="1">
      <alignment horizontal="center" vertical="center" wrapText="1"/>
    </xf>
    <xf numFmtId="169" fontId="25" fillId="30" borderId="141" xfId="228" applyNumberFormat="1" applyFont="1" applyFill="1" applyBorder="1" applyAlignment="1">
      <alignment horizontal="center" vertical="center"/>
    </xf>
    <xf numFmtId="9" fontId="36" fillId="30" borderId="142" xfId="2857" applyFont="1" applyFill="1" applyBorder="1" applyAlignment="1">
      <alignment horizontal="center" vertical="center"/>
    </xf>
    <xf numFmtId="10" fontId="36" fillId="30" borderId="142" xfId="2857" applyNumberFormat="1" applyFont="1" applyFill="1" applyBorder="1" applyAlignment="1">
      <alignment horizontal="center" vertical="center"/>
    </xf>
    <xf numFmtId="10" fontId="36" fillId="30" borderId="143" xfId="2857" applyNumberFormat="1" applyFont="1" applyFill="1" applyBorder="1" applyAlignment="1">
      <alignment horizontal="center" vertical="center" wrapText="1"/>
    </xf>
    <xf numFmtId="166" fontId="27" fillId="12" borderId="144" xfId="0" applyNumberFormat="1" applyFont="1" applyFill="1" applyBorder="1" applyAlignment="1" applyProtection="1">
      <alignment horizontal="center" vertical="top" wrapText="1"/>
      <protection locked="0"/>
    </xf>
    <xf numFmtId="166" fontId="27" fillId="13" borderId="20" xfId="0" applyNumberFormat="1" applyFont="1" applyFill="1" applyBorder="1" applyAlignment="1" applyProtection="1">
      <alignment horizontal="center" vertical="top" wrapText="1"/>
      <protection locked="0"/>
    </xf>
    <xf numFmtId="166" fontId="27" fillId="12" borderId="23" xfId="0" applyNumberFormat="1" applyFont="1" applyFill="1" applyBorder="1" applyAlignment="1" applyProtection="1">
      <alignment horizontal="center" vertical="top" wrapText="1"/>
      <protection locked="0"/>
    </xf>
    <xf numFmtId="166" fontId="25" fillId="21" borderId="39" xfId="949" applyNumberFormat="1" applyFont="1" applyFill="1" applyBorder="1" applyAlignment="1">
      <alignment horizontal="center" vertical="center" wrapText="1"/>
    </xf>
    <xf numFmtId="166" fontId="25" fillId="21" borderId="15" xfId="228" applyNumberFormat="1" applyFont="1" applyFill="1" applyBorder="1" applyAlignment="1">
      <alignment horizontal="center" vertical="center"/>
    </xf>
    <xf numFmtId="166" fontId="21" fillId="21" borderId="39" xfId="0" applyNumberFormat="1" applyFont="1" applyFill="1" applyBorder="1" applyAlignment="1">
      <alignment horizontal="center" vertical="center" wrapText="1"/>
    </xf>
    <xf numFmtId="3" fontId="23" fillId="31" borderId="145" xfId="949" applyNumberFormat="1" applyFont="1" applyFill="1" applyBorder="1" applyAlignment="1">
      <alignment horizontal="center" vertical="center" wrapText="1"/>
    </xf>
    <xf numFmtId="3" fontId="23" fillId="31" borderId="146" xfId="949" applyNumberFormat="1" applyFont="1" applyFill="1" applyBorder="1" applyAlignment="1">
      <alignment horizontal="center" vertical="center" wrapText="1"/>
    </xf>
    <xf numFmtId="165" fontId="23" fillId="31" borderId="147" xfId="0" applyNumberFormat="1" applyFont="1" applyFill="1" applyBorder="1" applyAlignment="1">
      <alignment horizontal="center" vertical="center" wrapText="1"/>
    </xf>
    <xf numFmtId="3" fontId="23" fillId="31" borderId="147" xfId="0" applyNumberFormat="1" applyFont="1" applyFill="1" applyBorder="1" applyAlignment="1">
      <alignment horizontal="center" vertical="center" wrapText="1"/>
    </xf>
    <xf numFmtId="3" fontId="22" fillId="31" borderId="147" xfId="949" applyNumberFormat="1" applyFont="1" applyFill="1" applyBorder="1" applyAlignment="1">
      <alignment horizontal="center" vertical="center" wrapText="1"/>
    </xf>
    <xf numFmtId="3" fontId="23" fillId="31" borderId="148" xfId="0" applyNumberFormat="1" applyFont="1" applyFill="1" applyBorder="1" applyAlignment="1">
      <alignment horizontal="center" vertical="center" wrapText="1"/>
    </xf>
    <xf numFmtId="167" fontId="22" fillId="31" borderId="149" xfId="58" applyNumberFormat="1" applyFont="1" applyFill="1" applyBorder="1" applyAlignment="1">
      <alignment horizontal="center" vertical="center"/>
    </xf>
    <xf numFmtId="0" fontId="23" fillId="31" borderId="21" xfId="0" applyFont="1" applyFill="1" applyBorder="1" applyAlignment="1">
      <alignment horizontal="right" vertical="center"/>
    </xf>
    <xf numFmtId="0" fontId="22" fillId="31" borderId="37" xfId="0" applyFont="1" applyFill="1" applyBorder="1" applyAlignment="1">
      <alignment horizontal="right" vertical="center"/>
    </xf>
    <xf numFmtId="0" fontId="22" fillId="31" borderId="1" xfId="0" applyFont="1" applyFill="1" applyBorder="1" applyAlignment="1">
      <alignment horizontal="right" vertical="center"/>
    </xf>
    <xf numFmtId="0" fontId="23" fillId="31" borderId="37" xfId="0" applyFont="1" applyFill="1" applyBorder="1" applyAlignment="1">
      <alignment horizontal="right" vertical="center"/>
    </xf>
    <xf numFmtId="0" fontId="23" fillId="31" borderId="1" xfId="0" applyFont="1" applyFill="1" applyBorder="1" applyAlignment="1">
      <alignment horizontal="right" vertical="center"/>
    </xf>
    <xf numFmtId="165" fontId="23" fillId="31" borderId="18" xfId="0" applyNumberFormat="1" applyFont="1" applyFill="1" applyBorder="1" applyAlignment="1">
      <alignment horizontal="center" vertical="center" wrapText="1"/>
    </xf>
    <xf numFmtId="3" fontId="23" fillId="31" borderId="18" xfId="0" applyNumberFormat="1" applyFont="1" applyFill="1" applyBorder="1" applyAlignment="1">
      <alignment horizontal="center" vertical="center" wrapText="1"/>
    </xf>
    <xf numFmtId="3" fontId="23" fillId="31" borderId="1" xfId="0" applyNumberFormat="1" applyFont="1" applyFill="1" applyBorder="1" applyAlignment="1">
      <alignment horizontal="right" vertical="center"/>
    </xf>
    <xf numFmtId="3" fontId="23" fillId="31" borderId="1" xfId="0" applyNumberFormat="1" applyFont="1" applyFill="1" applyBorder="1" applyAlignment="1">
      <alignment horizontal="center" vertical="center"/>
    </xf>
    <xf numFmtId="3" fontId="23" fillId="31" borderId="1" xfId="0" applyNumberFormat="1" applyFont="1" applyFill="1" applyBorder="1" applyAlignment="1">
      <alignment horizontal="center" vertical="center" wrapText="1"/>
    </xf>
    <xf numFmtId="3" fontId="22" fillId="31" borderId="1" xfId="228" applyNumberFormat="1" applyFont="1" applyFill="1" applyBorder="1" applyAlignment="1">
      <alignment horizontal="center" vertical="center"/>
    </xf>
    <xf numFmtId="3" fontId="23" fillId="31" borderId="150" xfId="0" applyNumberFormat="1" applyFont="1" applyFill="1" applyBorder="1" applyAlignment="1">
      <alignment horizontal="center" vertical="center" wrapText="1"/>
    </xf>
    <xf numFmtId="3" fontId="23" fillId="31" borderId="151" xfId="0" applyNumberFormat="1" applyFont="1" applyFill="1" applyBorder="1" applyAlignment="1">
      <alignment horizontal="center" vertical="center" wrapText="1"/>
    </xf>
    <xf numFmtId="3" fontId="23" fillId="31" borderId="152" xfId="0" applyNumberFormat="1" applyFont="1" applyFill="1" applyBorder="1" applyAlignment="1">
      <alignment horizontal="center" vertical="center" wrapText="1"/>
    </xf>
    <xf numFmtId="3" fontId="22" fillId="31" borderId="153" xfId="0" applyNumberFormat="1" applyFont="1" applyFill="1" applyBorder="1" applyAlignment="1">
      <alignment horizontal="center" vertical="center" wrapText="1"/>
    </xf>
    <xf numFmtId="3" fontId="23" fillId="31" borderId="153" xfId="0" applyNumberFormat="1" applyFont="1" applyFill="1" applyBorder="1" applyAlignment="1">
      <alignment horizontal="center" vertical="center" wrapText="1"/>
    </xf>
    <xf numFmtId="165" fontId="23" fillId="31" borderId="154" xfId="0" applyNumberFormat="1" applyFont="1" applyFill="1" applyBorder="1" applyAlignment="1">
      <alignment horizontal="center" vertical="center" wrapText="1"/>
    </xf>
    <xf numFmtId="3" fontId="23" fillId="31" borderId="154" xfId="0" applyNumberFormat="1" applyFont="1" applyFill="1" applyBorder="1" applyAlignment="1">
      <alignment horizontal="center" vertical="center" wrapText="1"/>
    </xf>
    <xf numFmtId="3" fontId="23" fillId="31" borderId="155" xfId="0" applyNumberFormat="1" applyFont="1" applyFill="1" applyBorder="1" applyAlignment="1">
      <alignment horizontal="center" vertical="center" wrapText="1"/>
    </xf>
    <xf numFmtId="3" fontId="22" fillId="31" borderId="155" xfId="0" applyNumberFormat="1" applyFont="1" applyFill="1" applyBorder="1" applyAlignment="1">
      <alignment horizontal="center" vertical="center" wrapText="1"/>
    </xf>
    <xf numFmtId="3" fontId="23" fillId="31" borderId="156" xfId="0" applyNumberFormat="1" applyFont="1" applyFill="1" applyBorder="1" applyAlignment="1">
      <alignment horizontal="center" vertical="center" wrapText="1"/>
    </xf>
    <xf numFmtId="0" fontId="85" fillId="32" borderId="57" xfId="0" applyFont="1" applyFill="1" applyBorder="1" applyAlignment="1">
      <alignment horizontal="center" vertical="center"/>
    </xf>
    <xf numFmtId="0" fontId="0" fillId="0" borderId="57" xfId="0" applyBorder="1" applyAlignment="1">
      <alignment horizontal="center" vertical="center"/>
    </xf>
    <xf numFmtId="0" fontId="59" fillId="33" borderId="80" xfId="0" applyFont="1" applyFill="1" applyBorder="1" applyAlignment="1">
      <alignment horizontal="center" vertical="center" wrapText="1"/>
    </xf>
    <xf numFmtId="0" fontId="59" fillId="33" borderId="77" xfId="0" applyFont="1" applyFill="1" applyBorder="1" applyAlignment="1">
      <alignment vertical="center" wrapText="1"/>
    </xf>
    <xf numFmtId="0" fontId="59" fillId="33" borderId="77" xfId="2831" applyFont="1" applyFill="1" applyBorder="1" applyAlignment="1">
      <alignment vertical="center" wrapText="1"/>
    </xf>
    <xf numFmtId="0" fontId="59" fillId="33" borderId="78" xfId="0" applyFont="1" applyFill="1" applyBorder="1" applyAlignment="1">
      <alignment vertical="center" wrapText="1"/>
    </xf>
    <xf numFmtId="0" fontId="59" fillId="33" borderId="76" xfId="0" applyFont="1" applyFill="1" applyBorder="1" applyAlignment="1">
      <alignment horizontal="center" vertical="center" wrapText="1"/>
    </xf>
    <xf numFmtId="10" fontId="16" fillId="33" borderId="77" xfId="2823" applyNumberFormat="1" applyFill="1" applyBorder="1" applyAlignment="1">
      <alignment horizontal="center" vertical="center" wrapText="1"/>
    </xf>
    <xf numFmtId="0" fontId="59" fillId="33" borderId="79" xfId="0" applyFont="1" applyFill="1" applyBorder="1" applyAlignment="1">
      <alignment horizontal="center" vertical="center" wrapText="1"/>
    </xf>
    <xf numFmtId="10" fontId="61" fillId="33" borderId="77" xfId="2823" applyNumberFormat="1" applyFont="1" applyFill="1" applyBorder="1" applyAlignment="1">
      <alignment horizontal="center" vertical="center" wrapText="1"/>
    </xf>
    <xf numFmtId="0" fontId="16" fillId="33" borderId="77" xfId="2823" applyNumberFormat="1" applyFill="1" applyBorder="1" applyAlignment="1">
      <alignment horizontal="center" vertical="center" wrapText="1"/>
    </xf>
    <xf numFmtId="0" fontId="59" fillId="33" borderId="77" xfId="0" applyFont="1" applyFill="1" applyBorder="1" applyAlignment="1">
      <alignment horizontal="center" vertical="center" wrapText="1"/>
    </xf>
    <xf numFmtId="0" fontId="59" fillId="33" borderId="77" xfId="0" applyFont="1" applyFill="1" applyBorder="1" applyAlignment="1">
      <alignment horizontal="center" vertical="top" wrapText="1"/>
    </xf>
    <xf numFmtId="0" fontId="59" fillId="33" borderId="81" xfId="0" applyFont="1" applyFill="1" applyBorder="1" applyAlignment="1">
      <alignment horizontal="center" vertical="center" wrapText="1"/>
    </xf>
    <xf numFmtId="0" fontId="59" fillId="33" borderId="82" xfId="0" applyFont="1" applyFill="1" applyBorder="1" applyAlignment="1">
      <alignment horizontal="center" vertical="center" wrapText="1"/>
    </xf>
    <xf numFmtId="0" fontId="59" fillId="33" borderId="82" xfId="0" applyFont="1" applyFill="1" applyBorder="1" applyAlignment="1">
      <alignment horizontal="center" vertical="top" wrapText="1"/>
    </xf>
    <xf numFmtId="0" fontId="59" fillId="33" borderId="83" xfId="0" applyFont="1" applyFill="1" applyBorder="1" applyAlignment="1">
      <alignment horizontal="center" vertical="top" wrapText="1"/>
    </xf>
    <xf numFmtId="0" fontId="59" fillId="33" borderId="72" xfId="0" applyFont="1" applyFill="1" applyBorder="1" applyAlignment="1">
      <alignment horizontal="center" vertical="center" wrapText="1"/>
    </xf>
    <xf numFmtId="0" fontId="83" fillId="0" borderId="134" xfId="0" applyFont="1" applyFill="1" applyBorder="1" applyAlignment="1">
      <alignment horizontal="center" vertical="center" wrapText="1"/>
    </xf>
    <xf numFmtId="168" fontId="83" fillId="0" borderId="89" xfId="229" applyFont="1" applyFill="1" applyBorder="1" applyAlignment="1">
      <alignment horizontal="center" vertical="center"/>
    </xf>
    <xf numFmtId="0" fontId="83" fillId="0" borderId="116" xfId="0" applyFont="1" applyFill="1" applyBorder="1" applyAlignment="1">
      <alignment horizontal="center" vertical="center" wrapText="1"/>
    </xf>
    <xf numFmtId="168" fontId="83" fillId="0" borderId="57" xfId="229" applyFont="1" applyFill="1" applyBorder="1" applyAlignment="1">
      <alignment horizontal="center" vertical="center"/>
    </xf>
    <xf numFmtId="0" fontId="83" fillId="0" borderId="57" xfId="0" applyFont="1" applyFill="1" applyBorder="1" applyAlignment="1">
      <alignment horizontal="center" vertical="center" wrapText="1"/>
    </xf>
    <xf numFmtId="10" fontId="73" fillId="25" borderId="0" xfId="0" applyNumberFormat="1" applyFont="1" applyFill="1"/>
    <xf numFmtId="10" fontId="75" fillId="0" borderId="0" xfId="0" applyNumberFormat="1" applyFont="1" applyAlignment="1">
      <alignment horizontal="center"/>
    </xf>
    <xf numFmtId="10" fontId="73" fillId="0" borderId="0" xfId="0" applyNumberFormat="1" applyFont="1"/>
    <xf numFmtId="10" fontId="0" fillId="0" borderId="0" xfId="0" applyNumberFormat="1" applyFill="1"/>
    <xf numFmtId="39" fontId="70" fillId="0" borderId="57" xfId="58" applyNumberFormat="1" applyFont="1" applyFill="1" applyBorder="1" applyAlignment="1">
      <alignment horizontal="center" vertical="center"/>
    </xf>
    <xf numFmtId="10" fontId="36" fillId="0" borderId="19" xfId="2857" applyNumberFormat="1" applyFont="1" applyFill="1" applyBorder="1" applyAlignment="1">
      <alignment horizontal="center" vertical="center"/>
    </xf>
    <xf numFmtId="10" fontId="36" fillId="0" borderId="22" xfId="2857" applyNumberFormat="1" applyFont="1" applyFill="1" applyBorder="1" applyAlignment="1">
      <alignment horizontal="center" vertical="center"/>
    </xf>
    <xf numFmtId="10" fontId="36" fillId="0" borderId="26" xfId="2857" applyNumberFormat="1" applyFont="1" applyFill="1" applyBorder="1" applyAlignment="1">
      <alignment horizontal="center" vertical="center"/>
    </xf>
    <xf numFmtId="10" fontId="36" fillId="0" borderId="30" xfId="2857" applyNumberFormat="1" applyFont="1" applyFill="1" applyBorder="1" applyAlignment="1">
      <alignment horizontal="center" vertical="center"/>
    </xf>
    <xf numFmtId="197" fontId="16" fillId="9" borderId="0" xfId="2823" applyNumberFormat="1" applyFont="1" applyFill="1" applyAlignment="1">
      <alignment vertical="center"/>
    </xf>
    <xf numFmtId="181" fontId="23" fillId="0" borderId="31" xfId="0" applyNumberFormat="1" applyFont="1" applyFill="1" applyBorder="1" applyAlignment="1">
      <alignment horizontal="center" vertical="center" wrapText="1"/>
    </xf>
    <xf numFmtId="10" fontId="0" fillId="0" borderId="0" xfId="0" applyNumberFormat="1" applyFill="1" applyAlignment="1">
      <alignment horizontal="center"/>
    </xf>
    <xf numFmtId="200" fontId="70" fillId="0" borderId="57" xfId="58" applyNumberFormat="1" applyFont="1" applyFill="1" applyBorder="1" applyAlignment="1">
      <alignment horizontal="center" vertical="center"/>
    </xf>
    <xf numFmtId="201" fontId="70" fillId="0" borderId="57" xfId="58" applyNumberFormat="1" applyFont="1" applyFill="1" applyBorder="1" applyAlignment="1">
      <alignment horizontal="center" vertical="center"/>
    </xf>
    <xf numFmtId="198" fontId="70" fillId="0" borderId="57" xfId="58" applyNumberFormat="1" applyFont="1" applyFill="1" applyBorder="1" applyAlignment="1">
      <alignment horizontal="center" vertical="center"/>
    </xf>
    <xf numFmtId="199" fontId="69" fillId="0" borderId="93" xfId="0" applyNumberFormat="1" applyFont="1" applyFill="1" applyBorder="1" applyAlignment="1">
      <alignment horizontal="center" vertical="center"/>
    </xf>
    <xf numFmtId="199" fontId="70" fillId="0" borderId="57" xfId="58" applyNumberFormat="1" applyFont="1" applyFill="1" applyBorder="1" applyAlignment="1">
      <alignment horizontal="center" vertical="center"/>
    </xf>
    <xf numFmtId="0" fontId="0" fillId="0" borderId="127" xfId="0" applyFill="1" applyBorder="1" applyAlignment="1">
      <alignment wrapText="1"/>
    </xf>
    <xf numFmtId="0" fontId="0" fillId="0" borderId="130" xfId="0" applyFill="1" applyBorder="1" applyAlignment="1">
      <alignment vertical="top" wrapText="1"/>
    </xf>
    <xf numFmtId="174" fontId="45" fillId="12" borderId="18" xfId="0" applyNumberFormat="1" applyFont="1" applyFill="1" applyBorder="1" applyAlignment="1">
      <alignment vertical="center"/>
    </xf>
    <xf numFmtId="0" fontId="67" fillId="0" borderId="91" xfId="0" applyFont="1" applyFill="1" applyBorder="1" applyAlignment="1"/>
    <xf numFmtId="0" fontId="67" fillId="0" borderId="96" xfId="0" applyFont="1" applyFill="1" applyBorder="1" applyAlignment="1"/>
    <xf numFmtId="3" fontId="67" fillId="0" borderId="91" xfId="0" applyNumberFormat="1" applyFont="1" applyFill="1" applyBorder="1" applyAlignment="1"/>
    <xf numFmtId="0" fontId="0" fillId="0" borderId="1" xfId="0" applyFill="1" applyBorder="1" applyAlignment="1">
      <alignment horizontal="left" vertical="center" wrapText="1"/>
    </xf>
    <xf numFmtId="0" fontId="0" fillId="0" borderId="1" xfId="0" applyFill="1" applyBorder="1"/>
    <xf numFmtId="0" fontId="26" fillId="15" borderId="50" xfId="0" applyFont="1" applyFill="1" applyBorder="1" applyAlignment="1">
      <alignment horizontal="center" vertical="center"/>
    </xf>
    <xf numFmtId="0" fontId="31" fillId="17" borderId="1" xfId="0" applyFont="1" applyFill="1" applyBorder="1" applyAlignment="1">
      <alignment horizontal="center" vertical="center"/>
    </xf>
    <xf numFmtId="0" fontId="31" fillId="17" borderId="1" xfId="0" applyFont="1" applyFill="1" applyBorder="1" applyAlignment="1">
      <alignment horizontal="center" vertical="center" wrapText="1"/>
    </xf>
    <xf numFmtId="0" fontId="0" fillId="0" borderId="1" xfId="0" applyFill="1" applyBorder="1" applyAlignment="1">
      <alignment horizontal="left" vertical="center"/>
    </xf>
    <xf numFmtId="0" fontId="0" fillId="0" borderId="0" xfId="0"/>
    <xf numFmtId="0" fontId="23" fillId="12" borderId="49" xfId="0" applyFont="1" applyFill="1" applyBorder="1" applyAlignment="1">
      <alignment horizontal="center" vertical="center" wrapText="1"/>
    </xf>
    <xf numFmtId="0" fontId="26" fillId="12" borderId="50"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23" fillId="12" borderId="18" xfId="0" applyFont="1" applyFill="1" applyBorder="1" applyAlignment="1">
      <alignment horizontal="center" vertical="center" wrapText="1"/>
    </xf>
    <xf numFmtId="0" fontId="21" fillId="12" borderId="50" xfId="0" applyFont="1" applyFill="1" applyBorder="1" applyAlignment="1">
      <alignment horizontal="left" vertical="center" wrapText="1"/>
    </xf>
    <xf numFmtId="0" fontId="21" fillId="0" borderId="50" xfId="0" applyFont="1" applyFill="1" applyBorder="1" applyAlignment="1">
      <alignment horizontal="left" vertical="center" wrapText="1"/>
    </xf>
    <xf numFmtId="0" fontId="21" fillId="12" borderId="46" xfId="0" applyFont="1" applyFill="1" applyBorder="1" applyAlignment="1">
      <alignment horizontal="left" vertical="center" wrapText="1"/>
    </xf>
    <xf numFmtId="0" fontId="0" fillId="0" borderId="50" xfId="0" applyFill="1" applyBorder="1"/>
    <xf numFmtId="0" fontId="48" fillId="12" borderId="46" xfId="0" applyFont="1" applyFill="1" applyBorder="1" applyAlignment="1">
      <alignment horizontal="center" vertical="center" wrapText="1"/>
    </xf>
    <xf numFmtId="0" fontId="49" fillId="12" borderId="23" xfId="0" applyFont="1" applyFill="1" applyBorder="1" applyAlignment="1">
      <alignment horizontal="center"/>
    </xf>
    <xf numFmtId="0" fontId="42" fillId="9" borderId="50" xfId="0" applyFont="1" applyFill="1" applyBorder="1" applyAlignment="1">
      <alignment vertical="center" wrapText="1"/>
    </xf>
    <xf numFmtId="0" fontId="42" fillId="9" borderId="50" xfId="0" applyFont="1" applyFill="1" applyBorder="1" applyAlignment="1">
      <alignment horizontal="left" vertical="center" wrapText="1"/>
    </xf>
    <xf numFmtId="0" fontId="0" fillId="0" borderId="57" xfId="0" applyBorder="1" applyAlignment="1">
      <alignment horizontal="left" vertical="center" wrapText="1"/>
    </xf>
    <xf numFmtId="0" fontId="0" fillId="0" borderId="51" xfId="0" applyFill="1" applyBorder="1"/>
    <xf numFmtId="0" fontId="0" fillId="0" borderId="57" xfId="0" applyBorder="1" applyAlignment="1">
      <alignment horizontal="left" vertical="center"/>
    </xf>
    <xf numFmtId="0" fontId="0" fillId="0" borderId="1" xfId="0" applyFill="1" applyBorder="1" applyAlignment="1">
      <alignment horizontal="center" vertical="center" wrapText="1"/>
    </xf>
    <xf numFmtId="166" fontId="18" fillId="12" borderId="50" xfId="0" applyNumberFormat="1" applyFont="1" applyFill="1" applyBorder="1" applyAlignment="1" applyProtection="1">
      <alignment horizontal="center" vertical="center" wrapText="1"/>
      <protection locked="0"/>
    </xf>
    <xf numFmtId="0" fontId="85" fillId="32" borderId="108" xfId="0" applyFont="1" applyFill="1" applyBorder="1" applyAlignment="1">
      <alignment horizontal="center" vertical="center"/>
    </xf>
    <xf numFmtId="0" fontId="85" fillId="32" borderId="94" xfId="0" applyFont="1" applyFill="1" applyBorder="1" applyAlignment="1">
      <alignment horizontal="center" vertical="center"/>
    </xf>
    <xf numFmtId="0" fontId="85" fillId="32" borderId="93" xfId="0" applyFont="1" applyFill="1" applyBorder="1" applyAlignment="1">
      <alignment horizontal="center" vertical="center"/>
    </xf>
    <xf numFmtId="0" fontId="85" fillId="32" borderId="108" xfId="0" applyFont="1" applyFill="1" applyBorder="1" applyAlignment="1">
      <alignment horizontal="center" vertical="center" wrapText="1"/>
    </xf>
    <xf numFmtId="0" fontId="85" fillId="32" borderId="94" xfId="0" applyFont="1" applyFill="1" applyBorder="1" applyAlignment="1">
      <alignment horizontal="center" vertical="center" wrapText="1"/>
    </xf>
    <xf numFmtId="0" fontId="85" fillId="32" borderId="93"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57" xfId="0" applyFill="1" applyBorder="1" applyAlignment="1">
      <alignment horizontal="center" vertical="center" wrapText="1"/>
    </xf>
    <xf numFmtId="0" fontId="0" fillId="0" borderId="158" xfId="0" applyFill="1" applyBorder="1" applyAlignment="1">
      <alignment horizontal="center" vertical="center" wrapText="1"/>
    </xf>
    <xf numFmtId="0" fontId="22" fillId="0" borderId="4" xfId="0" applyFont="1" applyFill="1" applyBorder="1" applyAlignment="1">
      <alignment horizontal="center" vertical="center" wrapText="1"/>
    </xf>
    <xf numFmtId="0" fontId="16" fillId="0" borderId="5" xfId="0" applyFont="1" applyFill="1" applyBorder="1" applyAlignment="1">
      <alignment horizontal="justify"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26" fillId="15" borderId="50" xfId="0" applyFont="1" applyFill="1" applyBorder="1" applyAlignment="1">
      <alignment horizontal="center" vertical="center" wrapText="1"/>
    </xf>
    <xf numFmtId="0" fontId="21" fillId="12" borderId="50" xfId="0" applyFont="1" applyFill="1" applyBorder="1" applyAlignment="1">
      <alignment horizontal="center" vertical="center" wrapText="1"/>
    </xf>
    <xf numFmtId="0" fontId="50" fillId="12" borderId="38" xfId="0" applyFont="1" applyFill="1" applyBorder="1" applyAlignment="1">
      <alignment horizontal="center" vertical="center" wrapText="1"/>
    </xf>
    <xf numFmtId="0" fontId="42" fillId="0" borderId="52" xfId="0" applyFont="1" applyFill="1" applyBorder="1" applyAlignment="1">
      <alignment horizontal="left" vertical="center"/>
    </xf>
    <xf numFmtId="0" fontId="42" fillId="0" borderId="53" xfId="0" applyFont="1" applyFill="1" applyBorder="1" applyAlignment="1">
      <alignment horizontal="left" vertical="center"/>
    </xf>
    <xf numFmtId="0" fontId="26" fillId="12" borderId="50" xfId="0" applyFont="1" applyFill="1" applyBorder="1" applyAlignment="1">
      <alignment horizontal="center" vertical="center"/>
    </xf>
    <xf numFmtId="0" fontId="21" fillId="13" borderId="50" xfId="0" applyFont="1" applyFill="1" applyBorder="1" applyAlignment="1">
      <alignment horizontal="center" vertical="center" wrapText="1"/>
    </xf>
    <xf numFmtId="0" fontId="21" fillId="15" borderId="50" xfId="0" applyFont="1" applyFill="1" applyBorder="1" applyAlignment="1">
      <alignment horizontal="center" vertical="center" wrapText="1"/>
    </xf>
    <xf numFmtId="0" fontId="21" fillId="15" borderId="10" xfId="0" applyFont="1" applyFill="1" applyBorder="1" applyAlignment="1">
      <alignment horizontal="center" vertical="center" wrapText="1"/>
    </xf>
    <xf numFmtId="0" fontId="21" fillId="23" borderId="50" xfId="0" applyFont="1" applyFill="1" applyBorder="1" applyAlignment="1">
      <alignment horizontal="center" vertical="center" wrapText="1"/>
    </xf>
    <xf numFmtId="0" fontId="44" fillId="12" borderId="27" xfId="2823" applyFont="1" applyFill="1" applyBorder="1" applyAlignment="1">
      <alignment horizontal="center" vertical="center" wrapText="1"/>
    </xf>
    <xf numFmtId="0" fontId="43" fillId="0" borderId="1" xfId="0" applyFont="1" applyFill="1" applyBorder="1" applyAlignment="1" applyProtection="1">
      <alignment horizontal="center" vertical="center" wrapText="1"/>
      <protection locked="0"/>
    </xf>
    <xf numFmtId="10" fontId="35" fillId="0" borderId="1" xfId="0" applyNumberFormat="1" applyFont="1" applyFill="1" applyBorder="1" applyAlignment="1" applyProtection="1">
      <alignment horizontal="center" vertical="center" wrapText="1"/>
      <protection locked="0"/>
    </xf>
    <xf numFmtId="0" fontId="33" fillId="0" borderId="1" xfId="2823" applyFont="1" applyFill="1" applyBorder="1" applyAlignment="1">
      <alignment horizontal="center" vertical="center" wrapText="1"/>
    </xf>
    <xf numFmtId="9" fontId="51" fillId="0" borderId="1" xfId="0" applyNumberFormat="1" applyFont="1" applyFill="1" applyBorder="1" applyAlignment="1" applyProtection="1">
      <alignment horizontal="center" vertical="center" wrapText="1"/>
      <protection locked="0"/>
    </xf>
    <xf numFmtId="10" fontId="35" fillId="0" borderId="18" xfId="0" applyNumberFormat="1" applyFont="1" applyFill="1" applyBorder="1" applyAlignment="1" applyProtection="1">
      <alignment horizontal="center" vertical="center" wrapText="1"/>
      <protection locked="0"/>
    </xf>
    <xf numFmtId="0" fontId="33" fillId="0" borderId="18" xfId="2823" applyFont="1" applyFill="1" applyBorder="1" applyAlignment="1">
      <alignment horizontal="justify" vertical="top" wrapText="1"/>
    </xf>
    <xf numFmtId="0" fontId="33" fillId="0" borderId="1" xfId="2823" applyFont="1" applyFill="1" applyBorder="1" applyAlignment="1">
      <alignment horizontal="justify" vertical="top" wrapText="1"/>
    </xf>
    <xf numFmtId="0" fontId="44" fillId="12" borderId="4" xfId="2823" applyFont="1" applyFill="1" applyBorder="1" applyAlignment="1">
      <alignment horizontal="center" vertical="center" wrapText="1"/>
    </xf>
    <xf numFmtId="0" fontId="44" fillId="12" borderId="5" xfId="2823" applyFont="1" applyFill="1" applyBorder="1" applyAlignment="1">
      <alignment horizontal="center" vertical="center" wrapText="1"/>
    </xf>
    <xf numFmtId="0" fontId="43" fillId="12" borderId="18" xfId="2823" applyFont="1" applyFill="1" applyBorder="1" applyAlignment="1">
      <alignment horizontal="center" vertical="center" wrapText="1"/>
    </xf>
    <xf numFmtId="0" fontId="44" fillId="15" borderId="18" xfId="2823" applyFont="1" applyFill="1" applyBorder="1" applyAlignment="1">
      <alignment horizontal="center" vertical="center" wrapText="1"/>
    </xf>
    <xf numFmtId="0" fontId="44" fillId="12" borderId="18" xfId="2823" applyFont="1" applyFill="1" applyBorder="1" applyAlignment="1">
      <alignment horizontal="center" vertical="center" wrapText="1"/>
    </xf>
    <xf numFmtId="0" fontId="44" fillId="12" borderId="6" xfId="2823" applyFont="1" applyFill="1" applyBorder="1" applyAlignment="1">
      <alignment horizontal="center" vertical="center" wrapText="1"/>
    </xf>
    <xf numFmtId="0" fontId="33" fillId="0" borderId="17" xfId="2823" applyFont="1" applyFill="1" applyBorder="1" applyAlignment="1">
      <alignment horizontal="center" vertical="center" wrapText="1"/>
    </xf>
    <xf numFmtId="0" fontId="33" fillId="0" borderId="18" xfId="2823" applyFont="1" applyFill="1" applyBorder="1" applyAlignment="1">
      <alignment horizontal="justify" vertical="center" wrapText="1"/>
    </xf>
    <xf numFmtId="0" fontId="0" fillId="0" borderId="18" xfId="0" applyFill="1" applyBorder="1"/>
    <xf numFmtId="0" fontId="43" fillId="0" borderId="18" xfId="0" applyFont="1" applyFill="1" applyBorder="1" applyAlignment="1" applyProtection="1">
      <alignment horizontal="center" vertical="center" wrapText="1"/>
      <protection locked="0"/>
    </xf>
    <xf numFmtId="9" fontId="51" fillId="0" borderId="18" xfId="0" applyNumberFormat="1" applyFont="1" applyFill="1" applyBorder="1" applyAlignment="1" applyProtection="1">
      <alignment horizontal="center" vertical="center" wrapText="1"/>
      <protection locked="0"/>
    </xf>
    <xf numFmtId="0" fontId="33" fillId="0" borderId="1" xfId="2823" applyFont="1" applyFill="1" applyBorder="1" applyAlignment="1">
      <alignment horizontal="justify" vertical="center" wrapText="1"/>
    </xf>
    <xf numFmtId="0" fontId="52" fillId="12" borderId="46" xfId="0" applyFont="1" applyFill="1" applyBorder="1" applyAlignment="1">
      <alignment horizontal="center" vertical="center" wrapText="1"/>
    </xf>
    <xf numFmtId="0" fontId="53" fillId="12" borderId="36" xfId="0" applyFont="1" applyFill="1" applyBorder="1" applyAlignment="1">
      <alignment horizontal="left" vertical="center" wrapText="1"/>
    </xf>
    <xf numFmtId="0" fontId="42" fillId="9" borderId="27" xfId="0" applyFont="1" applyFill="1" applyBorder="1" applyAlignment="1">
      <alignment horizontal="left" vertical="center" wrapText="1"/>
    </xf>
    <xf numFmtId="0" fontId="21" fillId="9" borderId="50" xfId="0" applyFont="1" applyFill="1" applyBorder="1" applyAlignment="1">
      <alignment horizontal="left" vertical="center" wrapText="1"/>
    </xf>
    <xf numFmtId="0" fontId="21" fillId="12" borderId="38" xfId="0" applyFont="1" applyFill="1" applyBorder="1" applyAlignment="1">
      <alignment horizontal="left" vertical="center" wrapText="1"/>
    </xf>
    <xf numFmtId="0" fontId="63" fillId="0" borderId="85" xfId="0" applyFont="1" applyFill="1" applyBorder="1" applyAlignment="1">
      <alignment vertical="center" wrapText="1"/>
    </xf>
    <xf numFmtId="0" fontId="67" fillId="0" borderId="91" xfId="0" applyFont="1" applyFill="1" applyBorder="1"/>
    <xf numFmtId="0" fontId="67" fillId="0" borderId="96" xfId="0" applyFont="1" applyFill="1" applyBorder="1"/>
    <xf numFmtId="0" fontId="72" fillId="24" borderId="118" xfId="0" applyFont="1" applyFill="1" applyBorder="1" applyAlignment="1">
      <alignment horizontal="center" vertical="center" wrapText="1"/>
    </xf>
    <xf numFmtId="0" fontId="72" fillId="24" borderId="57" xfId="0" applyFont="1" applyFill="1" applyBorder="1" applyAlignment="1">
      <alignment horizontal="center" vertical="center" wrapText="1"/>
    </xf>
    <xf numFmtId="0" fontId="72" fillId="24" borderId="81" xfId="0" applyFont="1" applyFill="1" applyBorder="1" applyAlignment="1">
      <alignment horizontal="center" vertical="center" wrapText="1"/>
    </xf>
    <xf numFmtId="0" fontId="72" fillId="24" borderId="82" xfId="0" applyFont="1" applyFill="1" applyBorder="1" applyAlignment="1">
      <alignment horizontal="center" vertical="center" wrapText="1"/>
    </xf>
    <xf numFmtId="0" fontId="63" fillId="0" borderId="85" xfId="0" applyFont="1" applyFill="1" applyBorder="1" applyAlignment="1">
      <alignment horizontal="center" vertical="center" wrapText="1"/>
    </xf>
    <xf numFmtId="0" fontId="67" fillId="0" borderId="91" xfId="0" applyFont="1" applyFill="1" applyBorder="1" applyAlignment="1">
      <alignment horizontal="center"/>
    </xf>
    <xf numFmtId="0" fontId="67" fillId="0" borderId="96" xfId="0" applyFont="1" applyFill="1" applyBorder="1" applyAlignment="1">
      <alignment horizontal="center"/>
    </xf>
    <xf numFmtId="0" fontId="63" fillId="0" borderId="109" xfId="0" applyFont="1" applyFill="1" applyBorder="1" applyAlignment="1">
      <alignment horizontal="center" vertical="center" wrapText="1"/>
    </xf>
    <xf numFmtId="0" fontId="63" fillId="0" borderId="110" xfId="0" applyFont="1" applyFill="1" applyBorder="1" applyAlignment="1">
      <alignment horizontal="center" vertical="center" wrapText="1"/>
    </xf>
    <xf numFmtId="0" fontId="63" fillId="0" borderId="111" xfId="0" applyFont="1" applyFill="1" applyBorder="1" applyAlignment="1">
      <alignment horizontal="center" vertical="center" wrapText="1"/>
    </xf>
    <xf numFmtId="0" fontId="63" fillId="0" borderId="160" xfId="0" applyFont="1" applyFill="1" applyBorder="1" applyAlignment="1">
      <alignment horizontal="center" vertical="center" wrapText="1"/>
    </xf>
    <xf numFmtId="0" fontId="63" fillId="0" borderId="161" xfId="0" applyFont="1" applyFill="1" applyBorder="1" applyAlignment="1">
      <alignment horizontal="center" vertical="center" wrapText="1"/>
    </xf>
    <xf numFmtId="0" fontId="63" fillId="0" borderId="163" xfId="0" applyFont="1" applyFill="1" applyBorder="1" applyAlignment="1">
      <alignment horizontal="center" vertical="center" wrapText="1"/>
    </xf>
    <xf numFmtId="0" fontId="63" fillId="0" borderId="162" xfId="0" applyFont="1" applyFill="1" applyBorder="1" applyAlignment="1">
      <alignment horizontal="center" vertical="center" wrapText="1"/>
    </xf>
    <xf numFmtId="0" fontId="63" fillId="0" borderId="91" xfId="0" applyFont="1" applyFill="1" applyBorder="1" applyAlignment="1">
      <alignment horizontal="center" vertical="center" wrapText="1"/>
    </xf>
    <xf numFmtId="0" fontId="63" fillId="0" borderId="117" xfId="0" applyFont="1" applyFill="1" applyBorder="1" applyAlignment="1">
      <alignment horizontal="center" vertical="center" wrapText="1"/>
    </xf>
    <xf numFmtId="0" fontId="63" fillId="0" borderId="96" xfId="0" applyFont="1" applyFill="1" applyBorder="1" applyAlignment="1">
      <alignment horizontal="center" vertical="center" wrapText="1"/>
    </xf>
    <xf numFmtId="0" fontId="63" fillId="0" borderId="91" xfId="0" applyFont="1" applyFill="1" applyBorder="1" applyAlignment="1">
      <alignment vertical="center" wrapText="1"/>
    </xf>
    <xf numFmtId="0" fontId="63" fillId="0" borderId="96" xfId="0" applyFont="1" applyFill="1" applyBorder="1" applyAlignment="1">
      <alignment vertical="center" wrapText="1"/>
    </xf>
    <xf numFmtId="0" fontId="2" fillId="24" borderId="67" xfId="2831" applyFont="1" applyFill="1" applyBorder="1" applyAlignment="1">
      <alignment horizontal="left" vertical="center" wrapText="1"/>
    </xf>
    <xf numFmtId="0" fontId="2" fillId="24" borderId="68" xfId="2831" applyFont="1" applyFill="1" applyBorder="1" applyAlignment="1">
      <alignment horizontal="left" vertical="center" wrapText="1"/>
    </xf>
    <xf numFmtId="0" fontId="2" fillId="24" borderId="69" xfId="2831" applyFont="1" applyFill="1" applyBorder="1" applyAlignment="1">
      <alignment horizontal="left" vertical="center" wrapText="1"/>
    </xf>
    <xf numFmtId="0" fontId="57" fillId="25" borderId="64" xfId="0" applyFont="1" applyFill="1" applyBorder="1" applyAlignment="1">
      <alignment horizontal="left" vertical="center" wrapText="1"/>
    </xf>
    <xf numFmtId="0" fontId="57" fillId="25" borderId="65" xfId="0" applyFont="1" applyFill="1" applyBorder="1" applyAlignment="1">
      <alignment horizontal="left" vertical="center" wrapText="1"/>
    </xf>
    <xf numFmtId="0" fontId="57" fillId="25" borderId="66" xfId="0" applyFont="1" applyFill="1" applyBorder="1" applyAlignment="1">
      <alignment horizontal="left" vertical="center" wrapText="1"/>
    </xf>
    <xf numFmtId="0" fontId="2" fillId="0" borderId="61" xfId="2831" applyFont="1" applyBorder="1" applyAlignment="1">
      <alignment horizontal="center" vertical="center" wrapText="1"/>
    </xf>
    <xf numFmtId="0" fontId="2" fillId="0" borderId="62" xfId="2831" applyFont="1" applyBorder="1" applyAlignment="1">
      <alignment horizontal="center" vertical="center" wrapText="1"/>
    </xf>
    <xf numFmtId="0" fontId="2" fillId="0" borderId="63" xfId="2831" applyFont="1" applyBorder="1" applyAlignment="1">
      <alignment horizontal="center" vertical="center" wrapText="1"/>
    </xf>
    <xf numFmtId="0" fontId="59" fillId="33" borderId="61" xfId="0" applyFont="1" applyFill="1" applyBorder="1" applyAlignment="1">
      <alignment horizontal="center" vertical="center" wrapText="1"/>
    </xf>
    <xf numFmtId="0" fontId="59" fillId="33" borderId="62" xfId="0" applyFont="1" applyFill="1" applyBorder="1" applyAlignment="1">
      <alignment horizontal="center" vertical="center" wrapText="1"/>
    </xf>
    <xf numFmtId="0" fontId="59" fillId="33" borderId="63" xfId="0" applyFont="1" applyFill="1" applyBorder="1" applyAlignment="1">
      <alignment horizontal="center" vertical="center" wrapText="1"/>
    </xf>
    <xf numFmtId="0" fontId="59" fillId="33" borderId="70" xfId="0" applyFont="1" applyFill="1" applyBorder="1" applyAlignment="1">
      <alignment horizontal="center" vertical="center" wrapText="1"/>
    </xf>
    <xf numFmtId="0" fontId="59" fillId="33" borderId="71" xfId="0" applyFont="1" applyFill="1" applyBorder="1" applyAlignment="1">
      <alignment horizontal="center" vertical="center" wrapText="1"/>
    </xf>
    <xf numFmtId="0" fontId="59" fillId="33" borderId="72" xfId="0" applyFont="1" applyFill="1" applyBorder="1" applyAlignment="1">
      <alignment horizontal="center" vertical="center" wrapText="1"/>
    </xf>
    <xf numFmtId="0" fontId="59" fillId="33" borderId="73" xfId="0" applyFont="1" applyFill="1" applyBorder="1" applyAlignment="1">
      <alignment horizontal="center" vertical="center" wrapText="1"/>
    </xf>
    <xf numFmtId="0" fontId="59" fillId="33" borderId="74" xfId="0" applyFont="1" applyFill="1" applyBorder="1" applyAlignment="1">
      <alignment horizontal="center" vertical="center" wrapText="1"/>
    </xf>
    <xf numFmtId="0" fontId="59" fillId="33" borderId="75" xfId="0" applyFont="1" applyFill="1" applyBorder="1" applyAlignment="1">
      <alignment horizontal="center" vertical="center" wrapText="1"/>
    </xf>
    <xf numFmtId="0" fontId="59" fillId="33" borderId="84" xfId="0" applyFont="1" applyFill="1" applyBorder="1" applyAlignment="1">
      <alignment horizontal="center" vertical="center" wrapText="1"/>
    </xf>
    <xf numFmtId="0" fontId="0" fillId="0" borderId="55" xfId="0" applyBorder="1" applyAlignment="1">
      <alignment horizontal="center"/>
    </xf>
    <xf numFmtId="0" fontId="0" fillId="0" borderId="56" xfId="0" applyBorder="1" applyAlignment="1">
      <alignment horizontal="center"/>
    </xf>
    <xf numFmtId="0" fontId="0" fillId="0" borderId="58" xfId="0" applyBorder="1" applyAlignment="1">
      <alignment horizontal="center"/>
    </xf>
    <xf numFmtId="0" fontId="0" fillId="0" borderId="0" xfId="0" applyAlignment="1">
      <alignment horizontal="center"/>
    </xf>
    <xf numFmtId="0" fontId="55" fillId="24" borderId="57" xfId="0" applyFont="1" applyFill="1" applyBorder="1" applyAlignment="1">
      <alignment horizontal="center" vertical="center"/>
    </xf>
    <xf numFmtId="0" fontId="56" fillId="24" borderId="59" xfId="0" applyFont="1" applyFill="1" applyBorder="1" applyAlignment="1">
      <alignment horizontal="center" vertical="center" wrapText="1"/>
    </xf>
    <xf numFmtId="0" fontId="57" fillId="25" borderId="55" xfId="0" applyFont="1" applyFill="1" applyBorder="1" applyAlignment="1">
      <alignment horizontal="left" vertical="center" wrapText="1"/>
    </xf>
    <xf numFmtId="0" fontId="57" fillId="25" borderId="56" xfId="0" applyFont="1" applyFill="1" applyBorder="1" applyAlignment="1">
      <alignment horizontal="left" vertical="center" wrapText="1"/>
    </xf>
    <xf numFmtId="0" fontId="57" fillId="25" borderId="60" xfId="0" applyFont="1" applyFill="1" applyBorder="1" applyAlignment="1">
      <alignment horizontal="left" vertical="center" wrapText="1"/>
    </xf>
    <xf numFmtId="0" fontId="57" fillId="25" borderId="55" xfId="0" applyFont="1" applyFill="1" applyBorder="1" applyAlignment="1">
      <alignment horizontal="left" vertical="center"/>
    </xf>
    <xf numFmtId="0" fontId="57" fillId="25" borderId="56" xfId="0" applyFont="1" applyFill="1" applyBorder="1" applyAlignment="1">
      <alignment horizontal="left" vertical="center"/>
    </xf>
    <xf numFmtId="0" fontId="57" fillId="25" borderId="60" xfId="0" applyFont="1" applyFill="1" applyBorder="1" applyAlignment="1">
      <alignment horizontal="left" vertical="center"/>
    </xf>
    <xf numFmtId="0" fontId="58" fillId="24" borderId="61" xfId="0" applyFont="1" applyFill="1" applyBorder="1" applyAlignment="1">
      <alignment horizontal="left" vertical="center"/>
    </xf>
    <xf numFmtId="0" fontId="58" fillId="24" borderId="62" xfId="0" applyFont="1" applyFill="1" applyBorder="1" applyAlignment="1">
      <alignment horizontal="left" vertical="center"/>
    </xf>
    <xf numFmtId="0" fontId="58" fillId="24" borderId="63" xfId="0" applyFont="1" applyFill="1" applyBorder="1" applyAlignment="1">
      <alignment horizontal="left" vertical="center"/>
    </xf>
    <xf numFmtId="0" fontId="58" fillId="25" borderId="64" xfId="0" applyFont="1" applyFill="1" applyBorder="1" applyAlignment="1">
      <alignment horizontal="left" vertical="center"/>
    </xf>
    <xf numFmtId="0" fontId="58" fillId="25" borderId="65" xfId="0" applyFont="1" applyFill="1" applyBorder="1" applyAlignment="1">
      <alignment horizontal="left" vertical="center"/>
    </xf>
    <xf numFmtId="0" fontId="58" fillId="25" borderId="66" xfId="0" applyFont="1" applyFill="1" applyBorder="1" applyAlignment="1">
      <alignment horizontal="left" vertical="center"/>
    </xf>
    <xf numFmtId="0" fontId="58" fillId="24" borderId="61" xfId="0" applyFont="1" applyFill="1" applyBorder="1" applyAlignment="1">
      <alignment horizontal="left" vertical="center" wrapText="1"/>
    </xf>
    <xf numFmtId="0" fontId="58" fillId="24" borderId="62" xfId="0" applyFont="1" applyFill="1" applyBorder="1" applyAlignment="1">
      <alignment horizontal="left" vertical="center" wrapText="1"/>
    </xf>
    <xf numFmtId="0" fontId="58" fillId="24" borderId="63" xfId="0" applyFont="1" applyFill="1" applyBorder="1" applyAlignment="1">
      <alignment horizontal="left" vertical="center" wrapText="1"/>
    </xf>
    <xf numFmtId="0" fontId="58" fillId="25" borderId="64" xfId="0" applyFont="1" applyFill="1" applyBorder="1" applyAlignment="1">
      <alignment horizontal="left" vertical="center" wrapText="1"/>
    </xf>
    <xf numFmtId="0" fontId="58" fillId="25" borderId="65" xfId="0" applyFont="1" applyFill="1" applyBorder="1" applyAlignment="1">
      <alignment horizontal="left" vertical="center" wrapText="1"/>
    </xf>
    <xf numFmtId="0" fontId="58" fillId="25" borderId="66" xfId="0" applyFont="1" applyFill="1" applyBorder="1" applyAlignment="1">
      <alignment horizontal="left" vertical="center" wrapText="1"/>
    </xf>
    <xf numFmtId="0" fontId="81" fillId="27" borderId="121" xfId="0" applyFont="1" applyFill="1" applyBorder="1" applyAlignment="1">
      <alignment horizontal="left" vertical="center"/>
    </xf>
    <xf numFmtId="0" fontId="0" fillId="0" borderId="121" xfId="0" applyFill="1" applyBorder="1" applyAlignment="1">
      <alignment horizontal="center" vertical="center"/>
    </xf>
    <xf numFmtId="0" fontId="5" fillId="28" borderId="122" xfId="0" applyFont="1" applyFill="1" applyBorder="1" applyAlignment="1">
      <alignment horizontal="center" vertical="center"/>
    </xf>
    <xf numFmtId="0" fontId="83" fillId="0" borderId="125" xfId="0" applyFont="1" applyFill="1" applyBorder="1" applyAlignment="1">
      <alignment horizontal="center" vertical="center"/>
    </xf>
    <xf numFmtId="0" fontId="83" fillId="0" borderId="128" xfId="0" applyFont="1" applyFill="1" applyBorder="1" applyAlignment="1">
      <alignment horizontal="center" vertical="center"/>
    </xf>
    <xf numFmtId="0" fontId="5" fillId="28" borderId="122" xfId="0" applyFont="1" applyFill="1" applyBorder="1" applyAlignment="1">
      <alignment horizontal="center"/>
    </xf>
    <xf numFmtId="0" fontId="83" fillId="0" borderId="125" xfId="0" applyFont="1" applyFill="1" applyBorder="1" applyAlignment="1">
      <alignment horizontal="center" vertical="center" wrapText="1"/>
    </xf>
    <xf numFmtId="0" fontId="0" fillId="0" borderId="132" xfId="0" applyFill="1" applyBorder="1" applyAlignment="1">
      <alignment horizontal="center" vertical="center" wrapText="1"/>
    </xf>
    <xf numFmtId="0" fontId="83" fillId="0" borderId="132" xfId="0" applyFont="1" applyFill="1" applyBorder="1" applyAlignment="1">
      <alignment horizontal="center" vertical="center" wrapText="1"/>
    </xf>
    <xf numFmtId="0" fontId="0" fillId="0" borderId="121" xfId="0" applyFill="1" applyBorder="1"/>
    <xf numFmtId="0" fontId="80" fillId="27" borderId="122" xfId="0" applyFont="1" applyFill="1" applyBorder="1" applyAlignment="1">
      <alignment horizontal="center" vertical="center"/>
    </xf>
    <xf numFmtId="0" fontId="2" fillId="27" borderId="123" xfId="0" applyFont="1" applyFill="1" applyBorder="1" applyAlignment="1">
      <alignment horizontal="center" vertical="center" wrapText="1"/>
    </xf>
    <xf numFmtId="0" fontId="1" fillId="0" borderId="124" xfId="0" applyFont="1" applyFill="1" applyBorder="1" applyAlignment="1">
      <alignment horizontal="center"/>
    </xf>
    <xf numFmtId="0" fontId="2" fillId="0" borderId="121" xfId="0" applyFont="1" applyFill="1" applyBorder="1" applyAlignment="1">
      <alignment horizontal="center"/>
    </xf>
    <xf numFmtId="0" fontId="0" fillId="0" borderId="126" xfId="0" applyFill="1" applyBorder="1" applyAlignment="1">
      <alignment horizontal="center" vertical="center" wrapText="1"/>
    </xf>
    <xf numFmtId="0" fontId="83" fillId="0" borderId="126"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26" fillId="13" borderId="46" xfId="0" applyFont="1" applyFill="1" applyBorder="1" applyAlignment="1">
      <alignment horizontal="center"/>
    </xf>
    <xf numFmtId="0" fontId="31" fillId="17" borderId="22" xfId="0" applyFont="1" applyFill="1" applyBorder="1" applyAlignment="1">
      <alignment horizontal="center" vertical="center" wrapText="1"/>
    </xf>
    <xf numFmtId="0" fontId="0" fillId="17" borderId="28" xfId="0" applyFill="1" applyBorder="1"/>
    <xf numFmtId="0" fontId="0" fillId="0" borderId="28" xfId="0" applyFill="1" applyBorder="1" applyAlignment="1">
      <alignment horizontal="center" vertical="center" wrapText="1"/>
    </xf>
    <xf numFmtId="0" fontId="0" fillId="0" borderId="28" xfId="0" applyFill="1" applyBorder="1"/>
    <xf numFmtId="0" fontId="0" fillId="17" borderId="28" xfId="0" applyFill="1" applyBorder="1" applyAlignment="1">
      <alignment horizontal="center" vertical="center" wrapText="1"/>
    </xf>
    <xf numFmtId="0" fontId="18" fillId="0" borderId="28" xfId="0" applyFont="1" applyFill="1" applyBorder="1" applyAlignment="1">
      <alignment horizontal="center" vertical="center"/>
    </xf>
    <xf numFmtId="0" fontId="26" fillId="13" borderId="10" xfId="0" applyFont="1" applyFill="1" applyBorder="1" applyAlignment="1">
      <alignment horizontal="center"/>
    </xf>
    <xf numFmtId="0" fontId="0" fillId="17" borderId="5" xfId="0" applyFill="1" applyBorder="1"/>
    <xf numFmtId="0" fontId="0" fillId="0" borderId="5" xfId="0" applyFill="1" applyBorder="1" applyAlignment="1">
      <alignment horizontal="center" vertical="center" wrapText="1"/>
    </xf>
    <xf numFmtId="0" fontId="0" fillId="0" borderId="5" xfId="0" applyFill="1" applyBorder="1"/>
    <xf numFmtId="0" fontId="0" fillId="17" borderId="5" xfId="0" applyFill="1" applyBorder="1" applyAlignment="1">
      <alignment horizontal="center" vertical="center" wrapText="1"/>
    </xf>
    <xf numFmtId="0" fontId="18" fillId="0" borderId="5" xfId="0" applyFont="1" applyFill="1" applyBorder="1" applyAlignment="1">
      <alignment horizontal="center" vertical="center"/>
    </xf>
    <xf numFmtId="0" fontId="18" fillId="0" borderId="5" xfId="0" applyFont="1" applyFill="1" applyBorder="1" applyAlignment="1">
      <alignment horizontal="center" vertical="top" wrapText="1"/>
    </xf>
    <xf numFmtId="0" fontId="26" fillId="13" borderId="50" xfId="0" applyFont="1" applyFill="1" applyBorder="1" applyAlignment="1">
      <alignment horizontal="center"/>
    </xf>
    <xf numFmtId="49" fontId="0" fillId="0" borderId="5" xfId="0" applyNumberFormat="1" applyFill="1" applyBorder="1" applyAlignment="1">
      <alignment horizontal="center" vertical="center" wrapText="1"/>
    </xf>
    <xf numFmtId="0" fontId="18" fillId="0" borderId="5" xfId="0" applyFont="1" applyFill="1" applyBorder="1" applyAlignment="1">
      <alignment horizontal="center" wrapText="1"/>
    </xf>
    <xf numFmtId="0" fontId="26" fillId="13" borderId="46" xfId="0" applyFont="1" applyFill="1" applyBorder="1" applyAlignment="1">
      <alignment horizontal="center" vertical="center"/>
    </xf>
    <xf numFmtId="0" fontId="0" fillId="0" borderId="28" xfId="0" applyFill="1" applyBorder="1" applyAlignment="1">
      <alignment horizontal="center" vertical="center"/>
    </xf>
    <xf numFmtId="0" fontId="0" fillId="0" borderId="40" xfId="0" applyFill="1" applyBorder="1" applyAlignment="1">
      <alignment horizontal="center" vertical="center" wrapText="1"/>
    </xf>
    <xf numFmtId="0" fontId="0" fillId="0" borderId="27" xfId="0" applyFill="1" applyBorder="1" applyAlignment="1">
      <alignment horizontal="center" vertical="center" wrapText="1"/>
    </xf>
    <xf numFmtId="0" fontId="26" fillId="13" borderId="10" xfId="0" applyFont="1" applyFill="1" applyBorder="1" applyAlignment="1">
      <alignment horizontal="center" vertical="center"/>
    </xf>
    <xf numFmtId="0" fontId="18" fillId="0" borderId="28" xfId="0" applyFont="1" applyFill="1" applyBorder="1" applyAlignment="1">
      <alignment horizontal="center" vertical="center" wrapText="1"/>
    </xf>
    <xf numFmtId="0" fontId="0" fillId="22" borderId="50" xfId="0" applyFill="1" applyBorder="1" applyAlignment="1">
      <alignment horizontal="center" vertical="center"/>
    </xf>
    <xf numFmtId="166" fontId="10" fillId="0" borderId="5" xfId="228" applyNumberFormat="1" applyFill="1" applyBorder="1" applyAlignment="1">
      <alignment horizontal="center" vertical="center"/>
    </xf>
    <xf numFmtId="0" fontId="0" fillId="0" borderId="6" xfId="0" applyFill="1" applyBorder="1"/>
    <xf numFmtId="0" fontId="18" fillId="0" borderId="4" xfId="0" applyFont="1" applyFill="1" applyBorder="1" applyAlignment="1">
      <alignment horizontal="center" vertical="center"/>
    </xf>
    <xf numFmtId="168" fontId="0" fillId="0" borderId="4" xfId="0" applyNumberFormat="1" applyFill="1" applyBorder="1" applyAlignment="1">
      <alignment horizontal="center" vertical="center"/>
    </xf>
    <xf numFmtId="168" fontId="0" fillId="0" borderId="5" xfId="0" applyNumberFormat="1" applyFill="1" applyBorder="1" applyAlignment="1">
      <alignment horizontal="center" vertical="center"/>
    </xf>
    <xf numFmtId="168" fontId="0" fillId="0" borderId="6" xfId="0" applyNumberFormat="1" applyFill="1" applyBorder="1" applyAlignment="1">
      <alignment horizontal="center" vertical="center"/>
    </xf>
    <xf numFmtId="168" fontId="10" fillId="0" borderId="5" xfId="229" applyFill="1" applyBorder="1" applyAlignment="1">
      <alignment horizontal="center" vertical="center"/>
    </xf>
    <xf numFmtId="0" fontId="36" fillId="12" borderId="50" xfId="0" applyFont="1" applyFill="1" applyBorder="1" applyAlignment="1">
      <alignment horizontal="left" vertical="center"/>
    </xf>
    <xf numFmtId="0" fontId="31" fillId="0" borderId="50" xfId="0" applyFont="1" applyFill="1" applyBorder="1" applyAlignment="1">
      <alignment horizontal="left" vertical="center"/>
    </xf>
    <xf numFmtId="168" fontId="10" fillId="0" borderId="5" xfId="229" applyFill="1" applyBorder="1" applyAlignment="1">
      <alignment horizontal="center" vertical="center" wrapText="1"/>
    </xf>
    <xf numFmtId="0" fontId="54" fillId="12" borderId="46" xfId="0" applyFont="1" applyFill="1" applyBorder="1" applyAlignment="1">
      <alignment horizontal="center" vertical="center"/>
    </xf>
    <xf numFmtId="0" fontId="21" fillId="12" borderId="54" xfId="0" applyFont="1" applyFill="1" applyBorder="1" applyAlignment="1">
      <alignment horizontal="center" vertical="center" wrapText="1"/>
    </xf>
    <xf numFmtId="0" fontId="42" fillId="0" borderId="38" xfId="0" applyFont="1" applyFill="1" applyBorder="1" applyAlignment="1">
      <alignment horizontal="center"/>
    </xf>
    <xf numFmtId="0" fontId="21" fillId="0" borderId="50" xfId="0" applyFont="1" applyFill="1" applyBorder="1" applyAlignment="1">
      <alignment horizontal="center"/>
    </xf>
    <xf numFmtId="168" fontId="10" fillId="0" borderId="129" xfId="229" applyFill="1" applyBorder="1" applyAlignment="1">
      <alignment horizontal="center" vertical="center"/>
    </xf>
    <xf numFmtId="0" fontId="0" fillId="0" borderId="167" xfId="0" applyFill="1" applyBorder="1" applyAlignment="1">
      <alignment vertical="top" wrapText="1"/>
    </xf>
    <xf numFmtId="0" fontId="62" fillId="0" borderId="57" xfId="0" applyFont="1" applyFill="1" applyBorder="1" applyAlignment="1">
      <alignment horizontal="center" vertical="center" wrapText="1"/>
    </xf>
    <xf numFmtId="0" fontId="62" fillId="0" borderId="56"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57" xfId="0" applyFont="1" applyFill="1" applyBorder="1" applyAlignment="1">
      <alignment vertical="center" wrapText="1"/>
    </xf>
    <xf numFmtId="0" fontId="62" fillId="0" borderId="88" xfId="0" applyFont="1" applyFill="1" applyBorder="1" applyAlignment="1">
      <alignment horizontal="center" vertical="center" wrapText="1"/>
    </xf>
    <xf numFmtId="3" fontId="62" fillId="0" borderId="102" xfId="0" applyNumberFormat="1" applyFont="1" applyFill="1" applyBorder="1" applyAlignment="1">
      <alignment horizontal="center" vertical="center"/>
    </xf>
    <xf numFmtId="3" fontId="62" fillId="0" borderId="80" xfId="0" applyNumberFormat="1" applyFont="1" applyFill="1" applyBorder="1" applyAlignment="1">
      <alignment horizontal="center" vertical="center"/>
    </xf>
    <xf numFmtId="3" fontId="62" fillId="0" borderId="58" xfId="0" applyNumberFormat="1" applyFont="1" applyFill="1" applyBorder="1" applyAlignment="1">
      <alignment horizontal="center" vertical="center"/>
    </xf>
    <xf numFmtId="3" fontId="62" fillId="0" borderId="104" xfId="0" applyNumberFormat="1" applyFont="1" applyFill="1" applyBorder="1" applyAlignment="1">
      <alignment horizontal="center" vertical="center"/>
    </xf>
    <xf numFmtId="3" fontId="62" fillId="0" borderId="106" xfId="0" applyNumberFormat="1" applyFont="1" applyFill="1" applyBorder="1" applyAlignment="1">
      <alignment horizontal="center" vertical="center"/>
    </xf>
    <xf numFmtId="3" fontId="62" fillId="0" borderId="87" xfId="0" applyNumberFormat="1" applyFont="1" applyFill="1" applyBorder="1" applyAlignment="1">
      <alignment horizontal="center" vertical="center"/>
    </xf>
    <xf numFmtId="3" fontId="62" fillId="0" borderId="57" xfId="0" applyNumberFormat="1" applyFont="1" applyFill="1" applyBorder="1" applyAlignment="1">
      <alignment horizontal="center" vertical="center"/>
    </xf>
    <xf numFmtId="0" fontId="63" fillId="0" borderId="103" xfId="0" applyFont="1" applyFill="1" applyBorder="1" applyAlignment="1">
      <alignment vertical="center" wrapText="1"/>
    </xf>
    <xf numFmtId="0" fontId="67" fillId="0" borderId="105" xfId="0" applyFont="1" applyFill="1" applyBorder="1"/>
    <xf numFmtId="0" fontId="67" fillId="0" borderId="107" xfId="0" applyFont="1" applyFill="1" applyBorder="1"/>
    <xf numFmtId="0" fontId="62" fillId="0" borderId="112" xfId="0" applyFont="1" applyFill="1" applyBorder="1" applyAlignment="1">
      <alignment horizontal="left" vertical="center" wrapText="1"/>
    </xf>
    <xf numFmtId="0" fontId="62" fillId="0" borderId="114" xfId="0" applyFont="1" applyFill="1" applyBorder="1" applyAlignment="1">
      <alignment horizontal="left" vertical="center" wrapText="1"/>
    </xf>
    <xf numFmtId="0" fontId="62" fillId="0" borderId="115" xfId="0" applyFont="1" applyFill="1" applyBorder="1" applyAlignment="1">
      <alignment horizontal="left" vertical="center" wrapText="1"/>
    </xf>
    <xf numFmtId="3" fontId="62" fillId="0" borderId="118" xfId="0" applyNumberFormat="1" applyFont="1" applyFill="1" applyBorder="1" applyAlignment="1">
      <alignment horizontal="center" vertical="center"/>
    </xf>
    <xf numFmtId="165" fontId="62" fillId="0" borderId="89" xfId="0" applyNumberFormat="1" applyFont="1" applyFill="1" applyBorder="1" applyAlignment="1">
      <alignment horizontal="center" vertical="center" wrapText="1"/>
    </xf>
    <xf numFmtId="0" fontId="0" fillId="0" borderId="159" xfId="0" applyFill="1" applyBorder="1" applyAlignment="1">
      <alignment horizontal="center"/>
    </xf>
    <xf numFmtId="0" fontId="65" fillId="0" borderId="57" xfId="0" applyFont="1" applyFill="1" applyBorder="1" applyAlignment="1">
      <alignment horizontal="center" vertical="center" wrapText="1"/>
    </xf>
    <xf numFmtId="0" fontId="65" fillId="0" borderId="90" xfId="0" applyFont="1" applyFill="1" applyBorder="1" applyAlignment="1">
      <alignment horizontal="center" vertical="center" wrapText="1"/>
    </xf>
    <xf numFmtId="177" fontId="65" fillId="0" borderId="57" xfId="197" applyFont="1" applyFill="1" applyBorder="1" applyAlignment="1">
      <alignment horizontal="center" vertical="center" wrapText="1"/>
    </xf>
    <xf numFmtId="0" fontId="68" fillId="0" borderId="57" xfId="0" applyFont="1" applyFill="1" applyBorder="1" applyAlignment="1">
      <alignment horizontal="center"/>
    </xf>
    <xf numFmtId="0" fontId="65" fillId="0" borderId="95" xfId="0" applyFont="1" applyFill="1" applyBorder="1" applyAlignment="1">
      <alignment horizontal="center" vertical="center" wrapText="1"/>
    </xf>
    <xf numFmtId="177" fontId="68" fillId="0" borderId="57" xfId="197" applyFont="1" applyFill="1" applyBorder="1" applyAlignment="1">
      <alignment horizontal="center"/>
    </xf>
    <xf numFmtId="181" fontId="62" fillId="0" borderId="89" xfId="0" applyNumberFormat="1" applyFont="1" applyFill="1" applyBorder="1" applyAlignment="1">
      <alignment horizontal="center" vertical="center" wrapText="1"/>
    </xf>
    <xf numFmtId="3" fontId="62" fillId="0" borderId="159" xfId="0" applyNumberFormat="1" applyFont="1" applyFill="1" applyBorder="1" applyAlignment="1">
      <alignment horizontal="center" vertical="center"/>
    </xf>
    <xf numFmtId="3" fontId="69" fillId="0" borderId="159" xfId="0" applyNumberFormat="1" applyFont="1" applyFill="1" applyBorder="1" applyAlignment="1">
      <alignment horizontal="center" vertical="center"/>
    </xf>
    <xf numFmtId="0" fontId="65" fillId="0" borderId="59" xfId="0" applyFont="1" applyFill="1" applyBorder="1" applyAlignment="1">
      <alignment horizontal="center" vertical="center" wrapText="1"/>
    </xf>
    <xf numFmtId="0" fontId="65" fillId="0" borderId="89" xfId="0" applyFont="1" applyFill="1" applyBorder="1" applyAlignment="1">
      <alignment horizontal="center" vertical="center" wrapText="1"/>
    </xf>
    <xf numFmtId="4" fontId="62" fillId="0" borderId="87" xfId="0" applyNumberFormat="1" applyFont="1" applyFill="1" applyBorder="1" applyAlignment="1">
      <alignment horizontal="center" vertical="center"/>
    </xf>
    <xf numFmtId="0" fontId="68" fillId="0" borderId="57" xfId="0" applyFont="1" applyFill="1" applyBorder="1" applyAlignment="1">
      <alignment horizontal="center"/>
    </xf>
    <xf numFmtId="0" fontId="65" fillId="0" borderId="98" xfId="0" applyFont="1" applyFill="1" applyBorder="1" applyAlignment="1">
      <alignment horizontal="center" vertical="center" wrapText="1"/>
    </xf>
    <xf numFmtId="0" fontId="63" fillId="0" borderId="99" xfId="2843" applyFont="1" applyFill="1" applyBorder="1" applyAlignment="1">
      <alignment horizontal="center" vertical="center" wrapText="1"/>
    </xf>
    <xf numFmtId="0" fontId="71" fillId="0" borderId="85" xfId="2843" applyFont="1" applyFill="1" applyBorder="1" applyAlignment="1">
      <alignment horizontal="center" vertical="center" wrapText="1"/>
    </xf>
    <xf numFmtId="0" fontId="63" fillId="0" borderId="85" xfId="2843" applyFont="1" applyFill="1" applyBorder="1" applyAlignment="1">
      <alignment horizontal="center" vertical="center" wrapText="1"/>
    </xf>
    <xf numFmtId="0" fontId="67" fillId="0" borderId="100" xfId="2843" applyFont="1" applyFill="1" applyBorder="1"/>
    <xf numFmtId="0" fontId="67" fillId="0" borderId="91" xfId="2843" applyFont="1" applyFill="1" applyBorder="1"/>
    <xf numFmtId="0" fontId="67" fillId="0" borderId="101" xfId="2843" applyFont="1" applyFill="1" applyBorder="1"/>
    <xf numFmtId="0" fontId="67" fillId="0" borderId="96" xfId="2843" applyFont="1" applyFill="1" applyBorder="1"/>
    <xf numFmtId="0" fontId="63" fillId="0" borderId="103" xfId="0" applyFont="1" applyFill="1" applyBorder="1" applyAlignment="1">
      <alignment horizontal="center" vertical="center" wrapText="1"/>
    </xf>
    <xf numFmtId="0" fontId="62" fillId="0" borderId="59" xfId="0" applyFont="1" applyFill="1" applyBorder="1" applyAlignment="1">
      <alignment horizontal="center" vertical="center" wrapText="1"/>
    </xf>
    <xf numFmtId="0" fontId="67" fillId="0" borderId="105" xfId="0" applyFont="1" applyFill="1" applyBorder="1" applyAlignment="1">
      <alignment horizontal="center"/>
    </xf>
    <xf numFmtId="0" fontId="62" fillId="0" borderId="95" xfId="0" applyFont="1" applyFill="1" applyBorder="1" applyAlignment="1">
      <alignment horizontal="center" vertical="center" wrapText="1"/>
    </xf>
    <xf numFmtId="0" fontId="67" fillId="0" borderId="107" xfId="0" applyFont="1" applyFill="1" applyBorder="1" applyAlignment="1">
      <alignment horizontal="center"/>
    </xf>
    <xf numFmtId="0" fontId="62" fillId="0" borderId="89" xfId="0" applyFont="1" applyFill="1" applyBorder="1" applyAlignment="1">
      <alignment horizontal="center" vertical="center" wrapText="1"/>
    </xf>
    <xf numFmtId="0" fontId="65" fillId="0" borderId="57" xfId="0" applyFont="1" applyFill="1" applyBorder="1" applyAlignment="1">
      <alignment horizontal="center" vertical="top" wrapText="1"/>
    </xf>
    <xf numFmtId="0" fontId="68" fillId="0" borderId="57" xfId="0" applyFont="1" applyFill="1" applyBorder="1" applyAlignment="1">
      <alignment horizontal="center" vertical="top"/>
    </xf>
    <xf numFmtId="0" fontId="63" fillId="0" borderId="109" xfId="0" applyFont="1" applyFill="1" applyBorder="1" applyAlignment="1">
      <alignment horizontal="center" wrapText="1"/>
    </xf>
    <xf numFmtId="0" fontId="62" fillId="0" borderId="164" xfId="0" applyFont="1" applyFill="1" applyBorder="1" applyAlignment="1">
      <alignment horizontal="left" vertical="center" wrapText="1"/>
    </xf>
    <xf numFmtId="0" fontId="71" fillId="0" borderId="113" xfId="2843" applyFont="1" applyFill="1" applyBorder="1" applyAlignment="1">
      <alignment horizontal="center" vertical="center" wrapText="1"/>
    </xf>
    <xf numFmtId="0" fontId="63" fillId="0" borderId="110" xfId="0" applyFont="1" applyFill="1" applyBorder="1" applyAlignment="1">
      <alignment horizontal="center" wrapText="1"/>
    </xf>
    <xf numFmtId="0" fontId="62" fillId="0" borderId="165" xfId="0" applyFont="1" applyFill="1" applyBorder="1" applyAlignment="1">
      <alignment horizontal="left" vertical="center" wrapText="1"/>
    </xf>
    <xf numFmtId="0" fontId="71" fillId="0" borderId="91" xfId="2843" applyFont="1" applyFill="1" applyBorder="1" applyAlignment="1">
      <alignment horizontal="center" vertical="center" wrapText="1"/>
    </xf>
    <xf numFmtId="0" fontId="63" fillId="0" borderId="111" xfId="0" applyFont="1" applyFill="1" applyBorder="1" applyAlignment="1">
      <alignment horizontal="center" wrapText="1"/>
    </xf>
    <xf numFmtId="0" fontId="62" fillId="0" borderId="166" xfId="0" applyFont="1" applyFill="1" applyBorder="1" applyAlignment="1">
      <alignment horizontal="left" vertical="center" wrapText="1"/>
    </xf>
    <xf numFmtId="0" fontId="71" fillId="0" borderId="117" xfId="2843" applyFont="1" applyFill="1" applyBorder="1" applyAlignment="1">
      <alignment horizontal="center" vertical="center" wrapText="1"/>
    </xf>
    <xf numFmtId="4" fontId="59" fillId="0" borderId="57" xfId="0" applyNumberFormat="1" applyFont="1" applyFill="1" applyBorder="1" applyAlignment="1">
      <alignment horizontal="center" vertical="center"/>
    </xf>
    <xf numFmtId="3" fontId="59" fillId="0" borderId="57" xfId="0" applyNumberFormat="1" applyFont="1" applyFill="1" applyBorder="1" applyAlignment="1">
      <alignment horizontal="center" vertical="center"/>
    </xf>
    <xf numFmtId="181" fontId="59" fillId="0" borderId="57" xfId="0" applyNumberFormat="1" applyFont="1" applyFill="1" applyBorder="1" applyAlignment="1">
      <alignment horizontal="center" vertical="center"/>
    </xf>
    <xf numFmtId="39" fontId="69" fillId="0" borderId="94" xfId="0" applyNumberFormat="1" applyFont="1" applyFill="1" applyBorder="1" applyAlignment="1">
      <alignment horizontal="center" vertical="center" wrapText="1"/>
    </xf>
    <xf numFmtId="4" fontId="69" fillId="0" borderId="57" xfId="0" applyNumberFormat="1" applyFont="1" applyFill="1" applyBorder="1" applyAlignment="1">
      <alignment horizontal="center" vertical="center" wrapText="1"/>
    </xf>
    <xf numFmtId="3" fontId="69" fillId="0" borderId="94" xfId="0" applyNumberFormat="1" applyFont="1" applyFill="1" applyBorder="1" applyAlignment="1">
      <alignment horizontal="center" vertical="center" wrapText="1"/>
    </xf>
    <xf numFmtId="4" fontId="69" fillId="0" borderId="94" xfId="0" applyNumberFormat="1" applyFont="1" applyFill="1" applyBorder="1" applyAlignment="1">
      <alignment horizontal="center" vertical="center"/>
    </xf>
    <xf numFmtId="37" fontId="69" fillId="0" borderId="94" xfId="0" applyNumberFormat="1" applyFont="1" applyFill="1" applyBorder="1" applyAlignment="1">
      <alignment horizontal="center" vertical="center"/>
    </xf>
    <xf numFmtId="37" fontId="69" fillId="0" borderId="57" xfId="0" applyNumberFormat="1" applyFont="1" applyFill="1" applyBorder="1" applyAlignment="1">
      <alignment horizontal="center" vertical="center" wrapText="1"/>
    </xf>
    <xf numFmtId="3" fontId="69" fillId="0" borderId="93" xfId="0" applyNumberFormat="1" applyFont="1" applyFill="1" applyBorder="1" applyAlignment="1">
      <alignment horizontal="center" vertical="center" wrapText="1"/>
    </xf>
    <xf numFmtId="3" fontId="31" fillId="0" borderId="0" xfId="0" applyNumberFormat="1" applyFont="1" applyFill="1" applyAlignment="1">
      <alignment horizontal="center"/>
    </xf>
    <xf numFmtId="0" fontId="59" fillId="33" borderId="56" xfId="0" applyFont="1" applyFill="1" applyBorder="1" applyAlignment="1">
      <alignment horizontal="center" vertical="center" wrapText="1"/>
    </xf>
    <xf numFmtId="0" fontId="59" fillId="33" borderId="168" xfId="0" applyFont="1" applyFill="1" applyBorder="1" applyAlignment="1">
      <alignment vertical="center" wrapText="1"/>
    </xf>
    <xf numFmtId="3" fontId="62" fillId="0" borderId="159" xfId="0" applyNumberFormat="1" applyFont="1" applyFill="1" applyBorder="1" applyAlignment="1">
      <alignment horizontal="center" vertical="center"/>
    </xf>
    <xf numFmtId="0" fontId="33" fillId="0" borderId="1" xfId="2823" applyFont="1" applyFill="1" applyBorder="1" applyAlignment="1">
      <alignment horizontal="left" vertical="center" wrapText="1"/>
    </xf>
    <xf numFmtId="0" fontId="68" fillId="0" borderId="159" xfId="2823" applyFont="1" applyFill="1" applyBorder="1" applyAlignment="1">
      <alignment horizontal="justify" vertical="top" wrapText="1"/>
    </xf>
    <xf numFmtId="0" fontId="68" fillId="0" borderId="159" xfId="2823" applyFont="1" applyFill="1" applyBorder="1" applyAlignment="1">
      <alignment horizontal="justify" vertical="top"/>
    </xf>
    <xf numFmtId="0" fontId="33" fillId="0" borderId="25" xfId="2823" applyFont="1" applyFill="1" applyBorder="1" applyAlignment="1">
      <alignment horizontal="justify" vertical="top" wrapText="1"/>
    </xf>
    <xf numFmtId="0" fontId="33" fillId="0" borderId="31" xfId="2823" applyFont="1" applyFill="1" applyBorder="1" applyAlignment="1">
      <alignment horizontal="justify" vertical="top" wrapText="1"/>
    </xf>
    <xf numFmtId="166" fontId="22" fillId="0" borderId="18" xfId="228" applyNumberFormat="1" applyFont="1" applyFill="1" applyBorder="1" applyAlignment="1">
      <alignment horizontal="center" vertical="center"/>
    </xf>
    <xf numFmtId="166" fontId="22" fillId="0" borderId="31" xfId="228" applyNumberFormat="1" applyFont="1" applyFill="1" applyBorder="1" applyAlignment="1">
      <alignment horizontal="center" vertical="center"/>
    </xf>
    <xf numFmtId="3" fontId="22" fillId="0" borderId="31" xfId="228" applyNumberFormat="1" applyFont="1" applyFill="1" applyBorder="1" applyAlignment="1">
      <alignment horizontal="center" vertical="center"/>
    </xf>
    <xf numFmtId="166" fontId="23" fillId="0" borderId="31" xfId="228" applyNumberFormat="1" applyFont="1" applyFill="1" applyBorder="1" applyAlignment="1">
      <alignment horizontal="center" vertical="center"/>
    </xf>
    <xf numFmtId="169" fontId="22" fillId="0" borderId="31" xfId="228" applyNumberFormat="1" applyFont="1" applyFill="1" applyBorder="1" applyAlignment="1">
      <alignment horizontal="center" vertical="center"/>
    </xf>
    <xf numFmtId="4" fontId="22" fillId="0" borderId="31" xfId="229" applyNumberFormat="1" applyFont="1" applyFill="1" applyBorder="1" applyAlignment="1">
      <alignment horizontal="center" vertical="center" wrapText="1"/>
    </xf>
    <xf numFmtId="173" fontId="23" fillId="0" borderId="31" xfId="228" applyNumberFormat="1" applyFont="1" applyFill="1" applyBorder="1" applyAlignment="1">
      <alignment horizontal="center" vertical="center"/>
    </xf>
    <xf numFmtId="173" fontId="22" fillId="0" borderId="31" xfId="228" applyNumberFormat="1" applyFont="1" applyFill="1" applyBorder="1" applyAlignment="1">
      <alignment horizontal="center" vertical="center"/>
    </xf>
    <xf numFmtId="167" fontId="22" fillId="0" borderId="31" xfId="228" applyNumberFormat="1" applyFont="1" applyFill="1" applyBorder="1" applyAlignment="1">
      <alignment horizontal="center" vertical="center"/>
    </xf>
    <xf numFmtId="167" fontId="23" fillId="0" borderId="31" xfId="228" applyNumberFormat="1" applyFont="1" applyFill="1" applyBorder="1" applyAlignment="1">
      <alignment horizontal="center" vertical="center"/>
    </xf>
    <xf numFmtId="1" fontId="23" fillId="0" borderId="31" xfId="229" applyNumberFormat="1" applyFont="1" applyFill="1" applyBorder="1" applyAlignment="1">
      <alignment horizontal="center" vertical="center" wrapText="1"/>
    </xf>
    <xf numFmtId="10" fontId="36" fillId="30" borderId="142" xfId="2857" applyNumberFormat="1" applyFont="1" applyFill="1" applyBorder="1" applyAlignment="1">
      <alignment horizontal="center" vertical="center" wrapText="1"/>
    </xf>
    <xf numFmtId="0" fontId="0" fillId="0" borderId="0" xfId="0" applyFill="1" applyBorder="1"/>
    <xf numFmtId="10" fontId="36" fillId="20" borderId="142" xfId="2857" applyNumberFormat="1" applyFont="1" applyFill="1" applyBorder="1" applyAlignment="1">
      <alignment horizontal="center" vertical="center" wrapText="1"/>
    </xf>
    <xf numFmtId="0" fontId="73" fillId="0" borderId="71" xfId="0" applyFont="1" applyFill="1" applyBorder="1" applyAlignment="1">
      <alignment horizontal="center" vertical="center" wrapText="1"/>
    </xf>
    <xf numFmtId="0" fontId="73" fillId="0" borderId="171" xfId="0" applyFont="1" applyFill="1" applyBorder="1" applyAlignment="1">
      <alignment horizontal="center" vertical="center" wrapText="1"/>
    </xf>
    <xf numFmtId="0" fontId="73" fillId="0" borderId="172" xfId="0" applyFont="1" applyFill="1" applyBorder="1" applyAlignment="1">
      <alignment horizontal="center" vertical="center" wrapText="1"/>
    </xf>
    <xf numFmtId="0" fontId="23" fillId="12" borderId="12" xfId="0" applyFont="1" applyFill="1" applyBorder="1" applyAlignment="1">
      <alignment horizontal="center" vertical="center" wrapText="1"/>
    </xf>
    <xf numFmtId="0" fontId="23" fillId="12" borderId="8"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73" fillId="0" borderId="173" xfId="0" applyFont="1" applyFill="1" applyBorder="1" applyAlignment="1">
      <alignment horizontal="justify" vertical="top" wrapText="1"/>
    </xf>
    <xf numFmtId="0" fontId="73" fillId="0" borderId="147" xfId="0" applyFont="1" applyFill="1" applyBorder="1" applyAlignment="1">
      <alignment horizontal="center" vertical="center" wrapText="1"/>
    </xf>
    <xf numFmtId="0" fontId="73" fillId="0" borderId="148" xfId="0" applyFont="1" applyFill="1" applyBorder="1" applyAlignment="1">
      <alignment horizontal="center" vertical="center" wrapText="1"/>
    </xf>
    <xf numFmtId="0" fontId="73" fillId="0" borderId="149" xfId="0" applyFont="1" applyFill="1" applyBorder="1" applyAlignment="1">
      <alignment horizontal="justify" vertical="top" wrapText="1"/>
    </xf>
    <xf numFmtId="0" fontId="73" fillId="0" borderId="1" xfId="0" applyFont="1" applyFill="1" applyBorder="1" applyAlignment="1">
      <alignment horizontal="center" vertical="center" wrapText="1"/>
    </xf>
    <xf numFmtId="0" fontId="73" fillId="0" borderId="150" xfId="0" applyFont="1" applyFill="1" applyBorder="1" applyAlignment="1">
      <alignment horizontal="center" vertical="center" wrapText="1"/>
    </xf>
    <xf numFmtId="0" fontId="73" fillId="0" borderId="151" xfId="0" applyFont="1" applyFill="1" applyBorder="1" applyAlignment="1">
      <alignment horizontal="justify" vertical="top" wrapText="1"/>
    </xf>
    <xf numFmtId="0" fontId="73" fillId="0" borderId="155" xfId="0" applyFont="1" applyFill="1" applyBorder="1" applyAlignment="1">
      <alignment horizontal="center" vertical="center" wrapText="1"/>
    </xf>
    <xf numFmtId="0" fontId="73" fillId="0" borderId="156" xfId="0" applyFont="1" applyFill="1" applyBorder="1" applyAlignment="1">
      <alignment horizontal="center" vertical="center" wrapText="1"/>
    </xf>
    <xf numFmtId="0" fontId="73" fillId="0" borderId="70" xfId="0" applyFont="1" applyFill="1" applyBorder="1" applyAlignment="1">
      <alignment horizontal="justify" vertical="top" wrapText="1"/>
    </xf>
    <xf numFmtId="0" fontId="73" fillId="0" borderId="169" xfId="0" applyFont="1" applyFill="1" applyBorder="1" applyAlignment="1">
      <alignment horizontal="justify" vertical="top" wrapText="1"/>
    </xf>
    <xf numFmtId="0" fontId="73" fillId="0" borderId="170" xfId="0" applyFont="1" applyFill="1" applyBorder="1" applyAlignment="1">
      <alignment horizontal="justify" vertical="top" wrapText="1"/>
    </xf>
    <xf numFmtId="165" fontId="25" fillId="0" borderId="1" xfId="0" applyNumberFormat="1" applyFont="1" applyFill="1" applyBorder="1" applyAlignment="1">
      <alignment horizontal="center" vertical="center" wrapText="1"/>
    </xf>
    <xf numFmtId="0" fontId="17" fillId="0" borderId="1" xfId="0" applyFont="1" applyFill="1" applyBorder="1" applyAlignment="1">
      <alignment vertical="top" wrapText="1"/>
    </xf>
    <xf numFmtId="0" fontId="86" fillId="0" borderId="1" xfId="0" applyFont="1" applyFill="1" applyBorder="1" applyAlignment="1">
      <alignment horizontal="center" vertical="top" wrapText="1"/>
    </xf>
    <xf numFmtId="0" fontId="73" fillId="0" borderId="1" xfId="0" applyFont="1" applyFill="1" applyBorder="1" applyAlignment="1">
      <alignment horizontal="center" vertical="center" wrapText="1"/>
    </xf>
    <xf numFmtId="181" fontId="25" fillId="0" borderId="1" xfId="0" applyNumberFormat="1" applyFont="1" applyFill="1" applyBorder="1" applyAlignment="1">
      <alignment horizontal="center" vertical="center" wrapText="1"/>
    </xf>
    <xf numFmtId="165" fontId="89" fillId="0" borderId="1" xfId="0" applyNumberFormat="1" applyFont="1" applyFill="1" applyBorder="1" applyAlignment="1">
      <alignment horizontal="center" vertical="center" wrapText="1"/>
    </xf>
    <xf numFmtId="10" fontId="17" fillId="0" borderId="1" xfId="2857" applyNumberFormat="1" applyFont="1" applyFill="1" applyBorder="1" applyAlignment="1">
      <alignment horizontal="center" vertical="center"/>
    </xf>
    <xf numFmtId="10" fontId="17" fillId="0" borderId="1" xfId="2857" applyNumberFormat="1" applyFont="1" applyFill="1" applyBorder="1" applyAlignment="1">
      <alignment horizontal="center" vertical="center" wrapText="1"/>
    </xf>
    <xf numFmtId="0" fontId="0" fillId="0" borderId="1" xfId="0" applyFont="1" applyFill="1" applyBorder="1" applyAlignment="1">
      <alignment horizontal="justify" vertical="top" wrapText="1"/>
    </xf>
    <xf numFmtId="0" fontId="0" fillId="0" borderId="1" xfId="0" applyFont="1" applyFill="1" applyBorder="1" applyAlignment="1">
      <alignment horizontal="center" vertical="top" wrapText="1"/>
    </xf>
    <xf numFmtId="0" fontId="0" fillId="0" borderId="1" xfId="0" applyFont="1" applyFill="1" applyBorder="1" applyAlignment="1">
      <alignment horizontal="center" vertical="center"/>
    </xf>
  </cellXfs>
  <cellStyles count="2870">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BodyStyle" xfId="7" xr:uid="{00000000-0005-0000-0000-000006000000}"/>
    <cellStyle name="BodyStyleBold" xfId="8" xr:uid="{00000000-0005-0000-0000-000007000000}"/>
    <cellStyle name="BodyStyleBoldRight" xfId="9" xr:uid="{00000000-0005-0000-0000-000008000000}"/>
    <cellStyle name="BodyStyleWithBorder" xfId="10" xr:uid="{00000000-0005-0000-0000-000009000000}"/>
    <cellStyle name="BodyStyleWithBorder 2" xfId="11" xr:uid="{00000000-0005-0000-0000-00000A000000}"/>
    <cellStyle name="BodyStyleWithBorder 2 2" xfId="12" xr:uid="{00000000-0005-0000-0000-00000B000000}"/>
    <cellStyle name="BodyStyleWithBorder 2 3" xfId="13" xr:uid="{00000000-0005-0000-0000-00000C000000}"/>
    <cellStyle name="BodyStyleWithBorder 2 4" xfId="14" xr:uid="{00000000-0005-0000-0000-00000D000000}"/>
    <cellStyle name="BodyStyleWithBorder 3" xfId="15" xr:uid="{00000000-0005-0000-0000-00000E000000}"/>
    <cellStyle name="BodyStyleWithBorder 4" xfId="16" xr:uid="{00000000-0005-0000-0000-00000F000000}"/>
    <cellStyle name="BodyStyleWithBorder 5" xfId="17" xr:uid="{00000000-0005-0000-0000-000010000000}"/>
    <cellStyle name="BorderThinBlack" xfId="18" xr:uid="{00000000-0005-0000-0000-000011000000}"/>
    <cellStyle name="BorderThinBlack 2" xfId="19" xr:uid="{00000000-0005-0000-0000-000012000000}"/>
    <cellStyle name="BorderThinBlack 2 2" xfId="20" xr:uid="{00000000-0005-0000-0000-000013000000}"/>
    <cellStyle name="BorderThinBlack 2 2 2" xfId="21" xr:uid="{00000000-0005-0000-0000-000014000000}"/>
    <cellStyle name="BorderThinBlack 2 2 2 2" xfId="22" xr:uid="{00000000-0005-0000-0000-000015000000}"/>
    <cellStyle name="BorderThinBlack 2 2 2 3" xfId="23" xr:uid="{00000000-0005-0000-0000-000016000000}"/>
    <cellStyle name="BorderThinBlack 2 2 2 4" xfId="24" xr:uid="{00000000-0005-0000-0000-000017000000}"/>
    <cellStyle name="BorderThinBlack 2 2 3" xfId="25" xr:uid="{00000000-0005-0000-0000-000018000000}"/>
    <cellStyle name="BorderThinBlack 2 2 4" xfId="26" xr:uid="{00000000-0005-0000-0000-000019000000}"/>
    <cellStyle name="BorderThinBlack 2 2 5" xfId="27" xr:uid="{00000000-0005-0000-0000-00001A000000}"/>
    <cellStyle name="BorderThinBlack 2 3" xfId="28" xr:uid="{00000000-0005-0000-0000-00001B000000}"/>
    <cellStyle name="BorderThinBlack 2 4" xfId="29" xr:uid="{00000000-0005-0000-0000-00001C000000}"/>
    <cellStyle name="BorderThinBlack 2 5" xfId="30" xr:uid="{00000000-0005-0000-0000-00001D000000}"/>
    <cellStyle name="BorderThinBlack 3" xfId="31" xr:uid="{00000000-0005-0000-0000-00001E000000}"/>
    <cellStyle name="BorderThinBlack 3 2" xfId="32" xr:uid="{00000000-0005-0000-0000-00001F000000}"/>
    <cellStyle name="BorderThinBlack 3 2 2" xfId="33" xr:uid="{00000000-0005-0000-0000-000020000000}"/>
    <cellStyle name="BorderThinBlack 3 2 3" xfId="34" xr:uid="{00000000-0005-0000-0000-000021000000}"/>
    <cellStyle name="BorderThinBlack 3 2 4" xfId="35" xr:uid="{00000000-0005-0000-0000-000022000000}"/>
    <cellStyle name="BorderThinBlack 3 3" xfId="36" xr:uid="{00000000-0005-0000-0000-000023000000}"/>
    <cellStyle name="BorderThinBlack 3 4" xfId="37" xr:uid="{00000000-0005-0000-0000-000024000000}"/>
    <cellStyle name="BorderThinBlack 3 5" xfId="38" xr:uid="{00000000-0005-0000-0000-000025000000}"/>
    <cellStyle name="BorderThinBlack 4" xfId="39" xr:uid="{00000000-0005-0000-0000-000026000000}"/>
    <cellStyle name="BorderThinBlack 5" xfId="40" xr:uid="{00000000-0005-0000-0000-000027000000}"/>
    <cellStyle name="BorderThinBlack 6" xfId="41" xr:uid="{00000000-0005-0000-0000-000028000000}"/>
    <cellStyle name="Coma 2" xfId="42" xr:uid="{00000000-0005-0000-0000-000029000000}"/>
    <cellStyle name="Coma 2 2" xfId="43" xr:uid="{00000000-0005-0000-0000-00002A000000}"/>
    <cellStyle name="Comma" xfId="44" xr:uid="{00000000-0005-0000-0000-00002B000000}"/>
    <cellStyle name="Comma [0]" xfId="45" xr:uid="{00000000-0005-0000-0000-00002C000000}"/>
    <cellStyle name="Comma [0] 2" xfId="46" xr:uid="{00000000-0005-0000-0000-00002D000000}"/>
    <cellStyle name="Comma [0] 2 2" xfId="47" xr:uid="{00000000-0005-0000-0000-00002E000000}"/>
    <cellStyle name="Comma [0] 2 2 2" xfId="48" xr:uid="{00000000-0005-0000-0000-00002F000000}"/>
    <cellStyle name="Comma [0] 2 3" xfId="49" xr:uid="{00000000-0005-0000-0000-000030000000}"/>
    <cellStyle name="Comma [0] 3" xfId="50" xr:uid="{00000000-0005-0000-0000-000031000000}"/>
    <cellStyle name="Comma 2" xfId="51" xr:uid="{00000000-0005-0000-0000-000032000000}"/>
    <cellStyle name="Comma 2 2" xfId="52" xr:uid="{00000000-0005-0000-0000-000033000000}"/>
    <cellStyle name="Comma 2 2 2" xfId="53" xr:uid="{00000000-0005-0000-0000-000034000000}"/>
    <cellStyle name="Comma 2 3" xfId="54" xr:uid="{00000000-0005-0000-0000-000035000000}"/>
    <cellStyle name="Comma 3" xfId="55" xr:uid="{00000000-0005-0000-0000-000036000000}"/>
    <cellStyle name="Comma 4" xfId="56" xr:uid="{00000000-0005-0000-0000-000037000000}"/>
    <cellStyle name="Comma 5" xfId="57" xr:uid="{00000000-0005-0000-0000-000038000000}"/>
    <cellStyle name="Currency" xfId="58" xr:uid="{00000000-0005-0000-0000-000039000000}"/>
    <cellStyle name="Currency [0]" xfId="59" xr:uid="{00000000-0005-0000-0000-00003A000000}"/>
    <cellStyle name="Currency [0] 2" xfId="60" xr:uid="{00000000-0005-0000-0000-00003B000000}"/>
    <cellStyle name="Currency [0] 2 2" xfId="61" xr:uid="{00000000-0005-0000-0000-00003C000000}"/>
    <cellStyle name="Currency [0] 2 2 2" xfId="62" xr:uid="{00000000-0005-0000-0000-00003D000000}"/>
    <cellStyle name="Currency [0] 2 2 2 2" xfId="63" xr:uid="{00000000-0005-0000-0000-00003E000000}"/>
    <cellStyle name="Currency [0] 2 2 3" xfId="64" xr:uid="{00000000-0005-0000-0000-00003F000000}"/>
    <cellStyle name="Currency [0] 2 2 3 2" xfId="65" xr:uid="{00000000-0005-0000-0000-000040000000}"/>
    <cellStyle name="Currency [0] 2 2 4" xfId="66" xr:uid="{00000000-0005-0000-0000-000041000000}"/>
    <cellStyle name="Currency [0] 2 2 4 2" xfId="67" xr:uid="{00000000-0005-0000-0000-000042000000}"/>
    <cellStyle name="Currency [0] 2 2 5" xfId="68" xr:uid="{00000000-0005-0000-0000-000043000000}"/>
    <cellStyle name="Currency [0] 2 3" xfId="69" xr:uid="{00000000-0005-0000-0000-000044000000}"/>
    <cellStyle name="Currency [0] 2 3 2" xfId="70" xr:uid="{00000000-0005-0000-0000-000045000000}"/>
    <cellStyle name="Currency [0] 2 4" xfId="71" xr:uid="{00000000-0005-0000-0000-000046000000}"/>
    <cellStyle name="Currency [0] 2 4 2" xfId="72" xr:uid="{00000000-0005-0000-0000-000047000000}"/>
    <cellStyle name="Currency [0] 2 5" xfId="73" xr:uid="{00000000-0005-0000-0000-000048000000}"/>
    <cellStyle name="Currency [0] 2 5 2" xfId="74" xr:uid="{00000000-0005-0000-0000-000049000000}"/>
    <cellStyle name="Currency [0] 2 6" xfId="75" xr:uid="{00000000-0005-0000-0000-00004A000000}"/>
    <cellStyle name="Currency [0] 3" xfId="76" xr:uid="{00000000-0005-0000-0000-00004B000000}"/>
    <cellStyle name="Currency [0] 3 2" xfId="77" xr:uid="{00000000-0005-0000-0000-00004C000000}"/>
    <cellStyle name="Currency [0] 3 2 2" xfId="78" xr:uid="{00000000-0005-0000-0000-00004D000000}"/>
    <cellStyle name="Currency [0] 3 3" xfId="79" xr:uid="{00000000-0005-0000-0000-00004E000000}"/>
    <cellStyle name="Currency [0] 3 3 2" xfId="80" xr:uid="{00000000-0005-0000-0000-00004F000000}"/>
    <cellStyle name="Currency [0] 3 4" xfId="81" xr:uid="{00000000-0005-0000-0000-000050000000}"/>
    <cellStyle name="Currency [0] 3 4 2" xfId="82" xr:uid="{00000000-0005-0000-0000-000051000000}"/>
    <cellStyle name="Currency [0] 3 5" xfId="83" xr:uid="{00000000-0005-0000-0000-000052000000}"/>
    <cellStyle name="Currency [0] 4" xfId="84" xr:uid="{00000000-0005-0000-0000-000053000000}"/>
    <cellStyle name="Currency [0] 4 2" xfId="85" xr:uid="{00000000-0005-0000-0000-000054000000}"/>
    <cellStyle name="Currency [0] 5" xfId="86" xr:uid="{00000000-0005-0000-0000-000055000000}"/>
    <cellStyle name="Currency [0] 5 2" xfId="87" xr:uid="{00000000-0005-0000-0000-000056000000}"/>
    <cellStyle name="Currency [0] 6" xfId="88" xr:uid="{00000000-0005-0000-0000-000057000000}"/>
    <cellStyle name="Currency [0] 6 2" xfId="89" xr:uid="{00000000-0005-0000-0000-000058000000}"/>
    <cellStyle name="Currency [0] 7" xfId="90" xr:uid="{00000000-0005-0000-0000-000059000000}"/>
    <cellStyle name="Currency 10" xfId="91" xr:uid="{00000000-0005-0000-0000-00005A000000}"/>
    <cellStyle name="Currency 10 2" xfId="92" xr:uid="{00000000-0005-0000-0000-00005B000000}"/>
    <cellStyle name="Currency 11" xfId="93" xr:uid="{00000000-0005-0000-0000-00005C000000}"/>
    <cellStyle name="Currency 11 2" xfId="94" xr:uid="{00000000-0005-0000-0000-00005D000000}"/>
    <cellStyle name="Currency 12" xfId="95" xr:uid="{00000000-0005-0000-0000-00005E000000}"/>
    <cellStyle name="Currency 12 2" xfId="96" xr:uid="{00000000-0005-0000-0000-00005F000000}"/>
    <cellStyle name="Currency 13" xfId="97" xr:uid="{00000000-0005-0000-0000-000060000000}"/>
    <cellStyle name="Currency 13 2" xfId="98" xr:uid="{00000000-0005-0000-0000-000061000000}"/>
    <cellStyle name="Currency 14" xfId="99" xr:uid="{00000000-0005-0000-0000-000062000000}"/>
    <cellStyle name="Currency 15" xfId="100" xr:uid="{00000000-0005-0000-0000-000063000000}"/>
    <cellStyle name="Currency 2" xfId="101" xr:uid="{00000000-0005-0000-0000-000064000000}"/>
    <cellStyle name="Currency 2 2" xfId="102" xr:uid="{00000000-0005-0000-0000-000065000000}"/>
    <cellStyle name="Currency 2 2 2" xfId="103" xr:uid="{00000000-0005-0000-0000-000066000000}"/>
    <cellStyle name="Currency 2 2 2 2" xfId="104" xr:uid="{00000000-0005-0000-0000-000067000000}"/>
    <cellStyle name="Currency 2 2 3" xfId="105" xr:uid="{00000000-0005-0000-0000-000068000000}"/>
    <cellStyle name="Currency 2 2 3 2" xfId="106" xr:uid="{00000000-0005-0000-0000-000069000000}"/>
    <cellStyle name="Currency 2 2 4" xfId="107" xr:uid="{00000000-0005-0000-0000-00006A000000}"/>
    <cellStyle name="Currency 2 2 4 2" xfId="108" xr:uid="{00000000-0005-0000-0000-00006B000000}"/>
    <cellStyle name="Currency 2 2 5" xfId="109" xr:uid="{00000000-0005-0000-0000-00006C000000}"/>
    <cellStyle name="Currency 2 3" xfId="110" xr:uid="{00000000-0005-0000-0000-00006D000000}"/>
    <cellStyle name="Currency 2 3 2" xfId="111" xr:uid="{00000000-0005-0000-0000-00006E000000}"/>
    <cellStyle name="Currency 2 4" xfId="112" xr:uid="{00000000-0005-0000-0000-00006F000000}"/>
    <cellStyle name="Currency 2 4 2" xfId="113" xr:uid="{00000000-0005-0000-0000-000070000000}"/>
    <cellStyle name="Currency 2 5" xfId="114" xr:uid="{00000000-0005-0000-0000-000071000000}"/>
    <cellStyle name="Currency 2 5 2" xfId="115" xr:uid="{00000000-0005-0000-0000-000072000000}"/>
    <cellStyle name="Currency 2 6" xfId="116" xr:uid="{00000000-0005-0000-0000-000073000000}"/>
    <cellStyle name="Currency 3" xfId="117" xr:uid="{00000000-0005-0000-0000-000074000000}"/>
    <cellStyle name="Currency 3 2" xfId="118" xr:uid="{00000000-0005-0000-0000-000075000000}"/>
    <cellStyle name="Currency 3 2 2" xfId="119" xr:uid="{00000000-0005-0000-0000-000076000000}"/>
    <cellStyle name="Currency 3 3" xfId="120" xr:uid="{00000000-0005-0000-0000-000077000000}"/>
    <cellStyle name="Currency 3 3 2" xfId="121" xr:uid="{00000000-0005-0000-0000-000078000000}"/>
    <cellStyle name="Currency 3 4" xfId="122" xr:uid="{00000000-0005-0000-0000-000079000000}"/>
    <cellStyle name="Currency 3 4 2" xfId="123" xr:uid="{00000000-0005-0000-0000-00007A000000}"/>
    <cellStyle name="Currency 3 5" xfId="124" xr:uid="{00000000-0005-0000-0000-00007B000000}"/>
    <cellStyle name="Currency 4" xfId="125" xr:uid="{00000000-0005-0000-0000-00007C000000}"/>
    <cellStyle name="Currency 4 2" xfId="126" xr:uid="{00000000-0005-0000-0000-00007D000000}"/>
    <cellStyle name="Currency 4 2 2" xfId="127" xr:uid="{00000000-0005-0000-0000-00007E000000}"/>
    <cellStyle name="Currency 4 3" xfId="128" xr:uid="{00000000-0005-0000-0000-00007F000000}"/>
    <cellStyle name="Currency 4 3 2" xfId="129" xr:uid="{00000000-0005-0000-0000-000080000000}"/>
    <cellStyle name="Currency 4 4" xfId="130" xr:uid="{00000000-0005-0000-0000-000081000000}"/>
    <cellStyle name="Currency 4 4 2" xfId="131" xr:uid="{00000000-0005-0000-0000-000082000000}"/>
    <cellStyle name="Currency 4 5" xfId="132" xr:uid="{00000000-0005-0000-0000-000083000000}"/>
    <cellStyle name="Currency 5" xfId="133" xr:uid="{00000000-0005-0000-0000-000084000000}"/>
    <cellStyle name="Currency 5 2" xfId="134" xr:uid="{00000000-0005-0000-0000-000085000000}"/>
    <cellStyle name="Currency 5 2 2" xfId="135" xr:uid="{00000000-0005-0000-0000-000086000000}"/>
    <cellStyle name="Currency 5 3" xfId="136" xr:uid="{00000000-0005-0000-0000-000087000000}"/>
    <cellStyle name="Currency 5 3 2" xfId="137" xr:uid="{00000000-0005-0000-0000-000088000000}"/>
    <cellStyle name="Currency 5 4" xfId="138" xr:uid="{00000000-0005-0000-0000-000089000000}"/>
    <cellStyle name="Currency 5 4 2" xfId="139" xr:uid="{00000000-0005-0000-0000-00008A000000}"/>
    <cellStyle name="Currency 5 5" xfId="140" xr:uid="{00000000-0005-0000-0000-00008B000000}"/>
    <cellStyle name="Currency 6" xfId="141" xr:uid="{00000000-0005-0000-0000-00008C000000}"/>
    <cellStyle name="Currency 6 2" xfId="142" xr:uid="{00000000-0005-0000-0000-00008D000000}"/>
    <cellStyle name="Currency 7" xfId="143" xr:uid="{00000000-0005-0000-0000-00008E000000}"/>
    <cellStyle name="Currency 7 2" xfId="144" xr:uid="{00000000-0005-0000-0000-00008F000000}"/>
    <cellStyle name="Currency 8" xfId="145" xr:uid="{00000000-0005-0000-0000-000090000000}"/>
    <cellStyle name="Currency 8 2" xfId="146" xr:uid="{00000000-0005-0000-0000-000091000000}"/>
    <cellStyle name="Currency 9" xfId="147" xr:uid="{00000000-0005-0000-0000-000092000000}"/>
    <cellStyle name="Currency 9 2" xfId="148" xr:uid="{00000000-0005-0000-0000-000093000000}"/>
    <cellStyle name="DateStyle" xfId="149" xr:uid="{00000000-0005-0000-0000-000094000000}"/>
    <cellStyle name="DateTimeStyle" xfId="150" xr:uid="{00000000-0005-0000-0000-000095000000}"/>
    <cellStyle name="Decimal" xfId="151" xr:uid="{00000000-0005-0000-0000-000096000000}"/>
    <cellStyle name="DecimalWithBorder" xfId="152" xr:uid="{00000000-0005-0000-0000-000097000000}"/>
    <cellStyle name="DecimalWithBorder 2" xfId="153" xr:uid="{00000000-0005-0000-0000-000098000000}"/>
    <cellStyle name="DecimalWithBorder 2 2" xfId="154" xr:uid="{00000000-0005-0000-0000-000099000000}"/>
    <cellStyle name="DecimalWithBorder 2 3" xfId="155" xr:uid="{00000000-0005-0000-0000-00009A000000}"/>
    <cellStyle name="DecimalWithBorder 2 4" xfId="156" xr:uid="{00000000-0005-0000-0000-00009B000000}"/>
    <cellStyle name="DecimalWithBorder 3" xfId="157" xr:uid="{00000000-0005-0000-0000-00009C000000}"/>
    <cellStyle name="DecimalWithBorder 4" xfId="158" xr:uid="{00000000-0005-0000-0000-00009D000000}"/>
    <cellStyle name="DecimalWithBorder 5" xfId="159" xr:uid="{00000000-0005-0000-0000-00009E000000}"/>
    <cellStyle name="Énfasis1 2" xfId="160" xr:uid="{00000000-0005-0000-0000-00009F000000}"/>
    <cellStyle name="Énfasis1 2 2" xfId="161" xr:uid="{00000000-0005-0000-0000-0000A0000000}"/>
    <cellStyle name="EuroCurrency" xfId="162" xr:uid="{00000000-0005-0000-0000-0000A1000000}"/>
    <cellStyle name="EuroCurrencyWithBorder" xfId="163" xr:uid="{00000000-0005-0000-0000-0000A2000000}"/>
    <cellStyle name="EuroCurrencyWithBorder 2" xfId="164" xr:uid="{00000000-0005-0000-0000-0000A3000000}"/>
    <cellStyle name="EuroCurrencyWithBorder 2 2" xfId="165" xr:uid="{00000000-0005-0000-0000-0000A4000000}"/>
    <cellStyle name="EuroCurrencyWithBorder 2 3" xfId="166" xr:uid="{00000000-0005-0000-0000-0000A5000000}"/>
    <cellStyle name="EuroCurrencyWithBorder 2 4" xfId="167" xr:uid="{00000000-0005-0000-0000-0000A6000000}"/>
    <cellStyle name="EuroCurrencyWithBorder 3" xfId="168" xr:uid="{00000000-0005-0000-0000-0000A7000000}"/>
    <cellStyle name="EuroCurrencyWithBorder 4" xfId="169" xr:uid="{00000000-0005-0000-0000-0000A8000000}"/>
    <cellStyle name="EuroCurrencyWithBorder 5" xfId="170" xr:uid="{00000000-0005-0000-0000-0000A9000000}"/>
    <cellStyle name="HeaderStyle" xfId="171" xr:uid="{00000000-0005-0000-0000-0000AA000000}"/>
    <cellStyle name="HeaderSubTop" xfId="172" xr:uid="{00000000-0005-0000-0000-0000AB000000}"/>
    <cellStyle name="HeaderSubTopNoBold" xfId="173" xr:uid="{00000000-0005-0000-0000-0000AC000000}"/>
    <cellStyle name="HeaderTopBuyer" xfId="174" xr:uid="{00000000-0005-0000-0000-0000AD000000}"/>
    <cellStyle name="HeaderTopStyle" xfId="175" xr:uid="{00000000-0005-0000-0000-0000AE000000}"/>
    <cellStyle name="HeaderTopStyleAlignRight" xfId="176" xr:uid="{00000000-0005-0000-0000-0000AF000000}"/>
    <cellStyle name="MainTitle" xfId="177" xr:uid="{00000000-0005-0000-0000-0000B0000000}"/>
    <cellStyle name="MainTitle 2" xfId="178" xr:uid="{00000000-0005-0000-0000-0000B1000000}"/>
    <cellStyle name="MainTitle 2 2" xfId="179" xr:uid="{00000000-0005-0000-0000-0000B2000000}"/>
    <cellStyle name="MainTitle 2 3" xfId="180" xr:uid="{00000000-0005-0000-0000-0000B3000000}"/>
    <cellStyle name="MainTitle 2 4" xfId="181" xr:uid="{00000000-0005-0000-0000-0000B4000000}"/>
    <cellStyle name="MainTitle 3" xfId="182" xr:uid="{00000000-0005-0000-0000-0000B5000000}"/>
    <cellStyle name="MainTitle 4" xfId="183" xr:uid="{00000000-0005-0000-0000-0000B6000000}"/>
    <cellStyle name="MainTitle 5" xfId="184" xr:uid="{00000000-0005-0000-0000-0000B7000000}"/>
    <cellStyle name="Millares" xfId="185" builtinId="3" customBuiltin="1"/>
    <cellStyle name="Millares [0]" xfId="186" builtinId="6" customBuiltin="1"/>
    <cellStyle name="Millares 10" xfId="187" xr:uid="{00000000-0005-0000-0000-0000BA000000}"/>
    <cellStyle name="Millares 10 2" xfId="188" xr:uid="{00000000-0005-0000-0000-0000BB000000}"/>
    <cellStyle name="Millares 2" xfId="189" xr:uid="{00000000-0005-0000-0000-0000BC000000}"/>
    <cellStyle name="Millares 2 2" xfId="190" xr:uid="{00000000-0005-0000-0000-0000BD000000}"/>
    <cellStyle name="Millares 2 2 2" xfId="191" xr:uid="{00000000-0005-0000-0000-0000BE000000}"/>
    <cellStyle name="Millares 2 3" xfId="192" xr:uid="{00000000-0005-0000-0000-0000BF000000}"/>
    <cellStyle name="Millares 2 3 2" xfId="193" xr:uid="{00000000-0005-0000-0000-0000C0000000}"/>
    <cellStyle name="Millares 2 3 2 2" xfId="194" xr:uid="{00000000-0005-0000-0000-0000C1000000}"/>
    <cellStyle name="Millares 2 3 3" xfId="195" xr:uid="{00000000-0005-0000-0000-0000C2000000}"/>
    <cellStyle name="Millares 2 3 4" xfId="196" xr:uid="{00000000-0005-0000-0000-0000C3000000}"/>
    <cellStyle name="Millares 2 4" xfId="197" xr:uid="{00000000-0005-0000-0000-0000C4000000}"/>
    <cellStyle name="Millares 2 4 2" xfId="198" xr:uid="{00000000-0005-0000-0000-0000C5000000}"/>
    <cellStyle name="Millares 2 4 3" xfId="199" xr:uid="{00000000-0005-0000-0000-0000C6000000}"/>
    <cellStyle name="Millares 2 5" xfId="200" xr:uid="{00000000-0005-0000-0000-0000C7000000}"/>
    <cellStyle name="Millares 2 5 2" xfId="201" xr:uid="{00000000-0005-0000-0000-0000C8000000}"/>
    <cellStyle name="Millares 2 6" xfId="202" xr:uid="{00000000-0005-0000-0000-0000C9000000}"/>
    <cellStyle name="Millares 2 6 2" xfId="203" xr:uid="{00000000-0005-0000-0000-0000CA000000}"/>
    <cellStyle name="Millares 3" xfId="204" xr:uid="{00000000-0005-0000-0000-0000CB000000}"/>
    <cellStyle name="Millares 3 2" xfId="205" xr:uid="{00000000-0005-0000-0000-0000CC000000}"/>
    <cellStyle name="Millares 3 3" xfId="206" xr:uid="{00000000-0005-0000-0000-0000CD000000}"/>
    <cellStyle name="Millares 3 3 2" xfId="207" xr:uid="{00000000-0005-0000-0000-0000CE000000}"/>
    <cellStyle name="Millares 3 4" xfId="208" xr:uid="{00000000-0005-0000-0000-0000CF000000}"/>
    <cellStyle name="Millares 4" xfId="209" xr:uid="{00000000-0005-0000-0000-0000D0000000}"/>
    <cellStyle name="Millares 4 2" xfId="210" xr:uid="{00000000-0005-0000-0000-0000D1000000}"/>
    <cellStyle name="Millares 5" xfId="211" xr:uid="{00000000-0005-0000-0000-0000D2000000}"/>
    <cellStyle name="Millares 5 2" xfId="212" xr:uid="{00000000-0005-0000-0000-0000D3000000}"/>
    <cellStyle name="Millares 5 3" xfId="213" xr:uid="{00000000-0005-0000-0000-0000D4000000}"/>
    <cellStyle name="Millares 5 4" xfId="214" xr:uid="{00000000-0005-0000-0000-0000D5000000}"/>
    <cellStyle name="Millares 5 5" xfId="215" xr:uid="{00000000-0005-0000-0000-0000D6000000}"/>
    <cellStyle name="Millares 6" xfId="216" xr:uid="{00000000-0005-0000-0000-0000D7000000}"/>
    <cellStyle name="Millares 6 2" xfId="217" xr:uid="{00000000-0005-0000-0000-0000D8000000}"/>
    <cellStyle name="Millares 6 2 2" xfId="218" xr:uid="{00000000-0005-0000-0000-0000D9000000}"/>
    <cellStyle name="Millares 6 3" xfId="219" xr:uid="{00000000-0005-0000-0000-0000DA000000}"/>
    <cellStyle name="Millares 6 3 2" xfId="220" xr:uid="{00000000-0005-0000-0000-0000DB000000}"/>
    <cellStyle name="Millares 6 4" xfId="221" xr:uid="{00000000-0005-0000-0000-0000DC000000}"/>
    <cellStyle name="Millares 7" xfId="222" xr:uid="{00000000-0005-0000-0000-0000DD000000}"/>
    <cellStyle name="Millares 7 2" xfId="223" xr:uid="{00000000-0005-0000-0000-0000DE000000}"/>
    <cellStyle name="Millares 8" xfId="224" xr:uid="{00000000-0005-0000-0000-0000DF000000}"/>
    <cellStyle name="Millares 8 2" xfId="225" xr:uid="{00000000-0005-0000-0000-0000E0000000}"/>
    <cellStyle name="Millares 9" xfId="226" xr:uid="{00000000-0005-0000-0000-0000E1000000}"/>
    <cellStyle name="Millares 9 2" xfId="227" xr:uid="{00000000-0005-0000-0000-0000E2000000}"/>
    <cellStyle name="Moneda" xfId="228" builtinId="4" customBuiltin="1"/>
    <cellStyle name="Moneda [0]" xfId="229" builtinId="7" customBuiltin="1"/>
    <cellStyle name="Moneda [0] 2" xfId="230" xr:uid="{00000000-0005-0000-0000-0000E5000000}"/>
    <cellStyle name="Moneda [0] 2 2" xfId="231" xr:uid="{00000000-0005-0000-0000-0000E6000000}"/>
    <cellStyle name="Moneda [0] 2 2 2" xfId="232" xr:uid="{00000000-0005-0000-0000-0000E7000000}"/>
    <cellStyle name="Moneda [0] 2 2 2 2" xfId="233" xr:uid="{00000000-0005-0000-0000-0000E8000000}"/>
    <cellStyle name="Moneda [0] 2 2 3" xfId="234" xr:uid="{00000000-0005-0000-0000-0000E9000000}"/>
    <cellStyle name="Moneda [0] 2 2 4" xfId="235" xr:uid="{00000000-0005-0000-0000-0000EA000000}"/>
    <cellStyle name="Moneda [0] 2 3" xfId="236" xr:uid="{00000000-0005-0000-0000-0000EB000000}"/>
    <cellStyle name="Moneda [0] 2 3 2" xfId="237" xr:uid="{00000000-0005-0000-0000-0000EC000000}"/>
    <cellStyle name="Moneda [0] 2 4" xfId="238" xr:uid="{00000000-0005-0000-0000-0000ED000000}"/>
    <cellStyle name="Moneda [0] 2 5" xfId="239" xr:uid="{00000000-0005-0000-0000-0000EE000000}"/>
    <cellStyle name="Moneda [0] 3" xfId="240" xr:uid="{00000000-0005-0000-0000-0000EF000000}"/>
    <cellStyle name="Moneda [0] 3 2" xfId="241" xr:uid="{00000000-0005-0000-0000-0000F0000000}"/>
    <cellStyle name="Moneda [0] 3 2 2" xfId="242" xr:uid="{00000000-0005-0000-0000-0000F1000000}"/>
    <cellStyle name="Moneda [0] 3 2 2 2" xfId="243" xr:uid="{00000000-0005-0000-0000-0000F2000000}"/>
    <cellStyle name="Moneda [0] 3 2 3" xfId="244" xr:uid="{00000000-0005-0000-0000-0000F3000000}"/>
    <cellStyle name="Moneda [0] 3 2 3 2" xfId="245" xr:uid="{00000000-0005-0000-0000-0000F4000000}"/>
    <cellStyle name="Moneda [0] 3 2 4" xfId="246" xr:uid="{00000000-0005-0000-0000-0000F5000000}"/>
    <cellStyle name="Moneda [0] 3 2 4 2" xfId="247" xr:uid="{00000000-0005-0000-0000-0000F6000000}"/>
    <cellStyle name="Moneda [0] 3 2 5" xfId="248" xr:uid="{00000000-0005-0000-0000-0000F7000000}"/>
    <cellStyle name="Moneda [0] 3 3" xfId="249" xr:uid="{00000000-0005-0000-0000-0000F8000000}"/>
    <cellStyle name="Moneda [0] 3 3 2" xfId="250" xr:uid="{00000000-0005-0000-0000-0000F9000000}"/>
    <cellStyle name="Moneda [0] 3 4" xfId="251" xr:uid="{00000000-0005-0000-0000-0000FA000000}"/>
    <cellStyle name="Moneda [0] 3 4 2" xfId="252" xr:uid="{00000000-0005-0000-0000-0000FB000000}"/>
    <cellStyle name="Moneda [0] 3 5" xfId="253" xr:uid="{00000000-0005-0000-0000-0000FC000000}"/>
    <cellStyle name="Moneda [0] 3 5 2" xfId="254" xr:uid="{00000000-0005-0000-0000-0000FD000000}"/>
    <cellStyle name="Moneda [0] 3 6" xfId="255" xr:uid="{00000000-0005-0000-0000-0000FE000000}"/>
    <cellStyle name="Moneda [0] 3 7" xfId="256" xr:uid="{00000000-0005-0000-0000-0000FF000000}"/>
    <cellStyle name="Moneda [0] 4" xfId="257" xr:uid="{00000000-0005-0000-0000-000000010000}"/>
    <cellStyle name="Moneda [0] 4 2" xfId="258" xr:uid="{00000000-0005-0000-0000-000001010000}"/>
    <cellStyle name="Moneda [0] 4 2 2" xfId="259" xr:uid="{00000000-0005-0000-0000-000002010000}"/>
    <cellStyle name="Moneda [0] 4 3" xfId="260" xr:uid="{00000000-0005-0000-0000-000003010000}"/>
    <cellStyle name="Moneda [0] 4 3 2" xfId="261" xr:uid="{00000000-0005-0000-0000-000004010000}"/>
    <cellStyle name="Moneda [0] 4 4" xfId="262" xr:uid="{00000000-0005-0000-0000-000005010000}"/>
    <cellStyle name="Moneda [0] 4 4 2" xfId="263" xr:uid="{00000000-0005-0000-0000-000006010000}"/>
    <cellStyle name="Moneda [0] 4 5" xfId="264" xr:uid="{00000000-0005-0000-0000-000007010000}"/>
    <cellStyle name="Moneda [0] 5" xfId="265" xr:uid="{00000000-0005-0000-0000-000008010000}"/>
    <cellStyle name="Moneda [0] 5 2" xfId="266" xr:uid="{00000000-0005-0000-0000-000009010000}"/>
    <cellStyle name="Moneda [0] 5 2 2" xfId="267" xr:uid="{00000000-0005-0000-0000-00000A010000}"/>
    <cellStyle name="Moneda [0] 5 3" xfId="268" xr:uid="{00000000-0005-0000-0000-00000B010000}"/>
    <cellStyle name="Moneda [0] 5 3 2" xfId="269" xr:uid="{00000000-0005-0000-0000-00000C010000}"/>
    <cellStyle name="Moneda [0] 5 4" xfId="270" xr:uid="{00000000-0005-0000-0000-00000D010000}"/>
    <cellStyle name="Moneda [0] 5 4 2" xfId="271" xr:uid="{00000000-0005-0000-0000-00000E010000}"/>
    <cellStyle name="Moneda [0] 5 5" xfId="272" xr:uid="{00000000-0005-0000-0000-00000F010000}"/>
    <cellStyle name="Moneda [0] 6" xfId="273" xr:uid="{00000000-0005-0000-0000-000010010000}"/>
    <cellStyle name="Moneda [0] 6 2" xfId="274" xr:uid="{00000000-0005-0000-0000-000011010000}"/>
    <cellStyle name="Moneda [0] 7" xfId="275" xr:uid="{00000000-0005-0000-0000-000012010000}"/>
    <cellStyle name="Moneda [0] 7 2" xfId="276" xr:uid="{00000000-0005-0000-0000-000013010000}"/>
    <cellStyle name="Moneda [0] 8" xfId="277" xr:uid="{00000000-0005-0000-0000-000014010000}"/>
    <cellStyle name="Moneda [0] 8 2" xfId="278" xr:uid="{00000000-0005-0000-0000-000015010000}"/>
    <cellStyle name="Moneda [0] 9" xfId="279" xr:uid="{00000000-0005-0000-0000-000016010000}"/>
    <cellStyle name="Moneda [0] 9 2" xfId="280" xr:uid="{00000000-0005-0000-0000-000017010000}"/>
    <cellStyle name="Moneda 10" xfId="281" xr:uid="{00000000-0005-0000-0000-000018010000}"/>
    <cellStyle name="Moneda 10 10" xfId="282" xr:uid="{00000000-0005-0000-0000-000019010000}"/>
    <cellStyle name="Moneda 10 11" xfId="283" xr:uid="{00000000-0005-0000-0000-00001A010000}"/>
    <cellStyle name="Moneda 10 2" xfId="284" xr:uid="{00000000-0005-0000-0000-00001B010000}"/>
    <cellStyle name="Moneda 10 2 2" xfId="285" xr:uid="{00000000-0005-0000-0000-00001C010000}"/>
    <cellStyle name="Moneda 10 2 2 2" xfId="286" xr:uid="{00000000-0005-0000-0000-00001D010000}"/>
    <cellStyle name="Moneda 10 2 2 2 2" xfId="287" xr:uid="{00000000-0005-0000-0000-00001E010000}"/>
    <cellStyle name="Moneda 10 2 2 2 2 2" xfId="288" xr:uid="{00000000-0005-0000-0000-00001F010000}"/>
    <cellStyle name="Moneda 10 2 2 2 3" xfId="289" xr:uid="{00000000-0005-0000-0000-000020010000}"/>
    <cellStyle name="Moneda 10 2 2 2 3 2" xfId="290" xr:uid="{00000000-0005-0000-0000-000021010000}"/>
    <cellStyle name="Moneda 10 2 2 2 4" xfId="291" xr:uid="{00000000-0005-0000-0000-000022010000}"/>
    <cellStyle name="Moneda 10 2 2 2 4 2" xfId="292" xr:uid="{00000000-0005-0000-0000-000023010000}"/>
    <cellStyle name="Moneda 10 2 2 2 5" xfId="293" xr:uid="{00000000-0005-0000-0000-000024010000}"/>
    <cellStyle name="Moneda 10 2 2 3" xfId="294" xr:uid="{00000000-0005-0000-0000-000025010000}"/>
    <cellStyle name="Moneda 10 2 2 3 2" xfId="295" xr:uid="{00000000-0005-0000-0000-000026010000}"/>
    <cellStyle name="Moneda 10 2 2 4" xfId="296" xr:uid="{00000000-0005-0000-0000-000027010000}"/>
    <cellStyle name="Moneda 10 2 2 4 2" xfId="297" xr:uid="{00000000-0005-0000-0000-000028010000}"/>
    <cellStyle name="Moneda 10 2 2 5" xfId="298" xr:uid="{00000000-0005-0000-0000-000029010000}"/>
    <cellStyle name="Moneda 10 2 2 5 2" xfId="299" xr:uid="{00000000-0005-0000-0000-00002A010000}"/>
    <cellStyle name="Moneda 10 2 2 6" xfId="300" xr:uid="{00000000-0005-0000-0000-00002B010000}"/>
    <cellStyle name="Moneda 10 2 3" xfId="301" xr:uid="{00000000-0005-0000-0000-00002C010000}"/>
    <cellStyle name="Moneda 10 2 3 2" xfId="302" xr:uid="{00000000-0005-0000-0000-00002D010000}"/>
    <cellStyle name="Moneda 10 2 3 2 2" xfId="303" xr:uid="{00000000-0005-0000-0000-00002E010000}"/>
    <cellStyle name="Moneda 10 2 3 3" xfId="304" xr:uid="{00000000-0005-0000-0000-00002F010000}"/>
    <cellStyle name="Moneda 10 2 3 3 2" xfId="305" xr:uid="{00000000-0005-0000-0000-000030010000}"/>
    <cellStyle name="Moneda 10 2 3 4" xfId="306" xr:uid="{00000000-0005-0000-0000-000031010000}"/>
    <cellStyle name="Moneda 10 2 3 4 2" xfId="307" xr:uid="{00000000-0005-0000-0000-000032010000}"/>
    <cellStyle name="Moneda 10 2 3 5" xfId="308" xr:uid="{00000000-0005-0000-0000-000033010000}"/>
    <cellStyle name="Moneda 10 2 4" xfId="309" xr:uid="{00000000-0005-0000-0000-000034010000}"/>
    <cellStyle name="Moneda 10 2 4 2" xfId="310" xr:uid="{00000000-0005-0000-0000-000035010000}"/>
    <cellStyle name="Moneda 10 2 5" xfId="311" xr:uid="{00000000-0005-0000-0000-000036010000}"/>
    <cellStyle name="Moneda 10 2 5 2" xfId="312" xr:uid="{00000000-0005-0000-0000-000037010000}"/>
    <cellStyle name="Moneda 10 2 6" xfId="313" xr:uid="{00000000-0005-0000-0000-000038010000}"/>
    <cellStyle name="Moneda 10 2 6 2" xfId="314" xr:uid="{00000000-0005-0000-0000-000039010000}"/>
    <cellStyle name="Moneda 10 2 7" xfId="315" xr:uid="{00000000-0005-0000-0000-00003A010000}"/>
    <cellStyle name="Moneda 10 2 8" xfId="316" xr:uid="{00000000-0005-0000-0000-00003B010000}"/>
    <cellStyle name="Moneda 10 3" xfId="317" xr:uid="{00000000-0005-0000-0000-00003C010000}"/>
    <cellStyle name="Moneda 10 3 2" xfId="318" xr:uid="{00000000-0005-0000-0000-00003D010000}"/>
    <cellStyle name="Moneda 10 3 2 2" xfId="319" xr:uid="{00000000-0005-0000-0000-00003E010000}"/>
    <cellStyle name="Moneda 10 3 2 2 2" xfId="320" xr:uid="{00000000-0005-0000-0000-00003F010000}"/>
    <cellStyle name="Moneda 10 3 2 2 2 2" xfId="321" xr:uid="{00000000-0005-0000-0000-000040010000}"/>
    <cellStyle name="Moneda 10 3 2 2 3" xfId="322" xr:uid="{00000000-0005-0000-0000-000041010000}"/>
    <cellStyle name="Moneda 10 3 2 2 3 2" xfId="323" xr:uid="{00000000-0005-0000-0000-000042010000}"/>
    <cellStyle name="Moneda 10 3 2 2 4" xfId="324" xr:uid="{00000000-0005-0000-0000-000043010000}"/>
    <cellStyle name="Moneda 10 3 2 2 4 2" xfId="325" xr:uid="{00000000-0005-0000-0000-000044010000}"/>
    <cellStyle name="Moneda 10 3 2 2 5" xfId="326" xr:uid="{00000000-0005-0000-0000-000045010000}"/>
    <cellStyle name="Moneda 10 3 2 3" xfId="327" xr:uid="{00000000-0005-0000-0000-000046010000}"/>
    <cellStyle name="Moneda 10 3 2 3 2" xfId="328" xr:uid="{00000000-0005-0000-0000-000047010000}"/>
    <cellStyle name="Moneda 10 3 2 4" xfId="329" xr:uid="{00000000-0005-0000-0000-000048010000}"/>
    <cellStyle name="Moneda 10 3 2 4 2" xfId="330" xr:uid="{00000000-0005-0000-0000-000049010000}"/>
    <cellStyle name="Moneda 10 3 2 5" xfId="331" xr:uid="{00000000-0005-0000-0000-00004A010000}"/>
    <cellStyle name="Moneda 10 3 2 5 2" xfId="332" xr:uid="{00000000-0005-0000-0000-00004B010000}"/>
    <cellStyle name="Moneda 10 3 2 6" xfId="333" xr:uid="{00000000-0005-0000-0000-00004C010000}"/>
    <cellStyle name="Moneda 10 3 3" xfId="334" xr:uid="{00000000-0005-0000-0000-00004D010000}"/>
    <cellStyle name="Moneda 10 3 3 2" xfId="335" xr:uid="{00000000-0005-0000-0000-00004E010000}"/>
    <cellStyle name="Moneda 10 3 3 2 2" xfId="336" xr:uid="{00000000-0005-0000-0000-00004F010000}"/>
    <cellStyle name="Moneda 10 3 3 3" xfId="337" xr:uid="{00000000-0005-0000-0000-000050010000}"/>
    <cellStyle name="Moneda 10 3 3 3 2" xfId="338" xr:uid="{00000000-0005-0000-0000-000051010000}"/>
    <cellStyle name="Moneda 10 3 3 4" xfId="339" xr:uid="{00000000-0005-0000-0000-000052010000}"/>
    <cellStyle name="Moneda 10 3 3 4 2" xfId="340" xr:uid="{00000000-0005-0000-0000-000053010000}"/>
    <cellStyle name="Moneda 10 3 3 5" xfId="341" xr:uid="{00000000-0005-0000-0000-000054010000}"/>
    <cellStyle name="Moneda 10 3 4" xfId="342" xr:uid="{00000000-0005-0000-0000-000055010000}"/>
    <cellStyle name="Moneda 10 3 4 2" xfId="343" xr:uid="{00000000-0005-0000-0000-000056010000}"/>
    <cellStyle name="Moneda 10 3 5" xfId="344" xr:uid="{00000000-0005-0000-0000-000057010000}"/>
    <cellStyle name="Moneda 10 3 5 2" xfId="345" xr:uid="{00000000-0005-0000-0000-000058010000}"/>
    <cellStyle name="Moneda 10 3 6" xfId="346" xr:uid="{00000000-0005-0000-0000-000059010000}"/>
    <cellStyle name="Moneda 10 3 6 2" xfId="347" xr:uid="{00000000-0005-0000-0000-00005A010000}"/>
    <cellStyle name="Moneda 10 3 7" xfId="348" xr:uid="{00000000-0005-0000-0000-00005B010000}"/>
    <cellStyle name="Moneda 10 4" xfId="349" xr:uid="{00000000-0005-0000-0000-00005C010000}"/>
    <cellStyle name="Moneda 10 4 2" xfId="350" xr:uid="{00000000-0005-0000-0000-00005D010000}"/>
    <cellStyle name="Moneda 10 4 2 2" xfId="351" xr:uid="{00000000-0005-0000-0000-00005E010000}"/>
    <cellStyle name="Moneda 10 4 2 2 2" xfId="352" xr:uid="{00000000-0005-0000-0000-00005F010000}"/>
    <cellStyle name="Moneda 10 4 2 2 2 2" xfId="353" xr:uid="{00000000-0005-0000-0000-000060010000}"/>
    <cellStyle name="Moneda 10 4 2 2 3" xfId="354" xr:uid="{00000000-0005-0000-0000-000061010000}"/>
    <cellStyle name="Moneda 10 4 2 2 3 2" xfId="355" xr:uid="{00000000-0005-0000-0000-000062010000}"/>
    <cellStyle name="Moneda 10 4 2 2 4" xfId="356" xr:uid="{00000000-0005-0000-0000-000063010000}"/>
    <cellStyle name="Moneda 10 4 2 2 4 2" xfId="357" xr:uid="{00000000-0005-0000-0000-000064010000}"/>
    <cellStyle name="Moneda 10 4 2 2 5" xfId="358" xr:uid="{00000000-0005-0000-0000-000065010000}"/>
    <cellStyle name="Moneda 10 4 2 3" xfId="359" xr:uid="{00000000-0005-0000-0000-000066010000}"/>
    <cellStyle name="Moneda 10 4 2 3 2" xfId="360" xr:uid="{00000000-0005-0000-0000-000067010000}"/>
    <cellStyle name="Moneda 10 4 2 4" xfId="361" xr:uid="{00000000-0005-0000-0000-000068010000}"/>
    <cellStyle name="Moneda 10 4 2 4 2" xfId="362" xr:uid="{00000000-0005-0000-0000-000069010000}"/>
    <cellStyle name="Moneda 10 4 2 5" xfId="363" xr:uid="{00000000-0005-0000-0000-00006A010000}"/>
    <cellStyle name="Moneda 10 4 2 5 2" xfId="364" xr:uid="{00000000-0005-0000-0000-00006B010000}"/>
    <cellStyle name="Moneda 10 4 2 6" xfId="365" xr:uid="{00000000-0005-0000-0000-00006C010000}"/>
    <cellStyle name="Moneda 10 4 3" xfId="366" xr:uid="{00000000-0005-0000-0000-00006D010000}"/>
    <cellStyle name="Moneda 10 4 3 2" xfId="367" xr:uid="{00000000-0005-0000-0000-00006E010000}"/>
    <cellStyle name="Moneda 10 4 3 2 2" xfId="368" xr:uid="{00000000-0005-0000-0000-00006F010000}"/>
    <cellStyle name="Moneda 10 4 3 3" xfId="369" xr:uid="{00000000-0005-0000-0000-000070010000}"/>
    <cellStyle name="Moneda 10 4 3 3 2" xfId="370" xr:uid="{00000000-0005-0000-0000-000071010000}"/>
    <cellStyle name="Moneda 10 4 3 4" xfId="371" xr:uid="{00000000-0005-0000-0000-000072010000}"/>
    <cellStyle name="Moneda 10 4 3 4 2" xfId="372" xr:uid="{00000000-0005-0000-0000-000073010000}"/>
    <cellStyle name="Moneda 10 4 3 5" xfId="373" xr:uid="{00000000-0005-0000-0000-000074010000}"/>
    <cellStyle name="Moneda 10 4 4" xfId="374" xr:uid="{00000000-0005-0000-0000-000075010000}"/>
    <cellStyle name="Moneda 10 4 4 2" xfId="375" xr:uid="{00000000-0005-0000-0000-000076010000}"/>
    <cellStyle name="Moneda 10 4 5" xfId="376" xr:uid="{00000000-0005-0000-0000-000077010000}"/>
    <cellStyle name="Moneda 10 4 5 2" xfId="377" xr:uid="{00000000-0005-0000-0000-000078010000}"/>
    <cellStyle name="Moneda 10 4 6" xfId="378" xr:uid="{00000000-0005-0000-0000-000079010000}"/>
    <cellStyle name="Moneda 10 4 6 2" xfId="379" xr:uid="{00000000-0005-0000-0000-00007A010000}"/>
    <cellStyle name="Moneda 10 4 7" xfId="380" xr:uid="{00000000-0005-0000-0000-00007B010000}"/>
    <cellStyle name="Moneda 10 5" xfId="381" xr:uid="{00000000-0005-0000-0000-00007C010000}"/>
    <cellStyle name="Moneda 10 5 2" xfId="382" xr:uid="{00000000-0005-0000-0000-00007D010000}"/>
    <cellStyle name="Moneda 10 5 2 2" xfId="383" xr:uid="{00000000-0005-0000-0000-00007E010000}"/>
    <cellStyle name="Moneda 10 5 2 2 2" xfId="384" xr:uid="{00000000-0005-0000-0000-00007F010000}"/>
    <cellStyle name="Moneda 10 5 2 3" xfId="385" xr:uid="{00000000-0005-0000-0000-000080010000}"/>
    <cellStyle name="Moneda 10 5 2 3 2" xfId="386" xr:uid="{00000000-0005-0000-0000-000081010000}"/>
    <cellStyle name="Moneda 10 5 2 4" xfId="387" xr:uid="{00000000-0005-0000-0000-000082010000}"/>
    <cellStyle name="Moneda 10 5 2 4 2" xfId="388" xr:uid="{00000000-0005-0000-0000-000083010000}"/>
    <cellStyle name="Moneda 10 5 2 5" xfId="389" xr:uid="{00000000-0005-0000-0000-000084010000}"/>
    <cellStyle name="Moneda 10 5 3" xfId="390" xr:uid="{00000000-0005-0000-0000-000085010000}"/>
    <cellStyle name="Moneda 10 5 3 2" xfId="391" xr:uid="{00000000-0005-0000-0000-000086010000}"/>
    <cellStyle name="Moneda 10 5 4" xfId="392" xr:uid="{00000000-0005-0000-0000-000087010000}"/>
    <cellStyle name="Moneda 10 5 4 2" xfId="393" xr:uid="{00000000-0005-0000-0000-000088010000}"/>
    <cellStyle name="Moneda 10 5 5" xfId="394" xr:uid="{00000000-0005-0000-0000-000089010000}"/>
    <cellStyle name="Moneda 10 5 5 2" xfId="395" xr:uid="{00000000-0005-0000-0000-00008A010000}"/>
    <cellStyle name="Moneda 10 5 6" xfId="396" xr:uid="{00000000-0005-0000-0000-00008B010000}"/>
    <cellStyle name="Moneda 10 6" xfId="397" xr:uid="{00000000-0005-0000-0000-00008C010000}"/>
    <cellStyle name="Moneda 10 6 2" xfId="398" xr:uid="{00000000-0005-0000-0000-00008D010000}"/>
    <cellStyle name="Moneda 10 6 2 2" xfId="399" xr:uid="{00000000-0005-0000-0000-00008E010000}"/>
    <cellStyle name="Moneda 10 6 3" xfId="400" xr:uid="{00000000-0005-0000-0000-00008F010000}"/>
    <cellStyle name="Moneda 10 6 3 2" xfId="401" xr:uid="{00000000-0005-0000-0000-000090010000}"/>
    <cellStyle name="Moneda 10 6 4" xfId="402" xr:uid="{00000000-0005-0000-0000-000091010000}"/>
    <cellStyle name="Moneda 10 6 4 2" xfId="403" xr:uid="{00000000-0005-0000-0000-000092010000}"/>
    <cellStyle name="Moneda 10 6 5" xfId="404" xr:uid="{00000000-0005-0000-0000-000093010000}"/>
    <cellStyle name="Moneda 10 7" xfId="405" xr:uid="{00000000-0005-0000-0000-000094010000}"/>
    <cellStyle name="Moneda 10 7 2" xfId="406" xr:uid="{00000000-0005-0000-0000-000095010000}"/>
    <cellStyle name="Moneda 10 8" xfId="407" xr:uid="{00000000-0005-0000-0000-000096010000}"/>
    <cellStyle name="Moneda 10 8 2" xfId="408" xr:uid="{00000000-0005-0000-0000-000097010000}"/>
    <cellStyle name="Moneda 10 9" xfId="409" xr:uid="{00000000-0005-0000-0000-000098010000}"/>
    <cellStyle name="Moneda 10 9 2" xfId="410" xr:uid="{00000000-0005-0000-0000-000099010000}"/>
    <cellStyle name="Moneda 11" xfId="411" xr:uid="{00000000-0005-0000-0000-00009A010000}"/>
    <cellStyle name="Moneda 11 10" xfId="412" xr:uid="{00000000-0005-0000-0000-00009B010000}"/>
    <cellStyle name="Moneda 11 11" xfId="413" xr:uid="{00000000-0005-0000-0000-00009C010000}"/>
    <cellStyle name="Moneda 11 2" xfId="414" xr:uid="{00000000-0005-0000-0000-00009D010000}"/>
    <cellStyle name="Moneda 11 2 2" xfId="415" xr:uid="{00000000-0005-0000-0000-00009E010000}"/>
    <cellStyle name="Moneda 11 2 2 2" xfId="416" xr:uid="{00000000-0005-0000-0000-00009F010000}"/>
    <cellStyle name="Moneda 11 2 2 2 2" xfId="417" xr:uid="{00000000-0005-0000-0000-0000A0010000}"/>
    <cellStyle name="Moneda 11 2 2 2 2 2" xfId="418" xr:uid="{00000000-0005-0000-0000-0000A1010000}"/>
    <cellStyle name="Moneda 11 2 2 2 3" xfId="419" xr:uid="{00000000-0005-0000-0000-0000A2010000}"/>
    <cellStyle name="Moneda 11 2 2 2 3 2" xfId="420" xr:uid="{00000000-0005-0000-0000-0000A3010000}"/>
    <cellStyle name="Moneda 11 2 2 2 4" xfId="421" xr:uid="{00000000-0005-0000-0000-0000A4010000}"/>
    <cellStyle name="Moneda 11 2 2 2 4 2" xfId="422" xr:uid="{00000000-0005-0000-0000-0000A5010000}"/>
    <cellStyle name="Moneda 11 2 2 2 5" xfId="423" xr:uid="{00000000-0005-0000-0000-0000A6010000}"/>
    <cellStyle name="Moneda 11 2 2 3" xfId="424" xr:uid="{00000000-0005-0000-0000-0000A7010000}"/>
    <cellStyle name="Moneda 11 2 2 3 2" xfId="425" xr:uid="{00000000-0005-0000-0000-0000A8010000}"/>
    <cellStyle name="Moneda 11 2 2 4" xfId="426" xr:uid="{00000000-0005-0000-0000-0000A9010000}"/>
    <cellStyle name="Moneda 11 2 2 4 2" xfId="427" xr:uid="{00000000-0005-0000-0000-0000AA010000}"/>
    <cellStyle name="Moneda 11 2 2 5" xfId="428" xr:uid="{00000000-0005-0000-0000-0000AB010000}"/>
    <cellStyle name="Moneda 11 2 2 5 2" xfId="429" xr:uid="{00000000-0005-0000-0000-0000AC010000}"/>
    <cellStyle name="Moneda 11 2 2 6" xfId="430" xr:uid="{00000000-0005-0000-0000-0000AD010000}"/>
    <cellStyle name="Moneda 11 2 3" xfId="431" xr:uid="{00000000-0005-0000-0000-0000AE010000}"/>
    <cellStyle name="Moneda 11 2 3 2" xfId="432" xr:uid="{00000000-0005-0000-0000-0000AF010000}"/>
    <cellStyle name="Moneda 11 2 3 2 2" xfId="433" xr:uid="{00000000-0005-0000-0000-0000B0010000}"/>
    <cellStyle name="Moneda 11 2 3 3" xfId="434" xr:uid="{00000000-0005-0000-0000-0000B1010000}"/>
    <cellStyle name="Moneda 11 2 3 3 2" xfId="435" xr:uid="{00000000-0005-0000-0000-0000B2010000}"/>
    <cellStyle name="Moneda 11 2 3 4" xfId="436" xr:uid="{00000000-0005-0000-0000-0000B3010000}"/>
    <cellStyle name="Moneda 11 2 3 4 2" xfId="437" xr:uid="{00000000-0005-0000-0000-0000B4010000}"/>
    <cellStyle name="Moneda 11 2 3 5" xfId="438" xr:uid="{00000000-0005-0000-0000-0000B5010000}"/>
    <cellStyle name="Moneda 11 2 4" xfId="439" xr:uid="{00000000-0005-0000-0000-0000B6010000}"/>
    <cellStyle name="Moneda 11 2 4 2" xfId="440" xr:uid="{00000000-0005-0000-0000-0000B7010000}"/>
    <cellStyle name="Moneda 11 2 5" xfId="441" xr:uid="{00000000-0005-0000-0000-0000B8010000}"/>
    <cellStyle name="Moneda 11 2 5 2" xfId="442" xr:uid="{00000000-0005-0000-0000-0000B9010000}"/>
    <cellStyle name="Moneda 11 2 6" xfId="443" xr:uid="{00000000-0005-0000-0000-0000BA010000}"/>
    <cellStyle name="Moneda 11 2 6 2" xfId="444" xr:uid="{00000000-0005-0000-0000-0000BB010000}"/>
    <cellStyle name="Moneda 11 2 7" xfId="445" xr:uid="{00000000-0005-0000-0000-0000BC010000}"/>
    <cellStyle name="Moneda 11 2 8" xfId="446" xr:uid="{00000000-0005-0000-0000-0000BD010000}"/>
    <cellStyle name="Moneda 11 3" xfId="447" xr:uid="{00000000-0005-0000-0000-0000BE010000}"/>
    <cellStyle name="Moneda 11 3 2" xfId="448" xr:uid="{00000000-0005-0000-0000-0000BF010000}"/>
    <cellStyle name="Moneda 11 3 2 2" xfId="449" xr:uid="{00000000-0005-0000-0000-0000C0010000}"/>
    <cellStyle name="Moneda 11 3 2 2 2" xfId="450" xr:uid="{00000000-0005-0000-0000-0000C1010000}"/>
    <cellStyle name="Moneda 11 3 2 2 2 2" xfId="451" xr:uid="{00000000-0005-0000-0000-0000C2010000}"/>
    <cellStyle name="Moneda 11 3 2 2 3" xfId="452" xr:uid="{00000000-0005-0000-0000-0000C3010000}"/>
    <cellStyle name="Moneda 11 3 2 2 3 2" xfId="453" xr:uid="{00000000-0005-0000-0000-0000C4010000}"/>
    <cellStyle name="Moneda 11 3 2 2 4" xfId="454" xr:uid="{00000000-0005-0000-0000-0000C5010000}"/>
    <cellStyle name="Moneda 11 3 2 2 4 2" xfId="455" xr:uid="{00000000-0005-0000-0000-0000C6010000}"/>
    <cellStyle name="Moneda 11 3 2 2 5" xfId="456" xr:uid="{00000000-0005-0000-0000-0000C7010000}"/>
    <cellStyle name="Moneda 11 3 2 3" xfId="457" xr:uid="{00000000-0005-0000-0000-0000C8010000}"/>
    <cellStyle name="Moneda 11 3 2 3 2" xfId="458" xr:uid="{00000000-0005-0000-0000-0000C9010000}"/>
    <cellStyle name="Moneda 11 3 2 4" xfId="459" xr:uid="{00000000-0005-0000-0000-0000CA010000}"/>
    <cellStyle name="Moneda 11 3 2 4 2" xfId="460" xr:uid="{00000000-0005-0000-0000-0000CB010000}"/>
    <cellStyle name="Moneda 11 3 2 5" xfId="461" xr:uid="{00000000-0005-0000-0000-0000CC010000}"/>
    <cellStyle name="Moneda 11 3 2 5 2" xfId="462" xr:uid="{00000000-0005-0000-0000-0000CD010000}"/>
    <cellStyle name="Moneda 11 3 2 6" xfId="463" xr:uid="{00000000-0005-0000-0000-0000CE010000}"/>
    <cellStyle name="Moneda 11 3 3" xfId="464" xr:uid="{00000000-0005-0000-0000-0000CF010000}"/>
    <cellStyle name="Moneda 11 3 3 2" xfId="465" xr:uid="{00000000-0005-0000-0000-0000D0010000}"/>
    <cellStyle name="Moneda 11 3 3 2 2" xfId="466" xr:uid="{00000000-0005-0000-0000-0000D1010000}"/>
    <cellStyle name="Moneda 11 3 3 3" xfId="467" xr:uid="{00000000-0005-0000-0000-0000D2010000}"/>
    <cellStyle name="Moneda 11 3 3 3 2" xfId="468" xr:uid="{00000000-0005-0000-0000-0000D3010000}"/>
    <cellStyle name="Moneda 11 3 3 4" xfId="469" xr:uid="{00000000-0005-0000-0000-0000D4010000}"/>
    <cellStyle name="Moneda 11 3 3 4 2" xfId="470" xr:uid="{00000000-0005-0000-0000-0000D5010000}"/>
    <cellStyle name="Moneda 11 3 3 5" xfId="471" xr:uid="{00000000-0005-0000-0000-0000D6010000}"/>
    <cellStyle name="Moneda 11 3 4" xfId="472" xr:uid="{00000000-0005-0000-0000-0000D7010000}"/>
    <cellStyle name="Moneda 11 3 4 2" xfId="473" xr:uid="{00000000-0005-0000-0000-0000D8010000}"/>
    <cellStyle name="Moneda 11 3 5" xfId="474" xr:uid="{00000000-0005-0000-0000-0000D9010000}"/>
    <cellStyle name="Moneda 11 3 5 2" xfId="475" xr:uid="{00000000-0005-0000-0000-0000DA010000}"/>
    <cellStyle name="Moneda 11 3 6" xfId="476" xr:uid="{00000000-0005-0000-0000-0000DB010000}"/>
    <cellStyle name="Moneda 11 3 6 2" xfId="477" xr:uid="{00000000-0005-0000-0000-0000DC010000}"/>
    <cellStyle name="Moneda 11 3 7" xfId="478" xr:uid="{00000000-0005-0000-0000-0000DD010000}"/>
    <cellStyle name="Moneda 11 4" xfId="479" xr:uid="{00000000-0005-0000-0000-0000DE010000}"/>
    <cellStyle name="Moneda 11 4 2" xfId="480" xr:uid="{00000000-0005-0000-0000-0000DF010000}"/>
    <cellStyle name="Moneda 11 4 2 2" xfId="481" xr:uid="{00000000-0005-0000-0000-0000E0010000}"/>
    <cellStyle name="Moneda 11 4 2 2 2" xfId="482" xr:uid="{00000000-0005-0000-0000-0000E1010000}"/>
    <cellStyle name="Moneda 11 4 2 2 2 2" xfId="483" xr:uid="{00000000-0005-0000-0000-0000E2010000}"/>
    <cellStyle name="Moneda 11 4 2 2 3" xfId="484" xr:uid="{00000000-0005-0000-0000-0000E3010000}"/>
    <cellStyle name="Moneda 11 4 2 2 3 2" xfId="485" xr:uid="{00000000-0005-0000-0000-0000E4010000}"/>
    <cellStyle name="Moneda 11 4 2 2 4" xfId="486" xr:uid="{00000000-0005-0000-0000-0000E5010000}"/>
    <cellStyle name="Moneda 11 4 2 2 4 2" xfId="487" xr:uid="{00000000-0005-0000-0000-0000E6010000}"/>
    <cellStyle name="Moneda 11 4 2 2 5" xfId="488" xr:uid="{00000000-0005-0000-0000-0000E7010000}"/>
    <cellStyle name="Moneda 11 4 2 3" xfId="489" xr:uid="{00000000-0005-0000-0000-0000E8010000}"/>
    <cellStyle name="Moneda 11 4 2 3 2" xfId="490" xr:uid="{00000000-0005-0000-0000-0000E9010000}"/>
    <cellStyle name="Moneda 11 4 2 4" xfId="491" xr:uid="{00000000-0005-0000-0000-0000EA010000}"/>
    <cellStyle name="Moneda 11 4 2 4 2" xfId="492" xr:uid="{00000000-0005-0000-0000-0000EB010000}"/>
    <cellStyle name="Moneda 11 4 2 5" xfId="493" xr:uid="{00000000-0005-0000-0000-0000EC010000}"/>
    <cellStyle name="Moneda 11 4 2 5 2" xfId="494" xr:uid="{00000000-0005-0000-0000-0000ED010000}"/>
    <cellStyle name="Moneda 11 4 2 6" xfId="495" xr:uid="{00000000-0005-0000-0000-0000EE010000}"/>
    <cellStyle name="Moneda 11 4 3" xfId="496" xr:uid="{00000000-0005-0000-0000-0000EF010000}"/>
    <cellStyle name="Moneda 11 4 3 2" xfId="497" xr:uid="{00000000-0005-0000-0000-0000F0010000}"/>
    <cellStyle name="Moneda 11 4 3 2 2" xfId="498" xr:uid="{00000000-0005-0000-0000-0000F1010000}"/>
    <cellStyle name="Moneda 11 4 3 3" xfId="499" xr:uid="{00000000-0005-0000-0000-0000F2010000}"/>
    <cellStyle name="Moneda 11 4 3 3 2" xfId="500" xr:uid="{00000000-0005-0000-0000-0000F3010000}"/>
    <cellStyle name="Moneda 11 4 3 4" xfId="501" xr:uid="{00000000-0005-0000-0000-0000F4010000}"/>
    <cellStyle name="Moneda 11 4 3 4 2" xfId="502" xr:uid="{00000000-0005-0000-0000-0000F5010000}"/>
    <cellStyle name="Moneda 11 4 3 5" xfId="503" xr:uid="{00000000-0005-0000-0000-0000F6010000}"/>
    <cellStyle name="Moneda 11 4 4" xfId="504" xr:uid="{00000000-0005-0000-0000-0000F7010000}"/>
    <cellStyle name="Moneda 11 4 4 2" xfId="505" xr:uid="{00000000-0005-0000-0000-0000F8010000}"/>
    <cellStyle name="Moneda 11 4 5" xfId="506" xr:uid="{00000000-0005-0000-0000-0000F9010000}"/>
    <cellStyle name="Moneda 11 4 5 2" xfId="507" xr:uid="{00000000-0005-0000-0000-0000FA010000}"/>
    <cellStyle name="Moneda 11 4 6" xfId="508" xr:uid="{00000000-0005-0000-0000-0000FB010000}"/>
    <cellStyle name="Moneda 11 4 6 2" xfId="509" xr:uid="{00000000-0005-0000-0000-0000FC010000}"/>
    <cellStyle name="Moneda 11 4 7" xfId="510" xr:uid="{00000000-0005-0000-0000-0000FD010000}"/>
    <cellStyle name="Moneda 11 5" xfId="511" xr:uid="{00000000-0005-0000-0000-0000FE010000}"/>
    <cellStyle name="Moneda 11 5 2" xfId="512" xr:uid="{00000000-0005-0000-0000-0000FF010000}"/>
    <cellStyle name="Moneda 11 5 2 2" xfId="513" xr:uid="{00000000-0005-0000-0000-000000020000}"/>
    <cellStyle name="Moneda 11 5 2 2 2" xfId="514" xr:uid="{00000000-0005-0000-0000-000001020000}"/>
    <cellStyle name="Moneda 11 5 2 3" xfId="515" xr:uid="{00000000-0005-0000-0000-000002020000}"/>
    <cellStyle name="Moneda 11 5 2 3 2" xfId="516" xr:uid="{00000000-0005-0000-0000-000003020000}"/>
    <cellStyle name="Moneda 11 5 2 4" xfId="517" xr:uid="{00000000-0005-0000-0000-000004020000}"/>
    <cellStyle name="Moneda 11 5 2 4 2" xfId="518" xr:uid="{00000000-0005-0000-0000-000005020000}"/>
    <cellStyle name="Moneda 11 5 2 5" xfId="519" xr:uid="{00000000-0005-0000-0000-000006020000}"/>
    <cellStyle name="Moneda 11 5 3" xfId="520" xr:uid="{00000000-0005-0000-0000-000007020000}"/>
    <cellStyle name="Moneda 11 5 3 2" xfId="521" xr:uid="{00000000-0005-0000-0000-000008020000}"/>
    <cellStyle name="Moneda 11 5 4" xfId="522" xr:uid="{00000000-0005-0000-0000-000009020000}"/>
    <cellStyle name="Moneda 11 5 4 2" xfId="523" xr:uid="{00000000-0005-0000-0000-00000A020000}"/>
    <cellStyle name="Moneda 11 5 5" xfId="524" xr:uid="{00000000-0005-0000-0000-00000B020000}"/>
    <cellStyle name="Moneda 11 5 5 2" xfId="525" xr:uid="{00000000-0005-0000-0000-00000C020000}"/>
    <cellStyle name="Moneda 11 5 6" xfId="526" xr:uid="{00000000-0005-0000-0000-00000D020000}"/>
    <cellStyle name="Moneda 11 6" xfId="527" xr:uid="{00000000-0005-0000-0000-00000E020000}"/>
    <cellStyle name="Moneda 11 6 2" xfId="528" xr:uid="{00000000-0005-0000-0000-00000F020000}"/>
    <cellStyle name="Moneda 11 6 2 2" xfId="529" xr:uid="{00000000-0005-0000-0000-000010020000}"/>
    <cellStyle name="Moneda 11 6 3" xfId="530" xr:uid="{00000000-0005-0000-0000-000011020000}"/>
    <cellStyle name="Moneda 11 6 3 2" xfId="531" xr:uid="{00000000-0005-0000-0000-000012020000}"/>
    <cellStyle name="Moneda 11 6 4" xfId="532" xr:uid="{00000000-0005-0000-0000-000013020000}"/>
    <cellStyle name="Moneda 11 6 4 2" xfId="533" xr:uid="{00000000-0005-0000-0000-000014020000}"/>
    <cellStyle name="Moneda 11 6 5" xfId="534" xr:uid="{00000000-0005-0000-0000-000015020000}"/>
    <cellStyle name="Moneda 11 7" xfId="535" xr:uid="{00000000-0005-0000-0000-000016020000}"/>
    <cellStyle name="Moneda 11 7 2" xfId="536" xr:uid="{00000000-0005-0000-0000-000017020000}"/>
    <cellStyle name="Moneda 11 8" xfId="537" xr:uid="{00000000-0005-0000-0000-000018020000}"/>
    <cellStyle name="Moneda 11 8 2" xfId="538" xr:uid="{00000000-0005-0000-0000-000019020000}"/>
    <cellStyle name="Moneda 11 9" xfId="539" xr:uid="{00000000-0005-0000-0000-00001A020000}"/>
    <cellStyle name="Moneda 11 9 2" xfId="540" xr:uid="{00000000-0005-0000-0000-00001B020000}"/>
    <cellStyle name="Moneda 12" xfId="541" xr:uid="{00000000-0005-0000-0000-00001C020000}"/>
    <cellStyle name="Moneda 12 2" xfId="542" xr:uid="{00000000-0005-0000-0000-00001D020000}"/>
    <cellStyle name="Moneda 12 2 2" xfId="543" xr:uid="{00000000-0005-0000-0000-00001E020000}"/>
    <cellStyle name="Moneda 12 2 2 2" xfId="544" xr:uid="{00000000-0005-0000-0000-00001F020000}"/>
    <cellStyle name="Moneda 12 2 2 2 2" xfId="545" xr:uid="{00000000-0005-0000-0000-000020020000}"/>
    <cellStyle name="Moneda 12 2 2 2 2 2" xfId="546" xr:uid="{00000000-0005-0000-0000-000021020000}"/>
    <cellStyle name="Moneda 12 2 2 2 3" xfId="547" xr:uid="{00000000-0005-0000-0000-000022020000}"/>
    <cellStyle name="Moneda 12 2 2 2 3 2" xfId="548" xr:uid="{00000000-0005-0000-0000-000023020000}"/>
    <cellStyle name="Moneda 12 2 2 2 4" xfId="549" xr:uid="{00000000-0005-0000-0000-000024020000}"/>
    <cellStyle name="Moneda 12 2 2 2 4 2" xfId="550" xr:uid="{00000000-0005-0000-0000-000025020000}"/>
    <cellStyle name="Moneda 12 2 2 2 5" xfId="551" xr:uid="{00000000-0005-0000-0000-000026020000}"/>
    <cellStyle name="Moneda 12 2 2 3" xfId="552" xr:uid="{00000000-0005-0000-0000-000027020000}"/>
    <cellStyle name="Moneda 12 2 2 3 2" xfId="553" xr:uid="{00000000-0005-0000-0000-000028020000}"/>
    <cellStyle name="Moneda 12 2 2 4" xfId="554" xr:uid="{00000000-0005-0000-0000-000029020000}"/>
    <cellStyle name="Moneda 12 2 2 4 2" xfId="555" xr:uid="{00000000-0005-0000-0000-00002A020000}"/>
    <cellStyle name="Moneda 12 2 2 5" xfId="556" xr:uid="{00000000-0005-0000-0000-00002B020000}"/>
    <cellStyle name="Moneda 12 2 2 5 2" xfId="557" xr:uid="{00000000-0005-0000-0000-00002C020000}"/>
    <cellStyle name="Moneda 12 2 2 6" xfId="558" xr:uid="{00000000-0005-0000-0000-00002D020000}"/>
    <cellStyle name="Moneda 12 2 3" xfId="559" xr:uid="{00000000-0005-0000-0000-00002E020000}"/>
    <cellStyle name="Moneda 12 2 3 2" xfId="560" xr:uid="{00000000-0005-0000-0000-00002F020000}"/>
    <cellStyle name="Moneda 12 2 3 2 2" xfId="561" xr:uid="{00000000-0005-0000-0000-000030020000}"/>
    <cellStyle name="Moneda 12 2 3 3" xfId="562" xr:uid="{00000000-0005-0000-0000-000031020000}"/>
    <cellStyle name="Moneda 12 2 3 3 2" xfId="563" xr:uid="{00000000-0005-0000-0000-000032020000}"/>
    <cellStyle name="Moneda 12 2 3 4" xfId="564" xr:uid="{00000000-0005-0000-0000-000033020000}"/>
    <cellStyle name="Moneda 12 2 3 4 2" xfId="565" xr:uid="{00000000-0005-0000-0000-000034020000}"/>
    <cellStyle name="Moneda 12 2 3 5" xfId="566" xr:uid="{00000000-0005-0000-0000-000035020000}"/>
    <cellStyle name="Moneda 12 2 4" xfId="567" xr:uid="{00000000-0005-0000-0000-000036020000}"/>
    <cellStyle name="Moneda 12 2 4 2" xfId="568" xr:uid="{00000000-0005-0000-0000-000037020000}"/>
    <cellStyle name="Moneda 12 2 5" xfId="569" xr:uid="{00000000-0005-0000-0000-000038020000}"/>
    <cellStyle name="Moneda 12 2 5 2" xfId="570" xr:uid="{00000000-0005-0000-0000-000039020000}"/>
    <cellStyle name="Moneda 12 2 6" xfId="571" xr:uid="{00000000-0005-0000-0000-00003A020000}"/>
    <cellStyle name="Moneda 12 2 6 2" xfId="572" xr:uid="{00000000-0005-0000-0000-00003B020000}"/>
    <cellStyle name="Moneda 12 2 7" xfId="573" xr:uid="{00000000-0005-0000-0000-00003C020000}"/>
    <cellStyle name="Moneda 12 2 8" xfId="574" xr:uid="{00000000-0005-0000-0000-00003D020000}"/>
    <cellStyle name="Moneda 12 3" xfId="575" xr:uid="{00000000-0005-0000-0000-00003E020000}"/>
    <cellStyle name="Moneda 12 3 2" xfId="576" xr:uid="{00000000-0005-0000-0000-00003F020000}"/>
    <cellStyle name="Moneda 12 3 2 2" xfId="577" xr:uid="{00000000-0005-0000-0000-000040020000}"/>
    <cellStyle name="Moneda 12 3 2 2 2" xfId="578" xr:uid="{00000000-0005-0000-0000-000041020000}"/>
    <cellStyle name="Moneda 12 3 2 3" xfId="579" xr:uid="{00000000-0005-0000-0000-000042020000}"/>
    <cellStyle name="Moneda 12 3 2 3 2" xfId="580" xr:uid="{00000000-0005-0000-0000-000043020000}"/>
    <cellStyle name="Moneda 12 3 2 4" xfId="581" xr:uid="{00000000-0005-0000-0000-000044020000}"/>
    <cellStyle name="Moneda 12 3 2 4 2" xfId="582" xr:uid="{00000000-0005-0000-0000-000045020000}"/>
    <cellStyle name="Moneda 12 3 2 5" xfId="583" xr:uid="{00000000-0005-0000-0000-000046020000}"/>
    <cellStyle name="Moneda 12 3 3" xfId="584" xr:uid="{00000000-0005-0000-0000-000047020000}"/>
    <cellStyle name="Moneda 12 3 3 2" xfId="585" xr:uid="{00000000-0005-0000-0000-000048020000}"/>
    <cellStyle name="Moneda 12 3 4" xfId="586" xr:uid="{00000000-0005-0000-0000-000049020000}"/>
    <cellStyle name="Moneda 12 3 4 2" xfId="587" xr:uid="{00000000-0005-0000-0000-00004A020000}"/>
    <cellStyle name="Moneda 12 3 5" xfId="588" xr:uid="{00000000-0005-0000-0000-00004B020000}"/>
    <cellStyle name="Moneda 12 3 5 2" xfId="589" xr:uid="{00000000-0005-0000-0000-00004C020000}"/>
    <cellStyle name="Moneda 12 3 6" xfId="590" xr:uid="{00000000-0005-0000-0000-00004D020000}"/>
    <cellStyle name="Moneda 12 4" xfId="591" xr:uid="{00000000-0005-0000-0000-00004E020000}"/>
    <cellStyle name="Moneda 12 4 2" xfId="592" xr:uid="{00000000-0005-0000-0000-00004F020000}"/>
    <cellStyle name="Moneda 12 4 2 2" xfId="593" xr:uid="{00000000-0005-0000-0000-000050020000}"/>
    <cellStyle name="Moneda 12 4 3" xfId="594" xr:uid="{00000000-0005-0000-0000-000051020000}"/>
    <cellStyle name="Moneda 12 4 3 2" xfId="595" xr:uid="{00000000-0005-0000-0000-000052020000}"/>
    <cellStyle name="Moneda 12 4 4" xfId="596" xr:uid="{00000000-0005-0000-0000-000053020000}"/>
    <cellStyle name="Moneda 12 4 4 2" xfId="597" xr:uid="{00000000-0005-0000-0000-000054020000}"/>
    <cellStyle name="Moneda 12 4 5" xfId="598" xr:uid="{00000000-0005-0000-0000-000055020000}"/>
    <cellStyle name="Moneda 12 5" xfId="599" xr:uid="{00000000-0005-0000-0000-000056020000}"/>
    <cellStyle name="Moneda 12 5 2" xfId="600" xr:uid="{00000000-0005-0000-0000-000057020000}"/>
    <cellStyle name="Moneda 12 6" xfId="601" xr:uid="{00000000-0005-0000-0000-000058020000}"/>
    <cellStyle name="Moneda 12 6 2" xfId="602" xr:uid="{00000000-0005-0000-0000-000059020000}"/>
    <cellStyle name="Moneda 12 7" xfId="603" xr:uid="{00000000-0005-0000-0000-00005A020000}"/>
    <cellStyle name="Moneda 12 7 2" xfId="604" xr:uid="{00000000-0005-0000-0000-00005B020000}"/>
    <cellStyle name="Moneda 12 8" xfId="605" xr:uid="{00000000-0005-0000-0000-00005C020000}"/>
    <cellStyle name="Moneda 12 9" xfId="606" xr:uid="{00000000-0005-0000-0000-00005D020000}"/>
    <cellStyle name="Moneda 13" xfId="607" xr:uid="{00000000-0005-0000-0000-00005E020000}"/>
    <cellStyle name="Moneda 13 10" xfId="608" xr:uid="{00000000-0005-0000-0000-00005F020000}"/>
    <cellStyle name="Moneda 13 2" xfId="609" xr:uid="{00000000-0005-0000-0000-000060020000}"/>
    <cellStyle name="Moneda 13 2 2" xfId="610" xr:uid="{00000000-0005-0000-0000-000061020000}"/>
    <cellStyle name="Moneda 13 2 2 2" xfId="611" xr:uid="{00000000-0005-0000-0000-000062020000}"/>
    <cellStyle name="Moneda 13 2 2 2 2" xfId="612" xr:uid="{00000000-0005-0000-0000-000063020000}"/>
    <cellStyle name="Moneda 13 2 2 2 2 2" xfId="613" xr:uid="{00000000-0005-0000-0000-000064020000}"/>
    <cellStyle name="Moneda 13 2 2 2 3" xfId="614" xr:uid="{00000000-0005-0000-0000-000065020000}"/>
    <cellStyle name="Moneda 13 2 2 2 3 2" xfId="615" xr:uid="{00000000-0005-0000-0000-000066020000}"/>
    <cellStyle name="Moneda 13 2 2 2 4" xfId="616" xr:uid="{00000000-0005-0000-0000-000067020000}"/>
    <cellStyle name="Moneda 13 2 2 2 4 2" xfId="617" xr:uid="{00000000-0005-0000-0000-000068020000}"/>
    <cellStyle name="Moneda 13 2 2 2 5" xfId="618" xr:uid="{00000000-0005-0000-0000-000069020000}"/>
    <cellStyle name="Moneda 13 2 2 3" xfId="619" xr:uid="{00000000-0005-0000-0000-00006A020000}"/>
    <cellStyle name="Moneda 13 2 2 3 2" xfId="620" xr:uid="{00000000-0005-0000-0000-00006B020000}"/>
    <cellStyle name="Moneda 13 2 2 4" xfId="621" xr:uid="{00000000-0005-0000-0000-00006C020000}"/>
    <cellStyle name="Moneda 13 2 2 4 2" xfId="622" xr:uid="{00000000-0005-0000-0000-00006D020000}"/>
    <cellStyle name="Moneda 13 2 2 5" xfId="623" xr:uid="{00000000-0005-0000-0000-00006E020000}"/>
    <cellStyle name="Moneda 13 2 2 5 2" xfId="624" xr:uid="{00000000-0005-0000-0000-00006F020000}"/>
    <cellStyle name="Moneda 13 2 2 6" xfId="625" xr:uid="{00000000-0005-0000-0000-000070020000}"/>
    <cellStyle name="Moneda 13 2 3" xfId="626" xr:uid="{00000000-0005-0000-0000-000071020000}"/>
    <cellStyle name="Moneda 13 2 3 2" xfId="627" xr:uid="{00000000-0005-0000-0000-000072020000}"/>
    <cellStyle name="Moneda 13 2 3 2 2" xfId="628" xr:uid="{00000000-0005-0000-0000-000073020000}"/>
    <cellStyle name="Moneda 13 2 3 3" xfId="629" xr:uid="{00000000-0005-0000-0000-000074020000}"/>
    <cellStyle name="Moneda 13 2 3 3 2" xfId="630" xr:uid="{00000000-0005-0000-0000-000075020000}"/>
    <cellStyle name="Moneda 13 2 3 4" xfId="631" xr:uid="{00000000-0005-0000-0000-000076020000}"/>
    <cellStyle name="Moneda 13 2 3 4 2" xfId="632" xr:uid="{00000000-0005-0000-0000-000077020000}"/>
    <cellStyle name="Moneda 13 2 3 5" xfId="633" xr:uid="{00000000-0005-0000-0000-000078020000}"/>
    <cellStyle name="Moneda 13 2 4" xfId="634" xr:uid="{00000000-0005-0000-0000-000079020000}"/>
    <cellStyle name="Moneda 13 2 4 2" xfId="635" xr:uid="{00000000-0005-0000-0000-00007A020000}"/>
    <cellStyle name="Moneda 13 2 5" xfId="636" xr:uid="{00000000-0005-0000-0000-00007B020000}"/>
    <cellStyle name="Moneda 13 2 5 2" xfId="637" xr:uid="{00000000-0005-0000-0000-00007C020000}"/>
    <cellStyle name="Moneda 13 2 6" xfId="638" xr:uid="{00000000-0005-0000-0000-00007D020000}"/>
    <cellStyle name="Moneda 13 2 6 2" xfId="639" xr:uid="{00000000-0005-0000-0000-00007E020000}"/>
    <cellStyle name="Moneda 13 2 7" xfId="640" xr:uid="{00000000-0005-0000-0000-00007F020000}"/>
    <cellStyle name="Moneda 13 2 8" xfId="641" xr:uid="{00000000-0005-0000-0000-000080020000}"/>
    <cellStyle name="Moneda 13 3" xfId="642" xr:uid="{00000000-0005-0000-0000-000081020000}"/>
    <cellStyle name="Moneda 13 3 2" xfId="643" xr:uid="{00000000-0005-0000-0000-000082020000}"/>
    <cellStyle name="Moneda 13 3 2 2" xfId="644" xr:uid="{00000000-0005-0000-0000-000083020000}"/>
    <cellStyle name="Moneda 13 3 2 2 2" xfId="645" xr:uid="{00000000-0005-0000-0000-000084020000}"/>
    <cellStyle name="Moneda 13 3 2 3" xfId="646" xr:uid="{00000000-0005-0000-0000-000085020000}"/>
    <cellStyle name="Moneda 13 3 2 3 2" xfId="647" xr:uid="{00000000-0005-0000-0000-000086020000}"/>
    <cellStyle name="Moneda 13 3 2 4" xfId="648" xr:uid="{00000000-0005-0000-0000-000087020000}"/>
    <cellStyle name="Moneda 13 3 2 4 2" xfId="649" xr:uid="{00000000-0005-0000-0000-000088020000}"/>
    <cellStyle name="Moneda 13 3 2 5" xfId="650" xr:uid="{00000000-0005-0000-0000-000089020000}"/>
    <cellStyle name="Moneda 13 3 3" xfId="651" xr:uid="{00000000-0005-0000-0000-00008A020000}"/>
    <cellStyle name="Moneda 13 3 3 2" xfId="652" xr:uid="{00000000-0005-0000-0000-00008B020000}"/>
    <cellStyle name="Moneda 13 3 4" xfId="653" xr:uid="{00000000-0005-0000-0000-00008C020000}"/>
    <cellStyle name="Moneda 13 3 4 2" xfId="654" xr:uid="{00000000-0005-0000-0000-00008D020000}"/>
    <cellStyle name="Moneda 13 3 5" xfId="655" xr:uid="{00000000-0005-0000-0000-00008E020000}"/>
    <cellStyle name="Moneda 13 3 5 2" xfId="656" xr:uid="{00000000-0005-0000-0000-00008F020000}"/>
    <cellStyle name="Moneda 13 3 6" xfId="657" xr:uid="{00000000-0005-0000-0000-000090020000}"/>
    <cellStyle name="Moneda 13 4" xfId="658" xr:uid="{00000000-0005-0000-0000-000091020000}"/>
    <cellStyle name="Moneda 13 4 2" xfId="659" xr:uid="{00000000-0005-0000-0000-000092020000}"/>
    <cellStyle name="Moneda 13 4 2 2" xfId="660" xr:uid="{00000000-0005-0000-0000-000093020000}"/>
    <cellStyle name="Moneda 13 4 3" xfId="661" xr:uid="{00000000-0005-0000-0000-000094020000}"/>
    <cellStyle name="Moneda 13 4 3 2" xfId="662" xr:uid="{00000000-0005-0000-0000-000095020000}"/>
    <cellStyle name="Moneda 13 4 4" xfId="663" xr:uid="{00000000-0005-0000-0000-000096020000}"/>
    <cellStyle name="Moneda 13 4 4 2" xfId="664" xr:uid="{00000000-0005-0000-0000-000097020000}"/>
    <cellStyle name="Moneda 13 4 5" xfId="665" xr:uid="{00000000-0005-0000-0000-000098020000}"/>
    <cellStyle name="Moneda 13 5" xfId="666" xr:uid="{00000000-0005-0000-0000-000099020000}"/>
    <cellStyle name="Moneda 13 5 2" xfId="667" xr:uid="{00000000-0005-0000-0000-00009A020000}"/>
    <cellStyle name="Moneda 13 5 2 2" xfId="668" xr:uid="{00000000-0005-0000-0000-00009B020000}"/>
    <cellStyle name="Moneda 13 5 3" xfId="669" xr:uid="{00000000-0005-0000-0000-00009C020000}"/>
    <cellStyle name="Moneda 13 5 3 2" xfId="670" xr:uid="{00000000-0005-0000-0000-00009D020000}"/>
    <cellStyle name="Moneda 13 5 4" xfId="671" xr:uid="{00000000-0005-0000-0000-00009E020000}"/>
    <cellStyle name="Moneda 13 5 4 2" xfId="672" xr:uid="{00000000-0005-0000-0000-00009F020000}"/>
    <cellStyle name="Moneda 13 5 5" xfId="673" xr:uid="{00000000-0005-0000-0000-0000A0020000}"/>
    <cellStyle name="Moneda 13 6" xfId="674" xr:uid="{00000000-0005-0000-0000-0000A1020000}"/>
    <cellStyle name="Moneda 13 6 2" xfId="675" xr:uid="{00000000-0005-0000-0000-0000A2020000}"/>
    <cellStyle name="Moneda 13 7" xfId="676" xr:uid="{00000000-0005-0000-0000-0000A3020000}"/>
    <cellStyle name="Moneda 13 7 2" xfId="677" xr:uid="{00000000-0005-0000-0000-0000A4020000}"/>
    <cellStyle name="Moneda 13 8" xfId="678" xr:uid="{00000000-0005-0000-0000-0000A5020000}"/>
    <cellStyle name="Moneda 13 8 2" xfId="679" xr:uid="{00000000-0005-0000-0000-0000A6020000}"/>
    <cellStyle name="Moneda 13 9" xfId="680" xr:uid="{00000000-0005-0000-0000-0000A7020000}"/>
    <cellStyle name="Moneda 14" xfId="681" xr:uid="{00000000-0005-0000-0000-0000A8020000}"/>
    <cellStyle name="Moneda 14 2" xfId="682" xr:uid="{00000000-0005-0000-0000-0000A9020000}"/>
    <cellStyle name="Moneda 14 2 2" xfId="683" xr:uid="{00000000-0005-0000-0000-0000AA020000}"/>
    <cellStyle name="Moneda 14 2 2 2" xfId="684" xr:uid="{00000000-0005-0000-0000-0000AB020000}"/>
    <cellStyle name="Moneda 14 2 2 2 2" xfId="685" xr:uid="{00000000-0005-0000-0000-0000AC020000}"/>
    <cellStyle name="Moneda 14 2 2 2 2 2" xfId="686" xr:uid="{00000000-0005-0000-0000-0000AD020000}"/>
    <cellStyle name="Moneda 14 2 2 2 3" xfId="687" xr:uid="{00000000-0005-0000-0000-0000AE020000}"/>
    <cellStyle name="Moneda 14 2 2 2 3 2" xfId="688" xr:uid="{00000000-0005-0000-0000-0000AF020000}"/>
    <cellStyle name="Moneda 14 2 2 2 4" xfId="689" xr:uid="{00000000-0005-0000-0000-0000B0020000}"/>
    <cellStyle name="Moneda 14 2 2 2 4 2" xfId="690" xr:uid="{00000000-0005-0000-0000-0000B1020000}"/>
    <cellStyle name="Moneda 14 2 2 2 5" xfId="691" xr:uid="{00000000-0005-0000-0000-0000B2020000}"/>
    <cellStyle name="Moneda 14 2 2 3" xfId="692" xr:uid="{00000000-0005-0000-0000-0000B3020000}"/>
    <cellStyle name="Moneda 14 2 2 3 2" xfId="693" xr:uid="{00000000-0005-0000-0000-0000B4020000}"/>
    <cellStyle name="Moneda 14 2 2 4" xfId="694" xr:uid="{00000000-0005-0000-0000-0000B5020000}"/>
    <cellStyle name="Moneda 14 2 2 4 2" xfId="695" xr:uid="{00000000-0005-0000-0000-0000B6020000}"/>
    <cellStyle name="Moneda 14 2 2 5" xfId="696" xr:uid="{00000000-0005-0000-0000-0000B7020000}"/>
    <cellStyle name="Moneda 14 2 2 5 2" xfId="697" xr:uid="{00000000-0005-0000-0000-0000B8020000}"/>
    <cellStyle name="Moneda 14 2 2 6" xfId="698" xr:uid="{00000000-0005-0000-0000-0000B9020000}"/>
    <cellStyle name="Moneda 14 2 3" xfId="699" xr:uid="{00000000-0005-0000-0000-0000BA020000}"/>
    <cellStyle name="Moneda 14 2 3 2" xfId="700" xr:uid="{00000000-0005-0000-0000-0000BB020000}"/>
    <cellStyle name="Moneda 14 2 3 2 2" xfId="701" xr:uid="{00000000-0005-0000-0000-0000BC020000}"/>
    <cellStyle name="Moneda 14 2 3 3" xfId="702" xr:uid="{00000000-0005-0000-0000-0000BD020000}"/>
    <cellStyle name="Moneda 14 2 3 3 2" xfId="703" xr:uid="{00000000-0005-0000-0000-0000BE020000}"/>
    <cellStyle name="Moneda 14 2 3 4" xfId="704" xr:uid="{00000000-0005-0000-0000-0000BF020000}"/>
    <cellStyle name="Moneda 14 2 3 4 2" xfId="705" xr:uid="{00000000-0005-0000-0000-0000C0020000}"/>
    <cellStyle name="Moneda 14 2 3 5" xfId="706" xr:uid="{00000000-0005-0000-0000-0000C1020000}"/>
    <cellStyle name="Moneda 14 2 4" xfId="707" xr:uid="{00000000-0005-0000-0000-0000C2020000}"/>
    <cellStyle name="Moneda 14 2 4 2" xfId="708" xr:uid="{00000000-0005-0000-0000-0000C3020000}"/>
    <cellStyle name="Moneda 14 2 5" xfId="709" xr:uid="{00000000-0005-0000-0000-0000C4020000}"/>
    <cellStyle name="Moneda 14 2 5 2" xfId="710" xr:uid="{00000000-0005-0000-0000-0000C5020000}"/>
    <cellStyle name="Moneda 14 2 6" xfId="711" xr:uid="{00000000-0005-0000-0000-0000C6020000}"/>
    <cellStyle name="Moneda 14 2 6 2" xfId="712" xr:uid="{00000000-0005-0000-0000-0000C7020000}"/>
    <cellStyle name="Moneda 14 2 7" xfId="713" xr:uid="{00000000-0005-0000-0000-0000C8020000}"/>
    <cellStyle name="Moneda 14 2 8" xfId="714" xr:uid="{00000000-0005-0000-0000-0000C9020000}"/>
    <cellStyle name="Moneda 14 3" xfId="715" xr:uid="{00000000-0005-0000-0000-0000CA020000}"/>
    <cellStyle name="Moneda 14 3 2" xfId="716" xr:uid="{00000000-0005-0000-0000-0000CB020000}"/>
    <cellStyle name="Moneda 14 3 2 2" xfId="717" xr:uid="{00000000-0005-0000-0000-0000CC020000}"/>
    <cellStyle name="Moneda 14 3 2 2 2" xfId="718" xr:uid="{00000000-0005-0000-0000-0000CD020000}"/>
    <cellStyle name="Moneda 14 3 2 3" xfId="719" xr:uid="{00000000-0005-0000-0000-0000CE020000}"/>
    <cellStyle name="Moneda 14 3 2 3 2" xfId="720" xr:uid="{00000000-0005-0000-0000-0000CF020000}"/>
    <cellStyle name="Moneda 14 3 2 4" xfId="721" xr:uid="{00000000-0005-0000-0000-0000D0020000}"/>
    <cellStyle name="Moneda 14 3 2 4 2" xfId="722" xr:uid="{00000000-0005-0000-0000-0000D1020000}"/>
    <cellStyle name="Moneda 14 3 2 5" xfId="723" xr:uid="{00000000-0005-0000-0000-0000D2020000}"/>
    <cellStyle name="Moneda 14 3 3" xfId="724" xr:uid="{00000000-0005-0000-0000-0000D3020000}"/>
    <cellStyle name="Moneda 14 3 3 2" xfId="725" xr:uid="{00000000-0005-0000-0000-0000D4020000}"/>
    <cellStyle name="Moneda 14 3 4" xfId="726" xr:uid="{00000000-0005-0000-0000-0000D5020000}"/>
    <cellStyle name="Moneda 14 3 4 2" xfId="727" xr:uid="{00000000-0005-0000-0000-0000D6020000}"/>
    <cellStyle name="Moneda 14 3 5" xfId="728" xr:uid="{00000000-0005-0000-0000-0000D7020000}"/>
    <cellStyle name="Moneda 14 3 5 2" xfId="729" xr:uid="{00000000-0005-0000-0000-0000D8020000}"/>
    <cellStyle name="Moneda 14 3 6" xfId="730" xr:uid="{00000000-0005-0000-0000-0000D9020000}"/>
    <cellStyle name="Moneda 14 4" xfId="731" xr:uid="{00000000-0005-0000-0000-0000DA020000}"/>
    <cellStyle name="Moneda 14 4 2" xfId="732" xr:uid="{00000000-0005-0000-0000-0000DB020000}"/>
    <cellStyle name="Moneda 14 4 2 2" xfId="733" xr:uid="{00000000-0005-0000-0000-0000DC020000}"/>
    <cellStyle name="Moneda 14 4 3" xfId="734" xr:uid="{00000000-0005-0000-0000-0000DD020000}"/>
    <cellStyle name="Moneda 14 4 3 2" xfId="735" xr:uid="{00000000-0005-0000-0000-0000DE020000}"/>
    <cellStyle name="Moneda 14 4 4" xfId="736" xr:uid="{00000000-0005-0000-0000-0000DF020000}"/>
    <cellStyle name="Moneda 14 4 4 2" xfId="737" xr:uid="{00000000-0005-0000-0000-0000E0020000}"/>
    <cellStyle name="Moneda 14 4 5" xfId="738" xr:uid="{00000000-0005-0000-0000-0000E1020000}"/>
    <cellStyle name="Moneda 14 5" xfId="739" xr:uid="{00000000-0005-0000-0000-0000E2020000}"/>
    <cellStyle name="Moneda 14 5 2" xfId="740" xr:uid="{00000000-0005-0000-0000-0000E3020000}"/>
    <cellStyle name="Moneda 14 6" xfId="741" xr:uid="{00000000-0005-0000-0000-0000E4020000}"/>
    <cellStyle name="Moneda 14 6 2" xfId="742" xr:uid="{00000000-0005-0000-0000-0000E5020000}"/>
    <cellStyle name="Moneda 14 7" xfId="743" xr:uid="{00000000-0005-0000-0000-0000E6020000}"/>
    <cellStyle name="Moneda 14 7 2" xfId="744" xr:uid="{00000000-0005-0000-0000-0000E7020000}"/>
    <cellStyle name="Moneda 14 8" xfId="745" xr:uid="{00000000-0005-0000-0000-0000E8020000}"/>
    <cellStyle name="Moneda 14 9" xfId="746" xr:uid="{00000000-0005-0000-0000-0000E9020000}"/>
    <cellStyle name="Moneda 15" xfId="747" xr:uid="{00000000-0005-0000-0000-0000EA020000}"/>
    <cellStyle name="Moneda 15 2" xfId="748" xr:uid="{00000000-0005-0000-0000-0000EB020000}"/>
    <cellStyle name="Moneda 15 2 2" xfId="749" xr:uid="{00000000-0005-0000-0000-0000EC020000}"/>
    <cellStyle name="Moneda 15 2 2 2" xfId="750" xr:uid="{00000000-0005-0000-0000-0000ED020000}"/>
    <cellStyle name="Moneda 15 2 2 2 2" xfId="751" xr:uid="{00000000-0005-0000-0000-0000EE020000}"/>
    <cellStyle name="Moneda 15 2 2 2 2 2" xfId="752" xr:uid="{00000000-0005-0000-0000-0000EF020000}"/>
    <cellStyle name="Moneda 15 2 2 2 3" xfId="753" xr:uid="{00000000-0005-0000-0000-0000F0020000}"/>
    <cellStyle name="Moneda 15 2 2 2 3 2" xfId="754" xr:uid="{00000000-0005-0000-0000-0000F1020000}"/>
    <cellStyle name="Moneda 15 2 2 2 4" xfId="755" xr:uid="{00000000-0005-0000-0000-0000F2020000}"/>
    <cellStyle name="Moneda 15 2 2 2 4 2" xfId="756" xr:uid="{00000000-0005-0000-0000-0000F3020000}"/>
    <cellStyle name="Moneda 15 2 2 2 5" xfId="757" xr:uid="{00000000-0005-0000-0000-0000F4020000}"/>
    <cellStyle name="Moneda 15 2 2 3" xfId="758" xr:uid="{00000000-0005-0000-0000-0000F5020000}"/>
    <cellStyle name="Moneda 15 2 2 3 2" xfId="759" xr:uid="{00000000-0005-0000-0000-0000F6020000}"/>
    <cellStyle name="Moneda 15 2 2 4" xfId="760" xr:uid="{00000000-0005-0000-0000-0000F7020000}"/>
    <cellStyle name="Moneda 15 2 2 4 2" xfId="761" xr:uid="{00000000-0005-0000-0000-0000F8020000}"/>
    <cellStyle name="Moneda 15 2 2 5" xfId="762" xr:uid="{00000000-0005-0000-0000-0000F9020000}"/>
    <cellStyle name="Moneda 15 2 2 5 2" xfId="763" xr:uid="{00000000-0005-0000-0000-0000FA020000}"/>
    <cellStyle name="Moneda 15 2 2 6" xfId="764" xr:uid="{00000000-0005-0000-0000-0000FB020000}"/>
    <cellStyle name="Moneda 15 2 3" xfId="765" xr:uid="{00000000-0005-0000-0000-0000FC020000}"/>
    <cellStyle name="Moneda 15 2 3 2" xfId="766" xr:uid="{00000000-0005-0000-0000-0000FD020000}"/>
    <cellStyle name="Moneda 15 2 3 2 2" xfId="767" xr:uid="{00000000-0005-0000-0000-0000FE020000}"/>
    <cellStyle name="Moneda 15 2 3 3" xfId="768" xr:uid="{00000000-0005-0000-0000-0000FF020000}"/>
    <cellStyle name="Moneda 15 2 3 3 2" xfId="769" xr:uid="{00000000-0005-0000-0000-000000030000}"/>
    <cellStyle name="Moneda 15 2 3 4" xfId="770" xr:uid="{00000000-0005-0000-0000-000001030000}"/>
    <cellStyle name="Moneda 15 2 3 4 2" xfId="771" xr:uid="{00000000-0005-0000-0000-000002030000}"/>
    <cellStyle name="Moneda 15 2 3 5" xfId="772" xr:uid="{00000000-0005-0000-0000-000003030000}"/>
    <cellStyle name="Moneda 15 2 4" xfId="773" xr:uid="{00000000-0005-0000-0000-000004030000}"/>
    <cellStyle name="Moneda 15 2 4 2" xfId="774" xr:uid="{00000000-0005-0000-0000-000005030000}"/>
    <cellStyle name="Moneda 15 2 5" xfId="775" xr:uid="{00000000-0005-0000-0000-000006030000}"/>
    <cellStyle name="Moneda 15 2 5 2" xfId="776" xr:uid="{00000000-0005-0000-0000-000007030000}"/>
    <cellStyle name="Moneda 15 2 6" xfId="777" xr:uid="{00000000-0005-0000-0000-000008030000}"/>
    <cellStyle name="Moneda 15 2 6 2" xfId="778" xr:uid="{00000000-0005-0000-0000-000009030000}"/>
    <cellStyle name="Moneda 15 2 7" xfId="779" xr:uid="{00000000-0005-0000-0000-00000A030000}"/>
    <cellStyle name="Moneda 15 2 8" xfId="780" xr:uid="{00000000-0005-0000-0000-00000B030000}"/>
    <cellStyle name="Moneda 15 3" xfId="781" xr:uid="{00000000-0005-0000-0000-00000C030000}"/>
    <cellStyle name="Moneda 15 3 2" xfId="782" xr:uid="{00000000-0005-0000-0000-00000D030000}"/>
    <cellStyle name="Moneda 15 3 2 2" xfId="783" xr:uid="{00000000-0005-0000-0000-00000E030000}"/>
    <cellStyle name="Moneda 15 3 2 2 2" xfId="784" xr:uid="{00000000-0005-0000-0000-00000F030000}"/>
    <cellStyle name="Moneda 15 3 2 3" xfId="785" xr:uid="{00000000-0005-0000-0000-000010030000}"/>
    <cellStyle name="Moneda 15 3 2 3 2" xfId="786" xr:uid="{00000000-0005-0000-0000-000011030000}"/>
    <cellStyle name="Moneda 15 3 2 4" xfId="787" xr:uid="{00000000-0005-0000-0000-000012030000}"/>
    <cellStyle name="Moneda 15 3 2 4 2" xfId="788" xr:uid="{00000000-0005-0000-0000-000013030000}"/>
    <cellStyle name="Moneda 15 3 2 5" xfId="789" xr:uid="{00000000-0005-0000-0000-000014030000}"/>
    <cellStyle name="Moneda 15 3 3" xfId="790" xr:uid="{00000000-0005-0000-0000-000015030000}"/>
    <cellStyle name="Moneda 15 3 3 2" xfId="791" xr:uid="{00000000-0005-0000-0000-000016030000}"/>
    <cellStyle name="Moneda 15 3 4" xfId="792" xr:uid="{00000000-0005-0000-0000-000017030000}"/>
    <cellStyle name="Moneda 15 3 4 2" xfId="793" xr:uid="{00000000-0005-0000-0000-000018030000}"/>
    <cellStyle name="Moneda 15 3 5" xfId="794" xr:uid="{00000000-0005-0000-0000-000019030000}"/>
    <cellStyle name="Moneda 15 3 5 2" xfId="795" xr:uid="{00000000-0005-0000-0000-00001A030000}"/>
    <cellStyle name="Moneda 15 3 6" xfId="796" xr:uid="{00000000-0005-0000-0000-00001B030000}"/>
    <cellStyle name="Moneda 15 4" xfId="797" xr:uid="{00000000-0005-0000-0000-00001C030000}"/>
    <cellStyle name="Moneda 15 4 2" xfId="798" xr:uid="{00000000-0005-0000-0000-00001D030000}"/>
    <cellStyle name="Moneda 15 4 2 2" xfId="799" xr:uid="{00000000-0005-0000-0000-00001E030000}"/>
    <cellStyle name="Moneda 15 4 3" xfId="800" xr:uid="{00000000-0005-0000-0000-00001F030000}"/>
    <cellStyle name="Moneda 15 4 3 2" xfId="801" xr:uid="{00000000-0005-0000-0000-000020030000}"/>
    <cellStyle name="Moneda 15 4 4" xfId="802" xr:uid="{00000000-0005-0000-0000-000021030000}"/>
    <cellStyle name="Moneda 15 4 4 2" xfId="803" xr:uid="{00000000-0005-0000-0000-000022030000}"/>
    <cellStyle name="Moneda 15 4 5" xfId="804" xr:uid="{00000000-0005-0000-0000-000023030000}"/>
    <cellStyle name="Moneda 15 5" xfId="805" xr:uid="{00000000-0005-0000-0000-000024030000}"/>
    <cellStyle name="Moneda 15 5 2" xfId="806" xr:uid="{00000000-0005-0000-0000-000025030000}"/>
    <cellStyle name="Moneda 15 6" xfId="807" xr:uid="{00000000-0005-0000-0000-000026030000}"/>
    <cellStyle name="Moneda 15 6 2" xfId="808" xr:uid="{00000000-0005-0000-0000-000027030000}"/>
    <cellStyle name="Moneda 15 7" xfId="809" xr:uid="{00000000-0005-0000-0000-000028030000}"/>
    <cellStyle name="Moneda 15 7 2" xfId="810" xr:uid="{00000000-0005-0000-0000-000029030000}"/>
    <cellStyle name="Moneda 15 8" xfId="811" xr:uid="{00000000-0005-0000-0000-00002A030000}"/>
    <cellStyle name="Moneda 15 9" xfId="812" xr:uid="{00000000-0005-0000-0000-00002B030000}"/>
    <cellStyle name="Moneda 16" xfId="813" xr:uid="{00000000-0005-0000-0000-00002C030000}"/>
    <cellStyle name="Moneda 16 2" xfId="814" xr:uid="{00000000-0005-0000-0000-00002D030000}"/>
    <cellStyle name="Moneda 16 2 2" xfId="815" xr:uid="{00000000-0005-0000-0000-00002E030000}"/>
    <cellStyle name="Moneda 16 2 2 2" xfId="816" xr:uid="{00000000-0005-0000-0000-00002F030000}"/>
    <cellStyle name="Moneda 16 2 2 2 2" xfId="817" xr:uid="{00000000-0005-0000-0000-000030030000}"/>
    <cellStyle name="Moneda 16 2 2 3" xfId="818" xr:uid="{00000000-0005-0000-0000-000031030000}"/>
    <cellStyle name="Moneda 16 2 2 3 2" xfId="819" xr:uid="{00000000-0005-0000-0000-000032030000}"/>
    <cellStyle name="Moneda 16 2 2 4" xfId="820" xr:uid="{00000000-0005-0000-0000-000033030000}"/>
    <cellStyle name="Moneda 16 2 2 4 2" xfId="821" xr:uid="{00000000-0005-0000-0000-000034030000}"/>
    <cellStyle name="Moneda 16 2 2 5" xfId="822" xr:uid="{00000000-0005-0000-0000-000035030000}"/>
    <cellStyle name="Moneda 16 2 3" xfId="823" xr:uid="{00000000-0005-0000-0000-000036030000}"/>
    <cellStyle name="Moneda 16 2 3 2" xfId="824" xr:uid="{00000000-0005-0000-0000-000037030000}"/>
    <cellStyle name="Moneda 16 2 4" xfId="825" xr:uid="{00000000-0005-0000-0000-000038030000}"/>
    <cellStyle name="Moneda 16 2 4 2" xfId="826" xr:uid="{00000000-0005-0000-0000-000039030000}"/>
    <cellStyle name="Moneda 16 2 5" xfId="827" xr:uid="{00000000-0005-0000-0000-00003A030000}"/>
    <cellStyle name="Moneda 16 2 5 2" xfId="828" xr:uid="{00000000-0005-0000-0000-00003B030000}"/>
    <cellStyle name="Moneda 16 2 6" xfId="829" xr:uid="{00000000-0005-0000-0000-00003C030000}"/>
    <cellStyle name="Moneda 16 2 7" xfId="830" xr:uid="{00000000-0005-0000-0000-00003D030000}"/>
    <cellStyle name="Moneda 16 3" xfId="831" xr:uid="{00000000-0005-0000-0000-00003E030000}"/>
    <cellStyle name="Moneda 16 3 2" xfId="832" xr:uid="{00000000-0005-0000-0000-00003F030000}"/>
    <cellStyle name="Moneda 16 3 2 2" xfId="833" xr:uid="{00000000-0005-0000-0000-000040030000}"/>
    <cellStyle name="Moneda 16 3 3" xfId="834" xr:uid="{00000000-0005-0000-0000-000041030000}"/>
    <cellStyle name="Moneda 16 3 3 2" xfId="835" xr:uid="{00000000-0005-0000-0000-000042030000}"/>
    <cellStyle name="Moneda 16 3 4" xfId="836" xr:uid="{00000000-0005-0000-0000-000043030000}"/>
    <cellStyle name="Moneda 16 3 4 2" xfId="837" xr:uid="{00000000-0005-0000-0000-000044030000}"/>
    <cellStyle name="Moneda 16 3 5" xfId="838" xr:uid="{00000000-0005-0000-0000-000045030000}"/>
    <cellStyle name="Moneda 16 4" xfId="839" xr:uid="{00000000-0005-0000-0000-000046030000}"/>
    <cellStyle name="Moneda 16 4 2" xfId="840" xr:uid="{00000000-0005-0000-0000-000047030000}"/>
    <cellStyle name="Moneda 16 5" xfId="841" xr:uid="{00000000-0005-0000-0000-000048030000}"/>
    <cellStyle name="Moneda 16 5 2" xfId="842" xr:uid="{00000000-0005-0000-0000-000049030000}"/>
    <cellStyle name="Moneda 16 6" xfId="843" xr:uid="{00000000-0005-0000-0000-00004A030000}"/>
    <cellStyle name="Moneda 16 6 2" xfId="844" xr:uid="{00000000-0005-0000-0000-00004B030000}"/>
    <cellStyle name="Moneda 16 7" xfId="845" xr:uid="{00000000-0005-0000-0000-00004C030000}"/>
    <cellStyle name="Moneda 16 8" xfId="846" xr:uid="{00000000-0005-0000-0000-00004D030000}"/>
    <cellStyle name="Moneda 17" xfId="847" xr:uid="{00000000-0005-0000-0000-00004E030000}"/>
    <cellStyle name="Moneda 17 2" xfId="848" xr:uid="{00000000-0005-0000-0000-00004F030000}"/>
    <cellStyle name="Moneda 17 2 2" xfId="849" xr:uid="{00000000-0005-0000-0000-000050030000}"/>
    <cellStyle name="Moneda 17 2 2 2" xfId="850" xr:uid="{00000000-0005-0000-0000-000051030000}"/>
    <cellStyle name="Moneda 17 2 2 2 2" xfId="851" xr:uid="{00000000-0005-0000-0000-000052030000}"/>
    <cellStyle name="Moneda 17 2 2 3" xfId="852" xr:uid="{00000000-0005-0000-0000-000053030000}"/>
    <cellStyle name="Moneda 17 2 2 3 2" xfId="853" xr:uid="{00000000-0005-0000-0000-000054030000}"/>
    <cellStyle name="Moneda 17 2 2 4" xfId="854" xr:uid="{00000000-0005-0000-0000-000055030000}"/>
    <cellStyle name="Moneda 17 2 2 4 2" xfId="855" xr:uid="{00000000-0005-0000-0000-000056030000}"/>
    <cellStyle name="Moneda 17 2 2 5" xfId="856" xr:uid="{00000000-0005-0000-0000-000057030000}"/>
    <cellStyle name="Moneda 17 2 3" xfId="857" xr:uid="{00000000-0005-0000-0000-000058030000}"/>
    <cellStyle name="Moneda 17 2 3 2" xfId="858" xr:uid="{00000000-0005-0000-0000-000059030000}"/>
    <cellStyle name="Moneda 17 2 4" xfId="859" xr:uid="{00000000-0005-0000-0000-00005A030000}"/>
    <cellStyle name="Moneda 17 2 4 2" xfId="860" xr:uid="{00000000-0005-0000-0000-00005B030000}"/>
    <cellStyle name="Moneda 17 2 5" xfId="861" xr:uid="{00000000-0005-0000-0000-00005C030000}"/>
    <cellStyle name="Moneda 17 2 5 2" xfId="862" xr:uid="{00000000-0005-0000-0000-00005D030000}"/>
    <cellStyle name="Moneda 17 2 6" xfId="863" xr:uid="{00000000-0005-0000-0000-00005E030000}"/>
    <cellStyle name="Moneda 17 2 7" xfId="864" xr:uid="{00000000-0005-0000-0000-00005F030000}"/>
    <cellStyle name="Moneda 17 3" xfId="865" xr:uid="{00000000-0005-0000-0000-000060030000}"/>
    <cellStyle name="Moneda 17 3 2" xfId="866" xr:uid="{00000000-0005-0000-0000-000061030000}"/>
    <cellStyle name="Moneda 17 3 2 2" xfId="867" xr:uid="{00000000-0005-0000-0000-000062030000}"/>
    <cellStyle name="Moneda 17 3 3" xfId="868" xr:uid="{00000000-0005-0000-0000-000063030000}"/>
    <cellStyle name="Moneda 17 3 3 2" xfId="869" xr:uid="{00000000-0005-0000-0000-000064030000}"/>
    <cellStyle name="Moneda 17 3 4" xfId="870" xr:uid="{00000000-0005-0000-0000-000065030000}"/>
    <cellStyle name="Moneda 17 3 4 2" xfId="871" xr:uid="{00000000-0005-0000-0000-000066030000}"/>
    <cellStyle name="Moneda 17 3 5" xfId="872" xr:uid="{00000000-0005-0000-0000-000067030000}"/>
    <cellStyle name="Moneda 17 4" xfId="873" xr:uid="{00000000-0005-0000-0000-000068030000}"/>
    <cellStyle name="Moneda 17 4 2" xfId="874" xr:uid="{00000000-0005-0000-0000-000069030000}"/>
    <cellStyle name="Moneda 17 5" xfId="875" xr:uid="{00000000-0005-0000-0000-00006A030000}"/>
    <cellStyle name="Moneda 17 5 2" xfId="876" xr:uid="{00000000-0005-0000-0000-00006B030000}"/>
    <cellStyle name="Moneda 17 6" xfId="877" xr:uid="{00000000-0005-0000-0000-00006C030000}"/>
    <cellStyle name="Moneda 17 6 2" xfId="878" xr:uid="{00000000-0005-0000-0000-00006D030000}"/>
    <cellStyle name="Moneda 17 7" xfId="879" xr:uid="{00000000-0005-0000-0000-00006E030000}"/>
    <cellStyle name="Moneda 17 8" xfId="880" xr:uid="{00000000-0005-0000-0000-00006F030000}"/>
    <cellStyle name="Moneda 18" xfId="881" xr:uid="{00000000-0005-0000-0000-000070030000}"/>
    <cellStyle name="Moneda 18 2" xfId="882" xr:uid="{00000000-0005-0000-0000-000071030000}"/>
    <cellStyle name="Moneda 18 2 2" xfId="883" xr:uid="{00000000-0005-0000-0000-000072030000}"/>
    <cellStyle name="Moneda 18 2 2 2" xfId="884" xr:uid="{00000000-0005-0000-0000-000073030000}"/>
    <cellStyle name="Moneda 18 2 2 2 2" xfId="885" xr:uid="{00000000-0005-0000-0000-000074030000}"/>
    <cellStyle name="Moneda 18 2 2 3" xfId="886" xr:uid="{00000000-0005-0000-0000-000075030000}"/>
    <cellStyle name="Moneda 18 2 2 3 2" xfId="887" xr:uid="{00000000-0005-0000-0000-000076030000}"/>
    <cellStyle name="Moneda 18 2 2 4" xfId="888" xr:uid="{00000000-0005-0000-0000-000077030000}"/>
    <cellStyle name="Moneda 18 2 2 4 2" xfId="889" xr:uid="{00000000-0005-0000-0000-000078030000}"/>
    <cellStyle name="Moneda 18 2 2 5" xfId="890" xr:uid="{00000000-0005-0000-0000-000079030000}"/>
    <cellStyle name="Moneda 18 2 3" xfId="891" xr:uid="{00000000-0005-0000-0000-00007A030000}"/>
    <cellStyle name="Moneda 18 2 3 2" xfId="892" xr:uid="{00000000-0005-0000-0000-00007B030000}"/>
    <cellStyle name="Moneda 18 2 4" xfId="893" xr:uid="{00000000-0005-0000-0000-00007C030000}"/>
    <cellStyle name="Moneda 18 2 4 2" xfId="894" xr:uid="{00000000-0005-0000-0000-00007D030000}"/>
    <cellStyle name="Moneda 18 2 5" xfId="895" xr:uid="{00000000-0005-0000-0000-00007E030000}"/>
    <cellStyle name="Moneda 18 2 5 2" xfId="896" xr:uid="{00000000-0005-0000-0000-00007F030000}"/>
    <cellStyle name="Moneda 18 2 6" xfId="897" xr:uid="{00000000-0005-0000-0000-000080030000}"/>
    <cellStyle name="Moneda 18 2 7" xfId="898" xr:uid="{00000000-0005-0000-0000-000081030000}"/>
    <cellStyle name="Moneda 18 3" xfId="899" xr:uid="{00000000-0005-0000-0000-000082030000}"/>
    <cellStyle name="Moneda 18 3 2" xfId="900" xr:uid="{00000000-0005-0000-0000-000083030000}"/>
    <cellStyle name="Moneda 18 3 2 2" xfId="901" xr:uid="{00000000-0005-0000-0000-000084030000}"/>
    <cellStyle name="Moneda 18 3 3" xfId="902" xr:uid="{00000000-0005-0000-0000-000085030000}"/>
    <cellStyle name="Moneda 18 3 3 2" xfId="903" xr:uid="{00000000-0005-0000-0000-000086030000}"/>
    <cellStyle name="Moneda 18 3 4" xfId="904" xr:uid="{00000000-0005-0000-0000-000087030000}"/>
    <cellStyle name="Moneda 18 3 4 2" xfId="905" xr:uid="{00000000-0005-0000-0000-000088030000}"/>
    <cellStyle name="Moneda 18 3 5" xfId="906" xr:uid="{00000000-0005-0000-0000-000089030000}"/>
    <cellStyle name="Moneda 18 4" xfId="907" xr:uid="{00000000-0005-0000-0000-00008A030000}"/>
    <cellStyle name="Moneda 18 4 2" xfId="908" xr:uid="{00000000-0005-0000-0000-00008B030000}"/>
    <cellStyle name="Moneda 18 5" xfId="909" xr:uid="{00000000-0005-0000-0000-00008C030000}"/>
    <cellStyle name="Moneda 18 5 2" xfId="910" xr:uid="{00000000-0005-0000-0000-00008D030000}"/>
    <cellStyle name="Moneda 18 6" xfId="911" xr:uid="{00000000-0005-0000-0000-00008E030000}"/>
    <cellStyle name="Moneda 18 6 2" xfId="912" xr:uid="{00000000-0005-0000-0000-00008F030000}"/>
    <cellStyle name="Moneda 18 7" xfId="913" xr:uid="{00000000-0005-0000-0000-000090030000}"/>
    <cellStyle name="Moneda 18 8" xfId="914" xr:uid="{00000000-0005-0000-0000-000091030000}"/>
    <cellStyle name="Moneda 19" xfId="915" xr:uid="{00000000-0005-0000-0000-000092030000}"/>
    <cellStyle name="Moneda 19 2" xfId="916" xr:uid="{00000000-0005-0000-0000-000093030000}"/>
    <cellStyle name="Moneda 19 2 2" xfId="917" xr:uid="{00000000-0005-0000-0000-000094030000}"/>
    <cellStyle name="Moneda 19 2 2 2" xfId="918" xr:uid="{00000000-0005-0000-0000-000095030000}"/>
    <cellStyle name="Moneda 19 2 2 2 2" xfId="919" xr:uid="{00000000-0005-0000-0000-000096030000}"/>
    <cellStyle name="Moneda 19 2 2 3" xfId="920" xr:uid="{00000000-0005-0000-0000-000097030000}"/>
    <cellStyle name="Moneda 19 2 2 3 2" xfId="921" xr:uid="{00000000-0005-0000-0000-000098030000}"/>
    <cellStyle name="Moneda 19 2 2 4" xfId="922" xr:uid="{00000000-0005-0000-0000-000099030000}"/>
    <cellStyle name="Moneda 19 2 2 4 2" xfId="923" xr:uid="{00000000-0005-0000-0000-00009A030000}"/>
    <cellStyle name="Moneda 19 2 2 5" xfId="924" xr:uid="{00000000-0005-0000-0000-00009B030000}"/>
    <cellStyle name="Moneda 19 2 3" xfId="925" xr:uid="{00000000-0005-0000-0000-00009C030000}"/>
    <cellStyle name="Moneda 19 2 3 2" xfId="926" xr:uid="{00000000-0005-0000-0000-00009D030000}"/>
    <cellStyle name="Moneda 19 2 4" xfId="927" xr:uid="{00000000-0005-0000-0000-00009E030000}"/>
    <cellStyle name="Moneda 19 2 4 2" xfId="928" xr:uid="{00000000-0005-0000-0000-00009F030000}"/>
    <cellStyle name="Moneda 19 2 5" xfId="929" xr:uid="{00000000-0005-0000-0000-0000A0030000}"/>
    <cellStyle name="Moneda 19 2 5 2" xfId="930" xr:uid="{00000000-0005-0000-0000-0000A1030000}"/>
    <cellStyle name="Moneda 19 2 6" xfId="931" xr:uid="{00000000-0005-0000-0000-0000A2030000}"/>
    <cellStyle name="Moneda 19 2 7" xfId="932" xr:uid="{00000000-0005-0000-0000-0000A3030000}"/>
    <cellStyle name="Moneda 19 3" xfId="933" xr:uid="{00000000-0005-0000-0000-0000A4030000}"/>
    <cellStyle name="Moneda 19 3 2" xfId="934" xr:uid="{00000000-0005-0000-0000-0000A5030000}"/>
    <cellStyle name="Moneda 19 3 2 2" xfId="935" xr:uid="{00000000-0005-0000-0000-0000A6030000}"/>
    <cellStyle name="Moneda 19 3 3" xfId="936" xr:uid="{00000000-0005-0000-0000-0000A7030000}"/>
    <cellStyle name="Moneda 19 3 3 2" xfId="937" xr:uid="{00000000-0005-0000-0000-0000A8030000}"/>
    <cellStyle name="Moneda 19 3 4" xfId="938" xr:uid="{00000000-0005-0000-0000-0000A9030000}"/>
    <cellStyle name="Moneda 19 3 4 2" xfId="939" xr:uid="{00000000-0005-0000-0000-0000AA030000}"/>
    <cellStyle name="Moneda 19 3 5" xfId="940" xr:uid="{00000000-0005-0000-0000-0000AB030000}"/>
    <cellStyle name="Moneda 19 4" xfId="941" xr:uid="{00000000-0005-0000-0000-0000AC030000}"/>
    <cellStyle name="Moneda 19 4 2" xfId="942" xr:uid="{00000000-0005-0000-0000-0000AD030000}"/>
    <cellStyle name="Moneda 19 5" xfId="943" xr:uid="{00000000-0005-0000-0000-0000AE030000}"/>
    <cellStyle name="Moneda 19 5 2" xfId="944" xr:uid="{00000000-0005-0000-0000-0000AF030000}"/>
    <cellStyle name="Moneda 19 6" xfId="945" xr:uid="{00000000-0005-0000-0000-0000B0030000}"/>
    <cellStyle name="Moneda 19 6 2" xfId="946" xr:uid="{00000000-0005-0000-0000-0000B1030000}"/>
    <cellStyle name="Moneda 19 7" xfId="947" xr:uid="{00000000-0005-0000-0000-0000B2030000}"/>
    <cellStyle name="Moneda 19 8" xfId="948" xr:uid="{00000000-0005-0000-0000-0000B3030000}"/>
    <cellStyle name="Moneda 2" xfId="949" xr:uid="{00000000-0005-0000-0000-0000B4030000}"/>
    <cellStyle name="Moneda 2 2" xfId="950" xr:uid="{00000000-0005-0000-0000-0000B5030000}"/>
    <cellStyle name="Moneda 2 2 2" xfId="951" xr:uid="{00000000-0005-0000-0000-0000B6030000}"/>
    <cellStyle name="Moneda 2 2 3" xfId="952" xr:uid="{00000000-0005-0000-0000-0000B7030000}"/>
    <cellStyle name="Moneda 2 2 3 2" xfId="953" xr:uid="{00000000-0005-0000-0000-0000B8030000}"/>
    <cellStyle name="Moneda 2 3" xfId="954" xr:uid="{00000000-0005-0000-0000-0000B9030000}"/>
    <cellStyle name="Moneda 2 3 10" xfId="955" xr:uid="{00000000-0005-0000-0000-0000BA030000}"/>
    <cellStyle name="Moneda 2 3 10 2" xfId="956" xr:uid="{00000000-0005-0000-0000-0000BB030000}"/>
    <cellStyle name="Moneda 2 3 10 2 2" xfId="957" xr:uid="{00000000-0005-0000-0000-0000BC030000}"/>
    <cellStyle name="Moneda 2 3 10 3" xfId="958" xr:uid="{00000000-0005-0000-0000-0000BD030000}"/>
    <cellStyle name="Moneda 2 3 11" xfId="959" xr:uid="{00000000-0005-0000-0000-0000BE030000}"/>
    <cellStyle name="Moneda 2 3 11 2" xfId="960" xr:uid="{00000000-0005-0000-0000-0000BF030000}"/>
    <cellStyle name="Moneda 2 3 11 3" xfId="961" xr:uid="{00000000-0005-0000-0000-0000C0030000}"/>
    <cellStyle name="Moneda 2 3 12" xfId="962" xr:uid="{00000000-0005-0000-0000-0000C1030000}"/>
    <cellStyle name="Moneda 2 3 2" xfId="963" xr:uid="{00000000-0005-0000-0000-0000C2030000}"/>
    <cellStyle name="Moneda 2 3 2 10" xfId="964" xr:uid="{00000000-0005-0000-0000-0000C3030000}"/>
    <cellStyle name="Moneda 2 3 2 11" xfId="965" xr:uid="{00000000-0005-0000-0000-0000C4030000}"/>
    <cellStyle name="Moneda 2 3 2 2" xfId="966" xr:uid="{00000000-0005-0000-0000-0000C5030000}"/>
    <cellStyle name="Moneda 2 3 2 2 2" xfId="967" xr:uid="{00000000-0005-0000-0000-0000C6030000}"/>
    <cellStyle name="Moneda 2 3 2 2 2 2" xfId="968" xr:uid="{00000000-0005-0000-0000-0000C7030000}"/>
    <cellStyle name="Moneda 2 3 2 2 2 2 2" xfId="969" xr:uid="{00000000-0005-0000-0000-0000C8030000}"/>
    <cellStyle name="Moneda 2 3 2 2 2 2 2 2" xfId="970" xr:uid="{00000000-0005-0000-0000-0000C9030000}"/>
    <cellStyle name="Moneda 2 3 2 2 2 2 2 2 2" xfId="971" xr:uid="{00000000-0005-0000-0000-0000CA030000}"/>
    <cellStyle name="Moneda 2 3 2 2 2 2 2 3" xfId="972" xr:uid="{00000000-0005-0000-0000-0000CB030000}"/>
    <cellStyle name="Moneda 2 3 2 2 2 2 3" xfId="973" xr:uid="{00000000-0005-0000-0000-0000CC030000}"/>
    <cellStyle name="Moneda 2 3 2 2 2 2 3 2" xfId="974" xr:uid="{00000000-0005-0000-0000-0000CD030000}"/>
    <cellStyle name="Moneda 2 3 2 2 2 2 3 3" xfId="975" xr:uid="{00000000-0005-0000-0000-0000CE030000}"/>
    <cellStyle name="Moneda 2 3 2 2 2 2 4" xfId="976" xr:uid="{00000000-0005-0000-0000-0000CF030000}"/>
    <cellStyle name="Moneda 2 3 2 2 2 2 4 2" xfId="977" xr:uid="{00000000-0005-0000-0000-0000D0030000}"/>
    <cellStyle name="Moneda 2 3 2 2 2 2 5" xfId="978" xr:uid="{00000000-0005-0000-0000-0000D1030000}"/>
    <cellStyle name="Moneda 2 3 2 2 2 2 6" xfId="979" xr:uid="{00000000-0005-0000-0000-0000D2030000}"/>
    <cellStyle name="Moneda 2 3 2 2 2 3" xfId="980" xr:uid="{00000000-0005-0000-0000-0000D3030000}"/>
    <cellStyle name="Moneda 2 3 2 2 2 3 2" xfId="981" xr:uid="{00000000-0005-0000-0000-0000D4030000}"/>
    <cellStyle name="Moneda 2 3 2 2 2 3 2 2" xfId="982" xr:uid="{00000000-0005-0000-0000-0000D5030000}"/>
    <cellStyle name="Moneda 2 3 2 2 2 3 3" xfId="983" xr:uid="{00000000-0005-0000-0000-0000D6030000}"/>
    <cellStyle name="Moneda 2 3 2 2 2 4" xfId="984" xr:uid="{00000000-0005-0000-0000-0000D7030000}"/>
    <cellStyle name="Moneda 2 3 2 2 2 4 2" xfId="985" xr:uid="{00000000-0005-0000-0000-0000D8030000}"/>
    <cellStyle name="Moneda 2 3 2 2 2 4 3" xfId="986" xr:uid="{00000000-0005-0000-0000-0000D9030000}"/>
    <cellStyle name="Moneda 2 3 2 2 2 5" xfId="987" xr:uid="{00000000-0005-0000-0000-0000DA030000}"/>
    <cellStyle name="Moneda 2 3 2 2 2 5 2" xfId="988" xr:uid="{00000000-0005-0000-0000-0000DB030000}"/>
    <cellStyle name="Moneda 2 3 2 2 2 6" xfId="989" xr:uid="{00000000-0005-0000-0000-0000DC030000}"/>
    <cellStyle name="Moneda 2 3 2 2 2 7" xfId="990" xr:uid="{00000000-0005-0000-0000-0000DD030000}"/>
    <cellStyle name="Moneda 2 3 2 2 3" xfId="991" xr:uid="{00000000-0005-0000-0000-0000DE030000}"/>
    <cellStyle name="Moneda 2 3 2 2 3 2" xfId="992" xr:uid="{00000000-0005-0000-0000-0000DF030000}"/>
    <cellStyle name="Moneda 2 3 2 2 3 2 2" xfId="993" xr:uid="{00000000-0005-0000-0000-0000E0030000}"/>
    <cellStyle name="Moneda 2 3 2 2 3 2 2 2" xfId="994" xr:uid="{00000000-0005-0000-0000-0000E1030000}"/>
    <cellStyle name="Moneda 2 3 2 2 3 2 2 3" xfId="995" xr:uid="{00000000-0005-0000-0000-0000E2030000}"/>
    <cellStyle name="Moneda 2 3 2 2 3 2 3" xfId="996" xr:uid="{00000000-0005-0000-0000-0000E3030000}"/>
    <cellStyle name="Moneda 2 3 2 2 3 2 4" xfId="997" xr:uid="{00000000-0005-0000-0000-0000E4030000}"/>
    <cellStyle name="Moneda 2 3 2 2 3 3" xfId="998" xr:uid="{00000000-0005-0000-0000-0000E5030000}"/>
    <cellStyle name="Moneda 2 3 2 2 3 3 2" xfId="999" xr:uid="{00000000-0005-0000-0000-0000E6030000}"/>
    <cellStyle name="Moneda 2 3 2 2 3 3 2 2" xfId="1000" xr:uid="{00000000-0005-0000-0000-0000E7030000}"/>
    <cellStyle name="Moneda 2 3 2 2 3 3 3" xfId="1001" xr:uid="{00000000-0005-0000-0000-0000E8030000}"/>
    <cellStyle name="Moneda 2 3 2 2 3 4" xfId="1002" xr:uid="{00000000-0005-0000-0000-0000E9030000}"/>
    <cellStyle name="Moneda 2 3 2 2 3 4 2" xfId="1003" xr:uid="{00000000-0005-0000-0000-0000EA030000}"/>
    <cellStyle name="Moneda 2 3 2 2 3 4 3" xfId="1004" xr:uid="{00000000-0005-0000-0000-0000EB030000}"/>
    <cellStyle name="Moneda 2 3 2 2 3 5" xfId="1005" xr:uid="{00000000-0005-0000-0000-0000EC030000}"/>
    <cellStyle name="Moneda 2 3 2 2 3 6" xfId="1006" xr:uid="{00000000-0005-0000-0000-0000ED030000}"/>
    <cellStyle name="Moneda 2 3 2 2 4" xfId="1007" xr:uid="{00000000-0005-0000-0000-0000EE030000}"/>
    <cellStyle name="Moneda 2 3 2 2 4 2" xfId="1008" xr:uid="{00000000-0005-0000-0000-0000EF030000}"/>
    <cellStyle name="Moneda 2 3 2 2 4 2 2" xfId="1009" xr:uid="{00000000-0005-0000-0000-0000F0030000}"/>
    <cellStyle name="Moneda 2 3 2 2 4 2 2 2" xfId="1010" xr:uid="{00000000-0005-0000-0000-0000F1030000}"/>
    <cellStyle name="Moneda 2 3 2 2 4 2 3" xfId="1011" xr:uid="{00000000-0005-0000-0000-0000F2030000}"/>
    <cellStyle name="Moneda 2 3 2 2 4 2 4" xfId="1012" xr:uid="{00000000-0005-0000-0000-0000F3030000}"/>
    <cellStyle name="Moneda 2 3 2 2 4 3" xfId="1013" xr:uid="{00000000-0005-0000-0000-0000F4030000}"/>
    <cellStyle name="Moneda 2 3 2 2 4 3 2" xfId="1014" xr:uid="{00000000-0005-0000-0000-0000F5030000}"/>
    <cellStyle name="Moneda 2 3 2 2 4 4" xfId="1015" xr:uid="{00000000-0005-0000-0000-0000F6030000}"/>
    <cellStyle name="Moneda 2 3 2 2 4 5" xfId="1016" xr:uid="{00000000-0005-0000-0000-0000F7030000}"/>
    <cellStyle name="Moneda 2 3 2 2 5" xfId="1017" xr:uid="{00000000-0005-0000-0000-0000F8030000}"/>
    <cellStyle name="Moneda 2 3 2 2 5 2" xfId="1018" xr:uid="{00000000-0005-0000-0000-0000F9030000}"/>
    <cellStyle name="Moneda 2 3 2 2 5 2 2" xfId="1019" xr:uid="{00000000-0005-0000-0000-0000FA030000}"/>
    <cellStyle name="Moneda 2 3 2 2 5 2 3" xfId="1020" xr:uid="{00000000-0005-0000-0000-0000FB030000}"/>
    <cellStyle name="Moneda 2 3 2 2 5 3" xfId="1021" xr:uid="{00000000-0005-0000-0000-0000FC030000}"/>
    <cellStyle name="Moneda 2 3 2 2 5 4" xfId="1022" xr:uid="{00000000-0005-0000-0000-0000FD030000}"/>
    <cellStyle name="Moneda 2 3 2 2 6" xfId="1023" xr:uid="{00000000-0005-0000-0000-0000FE030000}"/>
    <cellStyle name="Moneda 2 3 2 2 6 2" xfId="1024" xr:uid="{00000000-0005-0000-0000-0000FF030000}"/>
    <cellStyle name="Moneda 2 3 2 2 6 2 2" xfId="1025" xr:uid="{00000000-0005-0000-0000-000000040000}"/>
    <cellStyle name="Moneda 2 3 2 2 6 3" xfId="1026" xr:uid="{00000000-0005-0000-0000-000001040000}"/>
    <cellStyle name="Moneda 2 3 2 2 7" xfId="1027" xr:uid="{00000000-0005-0000-0000-000002040000}"/>
    <cellStyle name="Moneda 2 3 2 2 7 2" xfId="1028" xr:uid="{00000000-0005-0000-0000-000003040000}"/>
    <cellStyle name="Moneda 2 3 2 2 8" xfId="1029" xr:uid="{00000000-0005-0000-0000-000004040000}"/>
    <cellStyle name="Moneda 2 3 2 3" xfId="1030" xr:uid="{00000000-0005-0000-0000-000005040000}"/>
    <cellStyle name="Moneda 2 3 2 3 2" xfId="1031" xr:uid="{00000000-0005-0000-0000-000006040000}"/>
    <cellStyle name="Moneda 2 3 2 3 2 2" xfId="1032" xr:uid="{00000000-0005-0000-0000-000007040000}"/>
    <cellStyle name="Moneda 2 3 2 3 2 2 2" xfId="1033" xr:uid="{00000000-0005-0000-0000-000008040000}"/>
    <cellStyle name="Moneda 2 3 2 3 2 2 2 2" xfId="1034" xr:uid="{00000000-0005-0000-0000-000009040000}"/>
    <cellStyle name="Moneda 2 3 2 3 2 2 2 3" xfId="1035" xr:uid="{00000000-0005-0000-0000-00000A040000}"/>
    <cellStyle name="Moneda 2 3 2 3 2 2 3" xfId="1036" xr:uid="{00000000-0005-0000-0000-00000B040000}"/>
    <cellStyle name="Moneda 2 3 2 3 2 2 3 2" xfId="1037" xr:uid="{00000000-0005-0000-0000-00000C040000}"/>
    <cellStyle name="Moneda 2 3 2 3 2 2 4" xfId="1038" xr:uid="{00000000-0005-0000-0000-00000D040000}"/>
    <cellStyle name="Moneda 2 3 2 3 2 2 4 2" xfId="1039" xr:uid="{00000000-0005-0000-0000-00000E040000}"/>
    <cellStyle name="Moneda 2 3 2 3 2 2 5" xfId="1040" xr:uid="{00000000-0005-0000-0000-00000F040000}"/>
    <cellStyle name="Moneda 2 3 2 3 2 2 6" xfId="1041" xr:uid="{00000000-0005-0000-0000-000010040000}"/>
    <cellStyle name="Moneda 2 3 2 3 2 3" xfId="1042" xr:uid="{00000000-0005-0000-0000-000011040000}"/>
    <cellStyle name="Moneda 2 3 2 3 2 3 2" xfId="1043" xr:uid="{00000000-0005-0000-0000-000012040000}"/>
    <cellStyle name="Moneda 2 3 2 3 2 3 3" xfId="1044" xr:uid="{00000000-0005-0000-0000-000013040000}"/>
    <cellStyle name="Moneda 2 3 2 3 2 4" xfId="1045" xr:uid="{00000000-0005-0000-0000-000014040000}"/>
    <cellStyle name="Moneda 2 3 2 3 2 4 2" xfId="1046" xr:uid="{00000000-0005-0000-0000-000015040000}"/>
    <cellStyle name="Moneda 2 3 2 3 2 5" xfId="1047" xr:uid="{00000000-0005-0000-0000-000016040000}"/>
    <cellStyle name="Moneda 2 3 2 3 2 5 2" xfId="1048" xr:uid="{00000000-0005-0000-0000-000017040000}"/>
    <cellStyle name="Moneda 2 3 2 3 2 6" xfId="1049" xr:uid="{00000000-0005-0000-0000-000018040000}"/>
    <cellStyle name="Moneda 2 3 2 3 2 7" xfId="1050" xr:uid="{00000000-0005-0000-0000-000019040000}"/>
    <cellStyle name="Moneda 2 3 2 3 3" xfId="1051" xr:uid="{00000000-0005-0000-0000-00001A040000}"/>
    <cellStyle name="Moneda 2 3 2 3 3 2" xfId="1052" xr:uid="{00000000-0005-0000-0000-00001B040000}"/>
    <cellStyle name="Moneda 2 3 2 3 3 2 2" xfId="1053" xr:uid="{00000000-0005-0000-0000-00001C040000}"/>
    <cellStyle name="Moneda 2 3 2 3 3 2 3" xfId="1054" xr:uid="{00000000-0005-0000-0000-00001D040000}"/>
    <cellStyle name="Moneda 2 3 2 3 3 3" xfId="1055" xr:uid="{00000000-0005-0000-0000-00001E040000}"/>
    <cellStyle name="Moneda 2 3 2 3 3 3 2" xfId="1056" xr:uid="{00000000-0005-0000-0000-00001F040000}"/>
    <cellStyle name="Moneda 2 3 2 3 3 4" xfId="1057" xr:uid="{00000000-0005-0000-0000-000020040000}"/>
    <cellStyle name="Moneda 2 3 2 3 3 4 2" xfId="1058" xr:uid="{00000000-0005-0000-0000-000021040000}"/>
    <cellStyle name="Moneda 2 3 2 3 3 5" xfId="1059" xr:uid="{00000000-0005-0000-0000-000022040000}"/>
    <cellStyle name="Moneda 2 3 2 3 3 6" xfId="1060" xr:uid="{00000000-0005-0000-0000-000023040000}"/>
    <cellStyle name="Moneda 2 3 2 3 4" xfId="1061" xr:uid="{00000000-0005-0000-0000-000024040000}"/>
    <cellStyle name="Moneda 2 3 2 3 4 2" xfId="1062" xr:uid="{00000000-0005-0000-0000-000025040000}"/>
    <cellStyle name="Moneda 2 3 2 3 4 3" xfId="1063" xr:uid="{00000000-0005-0000-0000-000026040000}"/>
    <cellStyle name="Moneda 2 3 2 3 5" xfId="1064" xr:uid="{00000000-0005-0000-0000-000027040000}"/>
    <cellStyle name="Moneda 2 3 2 3 5 2" xfId="1065" xr:uid="{00000000-0005-0000-0000-000028040000}"/>
    <cellStyle name="Moneda 2 3 2 3 6" xfId="1066" xr:uid="{00000000-0005-0000-0000-000029040000}"/>
    <cellStyle name="Moneda 2 3 2 3 6 2" xfId="1067" xr:uid="{00000000-0005-0000-0000-00002A040000}"/>
    <cellStyle name="Moneda 2 3 2 3 7" xfId="1068" xr:uid="{00000000-0005-0000-0000-00002B040000}"/>
    <cellStyle name="Moneda 2 3 2 3 8" xfId="1069" xr:uid="{00000000-0005-0000-0000-00002C040000}"/>
    <cellStyle name="Moneda 2 3 2 4" xfId="1070" xr:uid="{00000000-0005-0000-0000-00002D040000}"/>
    <cellStyle name="Moneda 2 3 2 4 2" xfId="1071" xr:uid="{00000000-0005-0000-0000-00002E040000}"/>
    <cellStyle name="Moneda 2 3 2 4 2 2" xfId="1072" xr:uid="{00000000-0005-0000-0000-00002F040000}"/>
    <cellStyle name="Moneda 2 3 2 4 2 2 2" xfId="1073" xr:uid="{00000000-0005-0000-0000-000030040000}"/>
    <cellStyle name="Moneda 2 3 2 4 2 2 2 2" xfId="1074" xr:uid="{00000000-0005-0000-0000-000031040000}"/>
    <cellStyle name="Moneda 2 3 2 4 2 2 2 3" xfId="1075" xr:uid="{00000000-0005-0000-0000-000032040000}"/>
    <cellStyle name="Moneda 2 3 2 4 2 2 3" xfId="1076" xr:uid="{00000000-0005-0000-0000-000033040000}"/>
    <cellStyle name="Moneda 2 3 2 4 2 2 3 2" xfId="1077" xr:uid="{00000000-0005-0000-0000-000034040000}"/>
    <cellStyle name="Moneda 2 3 2 4 2 2 4" xfId="1078" xr:uid="{00000000-0005-0000-0000-000035040000}"/>
    <cellStyle name="Moneda 2 3 2 4 2 2 4 2" xfId="1079" xr:uid="{00000000-0005-0000-0000-000036040000}"/>
    <cellStyle name="Moneda 2 3 2 4 2 2 5" xfId="1080" xr:uid="{00000000-0005-0000-0000-000037040000}"/>
    <cellStyle name="Moneda 2 3 2 4 2 2 6" xfId="1081" xr:uid="{00000000-0005-0000-0000-000038040000}"/>
    <cellStyle name="Moneda 2 3 2 4 2 3" xfId="1082" xr:uid="{00000000-0005-0000-0000-000039040000}"/>
    <cellStyle name="Moneda 2 3 2 4 2 3 2" xfId="1083" xr:uid="{00000000-0005-0000-0000-00003A040000}"/>
    <cellStyle name="Moneda 2 3 2 4 2 3 3" xfId="1084" xr:uid="{00000000-0005-0000-0000-00003B040000}"/>
    <cellStyle name="Moneda 2 3 2 4 2 4" xfId="1085" xr:uid="{00000000-0005-0000-0000-00003C040000}"/>
    <cellStyle name="Moneda 2 3 2 4 2 4 2" xfId="1086" xr:uid="{00000000-0005-0000-0000-00003D040000}"/>
    <cellStyle name="Moneda 2 3 2 4 2 5" xfId="1087" xr:uid="{00000000-0005-0000-0000-00003E040000}"/>
    <cellStyle name="Moneda 2 3 2 4 2 5 2" xfId="1088" xr:uid="{00000000-0005-0000-0000-00003F040000}"/>
    <cellStyle name="Moneda 2 3 2 4 2 6" xfId="1089" xr:uid="{00000000-0005-0000-0000-000040040000}"/>
    <cellStyle name="Moneda 2 3 2 4 2 7" xfId="1090" xr:uid="{00000000-0005-0000-0000-000041040000}"/>
    <cellStyle name="Moneda 2 3 2 4 3" xfId="1091" xr:uid="{00000000-0005-0000-0000-000042040000}"/>
    <cellStyle name="Moneda 2 3 2 4 3 2" xfId="1092" xr:uid="{00000000-0005-0000-0000-000043040000}"/>
    <cellStyle name="Moneda 2 3 2 4 3 2 2" xfId="1093" xr:uid="{00000000-0005-0000-0000-000044040000}"/>
    <cellStyle name="Moneda 2 3 2 4 3 2 3" xfId="1094" xr:uid="{00000000-0005-0000-0000-000045040000}"/>
    <cellStyle name="Moneda 2 3 2 4 3 3" xfId="1095" xr:uid="{00000000-0005-0000-0000-000046040000}"/>
    <cellStyle name="Moneda 2 3 2 4 3 3 2" xfId="1096" xr:uid="{00000000-0005-0000-0000-000047040000}"/>
    <cellStyle name="Moneda 2 3 2 4 3 4" xfId="1097" xr:uid="{00000000-0005-0000-0000-000048040000}"/>
    <cellStyle name="Moneda 2 3 2 4 3 4 2" xfId="1098" xr:uid="{00000000-0005-0000-0000-000049040000}"/>
    <cellStyle name="Moneda 2 3 2 4 3 5" xfId="1099" xr:uid="{00000000-0005-0000-0000-00004A040000}"/>
    <cellStyle name="Moneda 2 3 2 4 3 6" xfId="1100" xr:uid="{00000000-0005-0000-0000-00004B040000}"/>
    <cellStyle name="Moneda 2 3 2 4 4" xfId="1101" xr:uid="{00000000-0005-0000-0000-00004C040000}"/>
    <cellStyle name="Moneda 2 3 2 4 4 2" xfId="1102" xr:uid="{00000000-0005-0000-0000-00004D040000}"/>
    <cellStyle name="Moneda 2 3 2 4 4 3" xfId="1103" xr:uid="{00000000-0005-0000-0000-00004E040000}"/>
    <cellStyle name="Moneda 2 3 2 4 5" xfId="1104" xr:uid="{00000000-0005-0000-0000-00004F040000}"/>
    <cellStyle name="Moneda 2 3 2 4 5 2" xfId="1105" xr:uid="{00000000-0005-0000-0000-000050040000}"/>
    <cellStyle name="Moneda 2 3 2 4 6" xfId="1106" xr:uid="{00000000-0005-0000-0000-000051040000}"/>
    <cellStyle name="Moneda 2 3 2 4 6 2" xfId="1107" xr:uid="{00000000-0005-0000-0000-000052040000}"/>
    <cellStyle name="Moneda 2 3 2 4 7" xfId="1108" xr:uid="{00000000-0005-0000-0000-000053040000}"/>
    <cellStyle name="Moneda 2 3 2 4 8" xfId="1109" xr:uid="{00000000-0005-0000-0000-000054040000}"/>
    <cellStyle name="Moneda 2 3 2 5" xfId="1110" xr:uid="{00000000-0005-0000-0000-000055040000}"/>
    <cellStyle name="Moneda 2 3 2 5 2" xfId="1111" xr:uid="{00000000-0005-0000-0000-000056040000}"/>
    <cellStyle name="Moneda 2 3 2 5 2 2" xfId="1112" xr:uid="{00000000-0005-0000-0000-000057040000}"/>
    <cellStyle name="Moneda 2 3 2 5 2 2 2" xfId="1113" xr:uid="{00000000-0005-0000-0000-000058040000}"/>
    <cellStyle name="Moneda 2 3 2 5 2 2 2 2" xfId="1114" xr:uid="{00000000-0005-0000-0000-000059040000}"/>
    <cellStyle name="Moneda 2 3 2 5 2 2 3" xfId="1115" xr:uid="{00000000-0005-0000-0000-00005A040000}"/>
    <cellStyle name="Moneda 2 3 2 5 2 3" xfId="1116" xr:uid="{00000000-0005-0000-0000-00005B040000}"/>
    <cellStyle name="Moneda 2 3 2 5 2 3 2" xfId="1117" xr:uid="{00000000-0005-0000-0000-00005C040000}"/>
    <cellStyle name="Moneda 2 3 2 5 2 3 3" xfId="1118" xr:uid="{00000000-0005-0000-0000-00005D040000}"/>
    <cellStyle name="Moneda 2 3 2 5 2 4" xfId="1119" xr:uid="{00000000-0005-0000-0000-00005E040000}"/>
    <cellStyle name="Moneda 2 3 2 5 2 4 2" xfId="1120" xr:uid="{00000000-0005-0000-0000-00005F040000}"/>
    <cellStyle name="Moneda 2 3 2 5 2 5" xfId="1121" xr:uid="{00000000-0005-0000-0000-000060040000}"/>
    <cellStyle name="Moneda 2 3 2 5 2 6" xfId="1122" xr:uid="{00000000-0005-0000-0000-000061040000}"/>
    <cellStyle name="Moneda 2 3 2 5 3" xfId="1123" xr:uid="{00000000-0005-0000-0000-000062040000}"/>
    <cellStyle name="Moneda 2 3 2 5 3 2" xfId="1124" xr:uid="{00000000-0005-0000-0000-000063040000}"/>
    <cellStyle name="Moneda 2 3 2 5 3 2 2" xfId="1125" xr:uid="{00000000-0005-0000-0000-000064040000}"/>
    <cellStyle name="Moneda 2 3 2 5 3 3" xfId="1126" xr:uid="{00000000-0005-0000-0000-000065040000}"/>
    <cellStyle name="Moneda 2 3 2 5 4" xfId="1127" xr:uid="{00000000-0005-0000-0000-000066040000}"/>
    <cellStyle name="Moneda 2 3 2 5 4 2" xfId="1128" xr:uid="{00000000-0005-0000-0000-000067040000}"/>
    <cellStyle name="Moneda 2 3 2 5 4 3" xfId="1129" xr:uid="{00000000-0005-0000-0000-000068040000}"/>
    <cellStyle name="Moneda 2 3 2 5 5" xfId="1130" xr:uid="{00000000-0005-0000-0000-000069040000}"/>
    <cellStyle name="Moneda 2 3 2 5 5 2" xfId="1131" xr:uid="{00000000-0005-0000-0000-00006A040000}"/>
    <cellStyle name="Moneda 2 3 2 5 6" xfId="1132" xr:uid="{00000000-0005-0000-0000-00006B040000}"/>
    <cellStyle name="Moneda 2 3 2 5 7" xfId="1133" xr:uid="{00000000-0005-0000-0000-00006C040000}"/>
    <cellStyle name="Moneda 2 3 2 6" xfId="1134" xr:uid="{00000000-0005-0000-0000-00006D040000}"/>
    <cellStyle name="Moneda 2 3 2 6 2" xfId="1135" xr:uid="{00000000-0005-0000-0000-00006E040000}"/>
    <cellStyle name="Moneda 2 3 2 6 2 2" xfId="1136" xr:uid="{00000000-0005-0000-0000-00006F040000}"/>
    <cellStyle name="Moneda 2 3 2 6 2 2 2" xfId="1137" xr:uid="{00000000-0005-0000-0000-000070040000}"/>
    <cellStyle name="Moneda 2 3 2 6 2 3" xfId="1138" xr:uid="{00000000-0005-0000-0000-000071040000}"/>
    <cellStyle name="Moneda 2 3 2 6 3" xfId="1139" xr:uid="{00000000-0005-0000-0000-000072040000}"/>
    <cellStyle name="Moneda 2 3 2 6 3 2" xfId="1140" xr:uid="{00000000-0005-0000-0000-000073040000}"/>
    <cellStyle name="Moneda 2 3 2 6 3 3" xfId="1141" xr:uid="{00000000-0005-0000-0000-000074040000}"/>
    <cellStyle name="Moneda 2 3 2 6 4" xfId="1142" xr:uid="{00000000-0005-0000-0000-000075040000}"/>
    <cellStyle name="Moneda 2 3 2 6 4 2" xfId="1143" xr:uid="{00000000-0005-0000-0000-000076040000}"/>
    <cellStyle name="Moneda 2 3 2 6 5" xfId="1144" xr:uid="{00000000-0005-0000-0000-000077040000}"/>
    <cellStyle name="Moneda 2 3 2 6 6" xfId="1145" xr:uid="{00000000-0005-0000-0000-000078040000}"/>
    <cellStyle name="Moneda 2 3 2 7" xfId="1146" xr:uid="{00000000-0005-0000-0000-000079040000}"/>
    <cellStyle name="Moneda 2 3 2 7 2" xfId="1147" xr:uid="{00000000-0005-0000-0000-00007A040000}"/>
    <cellStyle name="Moneda 2 3 2 7 2 2" xfId="1148" xr:uid="{00000000-0005-0000-0000-00007B040000}"/>
    <cellStyle name="Moneda 2 3 2 7 3" xfId="1149" xr:uid="{00000000-0005-0000-0000-00007C040000}"/>
    <cellStyle name="Moneda 2 3 2 8" xfId="1150" xr:uid="{00000000-0005-0000-0000-00007D040000}"/>
    <cellStyle name="Moneda 2 3 2 8 2" xfId="1151" xr:uid="{00000000-0005-0000-0000-00007E040000}"/>
    <cellStyle name="Moneda 2 3 2 8 3" xfId="1152" xr:uid="{00000000-0005-0000-0000-00007F040000}"/>
    <cellStyle name="Moneda 2 3 2 9" xfId="1153" xr:uid="{00000000-0005-0000-0000-000080040000}"/>
    <cellStyle name="Moneda 2 3 2 9 2" xfId="1154" xr:uid="{00000000-0005-0000-0000-000081040000}"/>
    <cellStyle name="Moneda 2 3 3" xfId="1155" xr:uid="{00000000-0005-0000-0000-000082040000}"/>
    <cellStyle name="Moneda 2 3 3 2" xfId="1156" xr:uid="{00000000-0005-0000-0000-000083040000}"/>
    <cellStyle name="Moneda 2 3 3 2 2" xfId="1157" xr:uid="{00000000-0005-0000-0000-000084040000}"/>
    <cellStyle name="Moneda 2 3 3 2 2 2" xfId="1158" xr:uid="{00000000-0005-0000-0000-000085040000}"/>
    <cellStyle name="Moneda 2 3 3 2 2 2 2" xfId="1159" xr:uid="{00000000-0005-0000-0000-000086040000}"/>
    <cellStyle name="Moneda 2 3 3 2 2 2 2 2" xfId="1160" xr:uid="{00000000-0005-0000-0000-000087040000}"/>
    <cellStyle name="Moneda 2 3 3 2 2 2 3" xfId="1161" xr:uid="{00000000-0005-0000-0000-000088040000}"/>
    <cellStyle name="Moneda 2 3 3 2 2 3" xfId="1162" xr:uid="{00000000-0005-0000-0000-000089040000}"/>
    <cellStyle name="Moneda 2 3 3 2 2 3 2" xfId="1163" xr:uid="{00000000-0005-0000-0000-00008A040000}"/>
    <cellStyle name="Moneda 2 3 3 2 2 3 3" xfId="1164" xr:uid="{00000000-0005-0000-0000-00008B040000}"/>
    <cellStyle name="Moneda 2 3 3 2 2 4" xfId="1165" xr:uid="{00000000-0005-0000-0000-00008C040000}"/>
    <cellStyle name="Moneda 2 3 3 2 2 4 2" xfId="1166" xr:uid="{00000000-0005-0000-0000-00008D040000}"/>
    <cellStyle name="Moneda 2 3 3 2 2 5" xfId="1167" xr:uid="{00000000-0005-0000-0000-00008E040000}"/>
    <cellStyle name="Moneda 2 3 3 2 2 6" xfId="1168" xr:uid="{00000000-0005-0000-0000-00008F040000}"/>
    <cellStyle name="Moneda 2 3 3 2 3" xfId="1169" xr:uid="{00000000-0005-0000-0000-000090040000}"/>
    <cellStyle name="Moneda 2 3 3 2 3 2" xfId="1170" xr:uid="{00000000-0005-0000-0000-000091040000}"/>
    <cellStyle name="Moneda 2 3 3 2 3 2 2" xfId="1171" xr:uid="{00000000-0005-0000-0000-000092040000}"/>
    <cellStyle name="Moneda 2 3 3 2 3 3" xfId="1172" xr:uid="{00000000-0005-0000-0000-000093040000}"/>
    <cellStyle name="Moneda 2 3 3 2 4" xfId="1173" xr:uid="{00000000-0005-0000-0000-000094040000}"/>
    <cellStyle name="Moneda 2 3 3 2 4 2" xfId="1174" xr:uid="{00000000-0005-0000-0000-000095040000}"/>
    <cellStyle name="Moneda 2 3 3 2 4 3" xfId="1175" xr:uid="{00000000-0005-0000-0000-000096040000}"/>
    <cellStyle name="Moneda 2 3 3 2 5" xfId="1176" xr:uid="{00000000-0005-0000-0000-000097040000}"/>
    <cellStyle name="Moneda 2 3 3 2 5 2" xfId="1177" xr:uid="{00000000-0005-0000-0000-000098040000}"/>
    <cellStyle name="Moneda 2 3 3 2 6" xfId="1178" xr:uid="{00000000-0005-0000-0000-000099040000}"/>
    <cellStyle name="Moneda 2 3 3 2 7" xfId="1179" xr:uid="{00000000-0005-0000-0000-00009A040000}"/>
    <cellStyle name="Moneda 2 3 3 3" xfId="1180" xr:uid="{00000000-0005-0000-0000-00009B040000}"/>
    <cellStyle name="Moneda 2 3 3 3 2" xfId="1181" xr:uid="{00000000-0005-0000-0000-00009C040000}"/>
    <cellStyle name="Moneda 2 3 3 3 2 2" xfId="1182" xr:uid="{00000000-0005-0000-0000-00009D040000}"/>
    <cellStyle name="Moneda 2 3 3 3 2 2 2" xfId="1183" xr:uid="{00000000-0005-0000-0000-00009E040000}"/>
    <cellStyle name="Moneda 2 3 3 3 2 2 3" xfId="1184" xr:uid="{00000000-0005-0000-0000-00009F040000}"/>
    <cellStyle name="Moneda 2 3 3 3 2 3" xfId="1185" xr:uid="{00000000-0005-0000-0000-0000A0040000}"/>
    <cellStyle name="Moneda 2 3 3 3 2 4" xfId="1186" xr:uid="{00000000-0005-0000-0000-0000A1040000}"/>
    <cellStyle name="Moneda 2 3 3 3 3" xfId="1187" xr:uid="{00000000-0005-0000-0000-0000A2040000}"/>
    <cellStyle name="Moneda 2 3 3 3 3 2" xfId="1188" xr:uid="{00000000-0005-0000-0000-0000A3040000}"/>
    <cellStyle name="Moneda 2 3 3 3 3 2 2" xfId="1189" xr:uid="{00000000-0005-0000-0000-0000A4040000}"/>
    <cellStyle name="Moneda 2 3 3 3 3 3" xfId="1190" xr:uid="{00000000-0005-0000-0000-0000A5040000}"/>
    <cellStyle name="Moneda 2 3 3 3 4" xfId="1191" xr:uid="{00000000-0005-0000-0000-0000A6040000}"/>
    <cellStyle name="Moneda 2 3 3 3 4 2" xfId="1192" xr:uid="{00000000-0005-0000-0000-0000A7040000}"/>
    <cellStyle name="Moneda 2 3 3 3 4 3" xfId="1193" xr:uid="{00000000-0005-0000-0000-0000A8040000}"/>
    <cellStyle name="Moneda 2 3 3 3 5" xfId="1194" xr:uid="{00000000-0005-0000-0000-0000A9040000}"/>
    <cellStyle name="Moneda 2 3 3 3 6" xfId="1195" xr:uid="{00000000-0005-0000-0000-0000AA040000}"/>
    <cellStyle name="Moneda 2 3 3 4" xfId="1196" xr:uid="{00000000-0005-0000-0000-0000AB040000}"/>
    <cellStyle name="Moneda 2 3 3 4 2" xfId="1197" xr:uid="{00000000-0005-0000-0000-0000AC040000}"/>
    <cellStyle name="Moneda 2 3 3 4 2 2" xfId="1198" xr:uid="{00000000-0005-0000-0000-0000AD040000}"/>
    <cellStyle name="Moneda 2 3 3 4 2 2 2" xfId="1199" xr:uid="{00000000-0005-0000-0000-0000AE040000}"/>
    <cellStyle name="Moneda 2 3 3 4 2 3" xfId="1200" xr:uid="{00000000-0005-0000-0000-0000AF040000}"/>
    <cellStyle name="Moneda 2 3 3 4 2 4" xfId="1201" xr:uid="{00000000-0005-0000-0000-0000B0040000}"/>
    <cellStyle name="Moneda 2 3 3 4 3" xfId="1202" xr:uid="{00000000-0005-0000-0000-0000B1040000}"/>
    <cellStyle name="Moneda 2 3 3 4 3 2" xfId="1203" xr:uid="{00000000-0005-0000-0000-0000B2040000}"/>
    <cellStyle name="Moneda 2 3 3 4 4" xfId="1204" xr:uid="{00000000-0005-0000-0000-0000B3040000}"/>
    <cellStyle name="Moneda 2 3 3 4 5" xfId="1205" xr:uid="{00000000-0005-0000-0000-0000B4040000}"/>
    <cellStyle name="Moneda 2 3 3 5" xfId="1206" xr:uid="{00000000-0005-0000-0000-0000B5040000}"/>
    <cellStyle name="Moneda 2 3 3 5 2" xfId="1207" xr:uid="{00000000-0005-0000-0000-0000B6040000}"/>
    <cellStyle name="Moneda 2 3 3 5 2 2" xfId="1208" xr:uid="{00000000-0005-0000-0000-0000B7040000}"/>
    <cellStyle name="Moneda 2 3 3 5 2 3" xfId="1209" xr:uid="{00000000-0005-0000-0000-0000B8040000}"/>
    <cellStyle name="Moneda 2 3 3 5 3" xfId="1210" xr:uid="{00000000-0005-0000-0000-0000B9040000}"/>
    <cellStyle name="Moneda 2 3 3 5 4" xfId="1211" xr:uid="{00000000-0005-0000-0000-0000BA040000}"/>
    <cellStyle name="Moneda 2 3 3 6" xfId="1212" xr:uid="{00000000-0005-0000-0000-0000BB040000}"/>
    <cellStyle name="Moneda 2 3 3 6 2" xfId="1213" xr:uid="{00000000-0005-0000-0000-0000BC040000}"/>
    <cellStyle name="Moneda 2 3 3 6 2 2" xfId="1214" xr:uid="{00000000-0005-0000-0000-0000BD040000}"/>
    <cellStyle name="Moneda 2 3 3 6 3" xfId="1215" xr:uid="{00000000-0005-0000-0000-0000BE040000}"/>
    <cellStyle name="Moneda 2 3 3 7" xfId="1216" xr:uid="{00000000-0005-0000-0000-0000BF040000}"/>
    <cellStyle name="Moneda 2 3 3 7 2" xfId="1217" xr:uid="{00000000-0005-0000-0000-0000C0040000}"/>
    <cellStyle name="Moneda 2 3 3 8" xfId="1218" xr:uid="{00000000-0005-0000-0000-0000C1040000}"/>
    <cellStyle name="Moneda 2 3 4" xfId="1219" xr:uid="{00000000-0005-0000-0000-0000C2040000}"/>
    <cellStyle name="Moneda 2 3 4 2" xfId="1220" xr:uid="{00000000-0005-0000-0000-0000C3040000}"/>
    <cellStyle name="Moneda 2 3 4 2 2" xfId="1221" xr:uid="{00000000-0005-0000-0000-0000C4040000}"/>
    <cellStyle name="Moneda 2 3 4 2 2 2" xfId="1222" xr:uid="{00000000-0005-0000-0000-0000C5040000}"/>
    <cellStyle name="Moneda 2 3 4 2 2 2 2" xfId="1223" xr:uid="{00000000-0005-0000-0000-0000C6040000}"/>
    <cellStyle name="Moneda 2 3 4 2 2 2 2 2" xfId="1224" xr:uid="{00000000-0005-0000-0000-0000C7040000}"/>
    <cellStyle name="Moneda 2 3 4 2 2 2 3" xfId="1225" xr:uid="{00000000-0005-0000-0000-0000C8040000}"/>
    <cellStyle name="Moneda 2 3 4 2 2 3" xfId="1226" xr:uid="{00000000-0005-0000-0000-0000C9040000}"/>
    <cellStyle name="Moneda 2 3 4 2 2 3 2" xfId="1227" xr:uid="{00000000-0005-0000-0000-0000CA040000}"/>
    <cellStyle name="Moneda 2 3 4 2 2 3 3" xfId="1228" xr:uid="{00000000-0005-0000-0000-0000CB040000}"/>
    <cellStyle name="Moneda 2 3 4 2 2 4" xfId="1229" xr:uid="{00000000-0005-0000-0000-0000CC040000}"/>
    <cellStyle name="Moneda 2 3 4 2 2 4 2" xfId="1230" xr:uid="{00000000-0005-0000-0000-0000CD040000}"/>
    <cellStyle name="Moneda 2 3 4 2 2 5" xfId="1231" xr:uid="{00000000-0005-0000-0000-0000CE040000}"/>
    <cellStyle name="Moneda 2 3 4 2 2 6" xfId="1232" xr:uid="{00000000-0005-0000-0000-0000CF040000}"/>
    <cellStyle name="Moneda 2 3 4 2 3" xfId="1233" xr:uid="{00000000-0005-0000-0000-0000D0040000}"/>
    <cellStyle name="Moneda 2 3 4 2 3 2" xfId="1234" xr:uid="{00000000-0005-0000-0000-0000D1040000}"/>
    <cellStyle name="Moneda 2 3 4 2 3 2 2" xfId="1235" xr:uid="{00000000-0005-0000-0000-0000D2040000}"/>
    <cellStyle name="Moneda 2 3 4 2 3 3" xfId="1236" xr:uid="{00000000-0005-0000-0000-0000D3040000}"/>
    <cellStyle name="Moneda 2 3 4 2 4" xfId="1237" xr:uid="{00000000-0005-0000-0000-0000D4040000}"/>
    <cellStyle name="Moneda 2 3 4 2 4 2" xfId="1238" xr:uid="{00000000-0005-0000-0000-0000D5040000}"/>
    <cellStyle name="Moneda 2 3 4 2 4 3" xfId="1239" xr:uid="{00000000-0005-0000-0000-0000D6040000}"/>
    <cellStyle name="Moneda 2 3 4 2 5" xfId="1240" xr:uid="{00000000-0005-0000-0000-0000D7040000}"/>
    <cellStyle name="Moneda 2 3 4 2 5 2" xfId="1241" xr:uid="{00000000-0005-0000-0000-0000D8040000}"/>
    <cellStyle name="Moneda 2 3 4 2 6" xfId="1242" xr:uid="{00000000-0005-0000-0000-0000D9040000}"/>
    <cellStyle name="Moneda 2 3 4 2 7" xfId="1243" xr:uid="{00000000-0005-0000-0000-0000DA040000}"/>
    <cellStyle name="Moneda 2 3 4 3" xfId="1244" xr:uid="{00000000-0005-0000-0000-0000DB040000}"/>
    <cellStyle name="Moneda 2 3 4 3 2" xfId="1245" xr:uid="{00000000-0005-0000-0000-0000DC040000}"/>
    <cellStyle name="Moneda 2 3 4 3 2 2" xfId="1246" xr:uid="{00000000-0005-0000-0000-0000DD040000}"/>
    <cellStyle name="Moneda 2 3 4 3 2 2 2" xfId="1247" xr:uid="{00000000-0005-0000-0000-0000DE040000}"/>
    <cellStyle name="Moneda 2 3 4 3 2 2 3" xfId="1248" xr:uid="{00000000-0005-0000-0000-0000DF040000}"/>
    <cellStyle name="Moneda 2 3 4 3 2 3" xfId="1249" xr:uid="{00000000-0005-0000-0000-0000E0040000}"/>
    <cellStyle name="Moneda 2 3 4 3 2 4" xfId="1250" xr:uid="{00000000-0005-0000-0000-0000E1040000}"/>
    <cellStyle name="Moneda 2 3 4 3 3" xfId="1251" xr:uid="{00000000-0005-0000-0000-0000E2040000}"/>
    <cellStyle name="Moneda 2 3 4 3 3 2" xfId="1252" xr:uid="{00000000-0005-0000-0000-0000E3040000}"/>
    <cellStyle name="Moneda 2 3 4 3 3 2 2" xfId="1253" xr:uid="{00000000-0005-0000-0000-0000E4040000}"/>
    <cellStyle name="Moneda 2 3 4 3 3 3" xfId="1254" xr:uid="{00000000-0005-0000-0000-0000E5040000}"/>
    <cellStyle name="Moneda 2 3 4 3 4" xfId="1255" xr:uid="{00000000-0005-0000-0000-0000E6040000}"/>
    <cellStyle name="Moneda 2 3 4 3 4 2" xfId="1256" xr:uid="{00000000-0005-0000-0000-0000E7040000}"/>
    <cellStyle name="Moneda 2 3 4 3 4 3" xfId="1257" xr:uid="{00000000-0005-0000-0000-0000E8040000}"/>
    <cellStyle name="Moneda 2 3 4 3 5" xfId="1258" xr:uid="{00000000-0005-0000-0000-0000E9040000}"/>
    <cellStyle name="Moneda 2 3 4 3 6" xfId="1259" xr:uid="{00000000-0005-0000-0000-0000EA040000}"/>
    <cellStyle name="Moneda 2 3 4 4" xfId="1260" xr:uid="{00000000-0005-0000-0000-0000EB040000}"/>
    <cellStyle name="Moneda 2 3 4 4 2" xfId="1261" xr:uid="{00000000-0005-0000-0000-0000EC040000}"/>
    <cellStyle name="Moneda 2 3 4 4 2 2" xfId="1262" xr:uid="{00000000-0005-0000-0000-0000ED040000}"/>
    <cellStyle name="Moneda 2 3 4 4 2 2 2" xfId="1263" xr:uid="{00000000-0005-0000-0000-0000EE040000}"/>
    <cellStyle name="Moneda 2 3 4 4 2 3" xfId="1264" xr:uid="{00000000-0005-0000-0000-0000EF040000}"/>
    <cellStyle name="Moneda 2 3 4 4 2 4" xfId="1265" xr:uid="{00000000-0005-0000-0000-0000F0040000}"/>
    <cellStyle name="Moneda 2 3 4 4 3" xfId="1266" xr:uid="{00000000-0005-0000-0000-0000F1040000}"/>
    <cellStyle name="Moneda 2 3 4 4 3 2" xfId="1267" xr:uid="{00000000-0005-0000-0000-0000F2040000}"/>
    <cellStyle name="Moneda 2 3 4 4 4" xfId="1268" xr:uid="{00000000-0005-0000-0000-0000F3040000}"/>
    <cellStyle name="Moneda 2 3 4 4 5" xfId="1269" xr:uid="{00000000-0005-0000-0000-0000F4040000}"/>
    <cellStyle name="Moneda 2 3 4 5" xfId="1270" xr:uid="{00000000-0005-0000-0000-0000F5040000}"/>
    <cellStyle name="Moneda 2 3 4 5 2" xfId="1271" xr:uid="{00000000-0005-0000-0000-0000F6040000}"/>
    <cellStyle name="Moneda 2 3 4 5 2 2" xfId="1272" xr:uid="{00000000-0005-0000-0000-0000F7040000}"/>
    <cellStyle name="Moneda 2 3 4 5 2 3" xfId="1273" xr:uid="{00000000-0005-0000-0000-0000F8040000}"/>
    <cellStyle name="Moneda 2 3 4 5 3" xfId="1274" xr:uid="{00000000-0005-0000-0000-0000F9040000}"/>
    <cellStyle name="Moneda 2 3 4 5 4" xfId="1275" xr:uid="{00000000-0005-0000-0000-0000FA040000}"/>
    <cellStyle name="Moneda 2 3 4 6" xfId="1276" xr:uid="{00000000-0005-0000-0000-0000FB040000}"/>
    <cellStyle name="Moneda 2 3 4 6 2" xfId="1277" xr:uid="{00000000-0005-0000-0000-0000FC040000}"/>
    <cellStyle name="Moneda 2 3 4 6 2 2" xfId="1278" xr:uid="{00000000-0005-0000-0000-0000FD040000}"/>
    <cellStyle name="Moneda 2 3 4 6 3" xfId="1279" xr:uid="{00000000-0005-0000-0000-0000FE040000}"/>
    <cellStyle name="Moneda 2 3 4 7" xfId="1280" xr:uid="{00000000-0005-0000-0000-0000FF040000}"/>
    <cellStyle name="Moneda 2 3 4 7 2" xfId="1281" xr:uid="{00000000-0005-0000-0000-000000050000}"/>
    <cellStyle name="Moneda 2 3 4 8" xfId="1282" xr:uid="{00000000-0005-0000-0000-000001050000}"/>
    <cellStyle name="Moneda 2 3 5" xfId="1283" xr:uid="{00000000-0005-0000-0000-000002050000}"/>
    <cellStyle name="Moneda 2 3 5 2" xfId="1284" xr:uid="{00000000-0005-0000-0000-000003050000}"/>
    <cellStyle name="Moneda 2 3 5 2 2" xfId="1285" xr:uid="{00000000-0005-0000-0000-000004050000}"/>
    <cellStyle name="Moneda 2 3 5 2 2 2" xfId="1286" xr:uid="{00000000-0005-0000-0000-000005050000}"/>
    <cellStyle name="Moneda 2 3 5 2 2 2 2" xfId="1287" xr:uid="{00000000-0005-0000-0000-000006050000}"/>
    <cellStyle name="Moneda 2 3 5 2 2 2 3" xfId="1288" xr:uid="{00000000-0005-0000-0000-000007050000}"/>
    <cellStyle name="Moneda 2 3 5 2 2 3" xfId="1289" xr:uid="{00000000-0005-0000-0000-000008050000}"/>
    <cellStyle name="Moneda 2 3 5 2 2 3 2" xfId="1290" xr:uid="{00000000-0005-0000-0000-000009050000}"/>
    <cellStyle name="Moneda 2 3 5 2 2 4" xfId="1291" xr:uid="{00000000-0005-0000-0000-00000A050000}"/>
    <cellStyle name="Moneda 2 3 5 2 2 4 2" xfId="1292" xr:uid="{00000000-0005-0000-0000-00000B050000}"/>
    <cellStyle name="Moneda 2 3 5 2 2 5" xfId="1293" xr:uid="{00000000-0005-0000-0000-00000C050000}"/>
    <cellStyle name="Moneda 2 3 5 2 2 6" xfId="1294" xr:uid="{00000000-0005-0000-0000-00000D050000}"/>
    <cellStyle name="Moneda 2 3 5 2 3" xfId="1295" xr:uid="{00000000-0005-0000-0000-00000E050000}"/>
    <cellStyle name="Moneda 2 3 5 2 3 2" xfId="1296" xr:uid="{00000000-0005-0000-0000-00000F050000}"/>
    <cellStyle name="Moneda 2 3 5 2 3 3" xfId="1297" xr:uid="{00000000-0005-0000-0000-000010050000}"/>
    <cellStyle name="Moneda 2 3 5 2 4" xfId="1298" xr:uid="{00000000-0005-0000-0000-000011050000}"/>
    <cellStyle name="Moneda 2 3 5 2 4 2" xfId="1299" xr:uid="{00000000-0005-0000-0000-000012050000}"/>
    <cellStyle name="Moneda 2 3 5 2 5" xfId="1300" xr:uid="{00000000-0005-0000-0000-000013050000}"/>
    <cellStyle name="Moneda 2 3 5 2 5 2" xfId="1301" xr:uid="{00000000-0005-0000-0000-000014050000}"/>
    <cellStyle name="Moneda 2 3 5 2 6" xfId="1302" xr:uid="{00000000-0005-0000-0000-000015050000}"/>
    <cellStyle name="Moneda 2 3 5 2 7" xfId="1303" xr:uid="{00000000-0005-0000-0000-000016050000}"/>
    <cellStyle name="Moneda 2 3 5 3" xfId="1304" xr:uid="{00000000-0005-0000-0000-000017050000}"/>
    <cellStyle name="Moneda 2 3 5 3 2" xfId="1305" xr:uid="{00000000-0005-0000-0000-000018050000}"/>
    <cellStyle name="Moneda 2 3 5 3 2 2" xfId="1306" xr:uid="{00000000-0005-0000-0000-000019050000}"/>
    <cellStyle name="Moneda 2 3 5 3 2 3" xfId="1307" xr:uid="{00000000-0005-0000-0000-00001A050000}"/>
    <cellStyle name="Moneda 2 3 5 3 3" xfId="1308" xr:uid="{00000000-0005-0000-0000-00001B050000}"/>
    <cellStyle name="Moneda 2 3 5 3 3 2" xfId="1309" xr:uid="{00000000-0005-0000-0000-00001C050000}"/>
    <cellStyle name="Moneda 2 3 5 3 4" xfId="1310" xr:uid="{00000000-0005-0000-0000-00001D050000}"/>
    <cellStyle name="Moneda 2 3 5 3 4 2" xfId="1311" xr:uid="{00000000-0005-0000-0000-00001E050000}"/>
    <cellStyle name="Moneda 2 3 5 3 5" xfId="1312" xr:uid="{00000000-0005-0000-0000-00001F050000}"/>
    <cellStyle name="Moneda 2 3 5 3 6" xfId="1313" xr:uid="{00000000-0005-0000-0000-000020050000}"/>
    <cellStyle name="Moneda 2 3 5 4" xfId="1314" xr:uid="{00000000-0005-0000-0000-000021050000}"/>
    <cellStyle name="Moneda 2 3 5 4 2" xfId="1315" xr:uid="{00000000-0005-0000-0000-000022050000}"/>
    <cellStyle name="Moneda 2 3 5 4 3" xfId="1316" xr:uid="{00000000-0005-0000-0000-000023050000}"/>
    <cellStyle name="Moneda 2 3 5 5" xfId="1317" xr:uid="{00000000-0005-0000-0000-000024050000}"/>
    <cellStyle name="Moneda 2 3 5 5 2" xfId="1318" xr:uid="{00000000-0005-0000-0000-000025050000}"/>
    <cellStyle name="Moneda 2 3 5 6" xfId="1319" xr:uid="{00000000-0005-0000-0000-000026050000}"/>
    <cellStyle name="Moneda 2 3 5 6 2" xfId="1320" xr:uid="{00000000-0005-0000-0000-000027050000}"/>
    <cellStyle name="Moneda 2 3 5 7" xfId="1321" xr:uid="{00000000-0005-0000-0000-000028050000}"/>
    <cellStyle name="Moneda 2 3 5 8" xfId="1322" xr:uid="{00000000-0005-0000-0000-000029050000}"/>
    <cellStyle name="Moneda 2 3 6" xfId="1323" xr:uid="{00000000-0005-0000-0000-00002A050000}"/>
    <cellStyle name="Moneda 2 3 6 2" xfId="1324" xr:uid="{00000000-0005-0000-0000-00002B050000}"/>
    <cellStyle name="Moneda 2 3 6 2 2" xfId="1325" xr:uid="{00000000-0005-0000-0000-00002C050000}"/>
    <cellStyle name="Moneda 2 3 6 2 2 2" xfId="1326" xr:uid="{00000000-0005-0000-0000-00002D050000}"/>
    <cellStyle name="Moneda 2 3 6 2 2 2 2" xfId="1327" xr:uid="{00000000-0005-0000-0000-00002E050000}"/>
    <cellStyle name="Moneda 2 3 6 2 2 3" xfId="1328" xr:uid="{00000000-0005-0000-0000-00002F050000}"/>
    <cellStyle name="Moneda 2 3 6 2 3" xfId="1329" xr:uid="{00000000-0005-0000-0000-000030050000}"/>
    <cellStyle name="Moneda 2 3 6 2 3 2" xfId="1330" xr:uid="{00000000-0005-0000-0000-000031050000}"/>
    <cellStyle name="Moneda 2 3 6 2 3 3" xfId="1331" xr:uid="{00000000-0005-0000-0000-000032050000}"/>
    <cellStyle name="Moneda 2 3 6 2 4" xfId="1332" xr:uid="{00000000-0005-0000-0000-000033050000}"/>
    <cellStyle name="Moneda 2 3 6 2 4 2" xfId="1333" xr:uid="{00000000-0005-0000-0000-000034050000}"/>
    <cellStyle name="Moneda 2 3 6 2 5" xfId="1334" xr:uid="{00000000-0005-0000-0000-000035050000}"/>
    <cellStyle name="Moneda 2 3 6 2 6" xfId="1335" xr:uid="{00000000-0005-0000-0000-000036050000}"/>
    <cellStyle name="Moneda 2 3 6 3" xfId="1336" xr:uid="{00000000-0005-0000-0000-000037050000}"/>
    <cellStyle name="Moneda 2 3 6 3 2" xfId="1337" xr:uid="{00000000-0005-0000-0000-000038050000}"/>
    <cellStyle name="Moneda 2 3 6 3 2 2" xfId="1338" xr:uid="{00000000-0005-0000-0000-000039050000}"/>
    <cellStyle name="Moneda 2 3 6 3 3" xfId="1339" xr:uid="{00000000-0005-0000-0000-00003A050000}"/>
    <cellStyle name="Moneda 2 3 6 4" xfId="1340" xr:uid="{00000000-0005-0000-0000-00003B050000}"/>
    <cellStyle name="Moneda 2 3 6 4 2" xfId="1341" xr:uid="{00000000-0005-0000-0000-00003C050000}"/>
    <cellStyle name="Moneda 2 3 6 4 3" xfId="1342" xr:uid="{00000000-0005-0000-0000-00003D050000}"/>
    <cellStyle name="Moneda 2 3 6 5" xfId="1343" xr:uid="{00000000-0005-0000-0000-00003E050000}"/>
    <cellStyle name="Moneda 2 3 6 5 2" xfId="1344" xr:uid="{00000000-0005-0000-0000-00003F050000}"/>
    <cellStyle name="Moneda 2 3 6 6" xfId="1345" xr:uid="{00000000-0005-0000-0000-000040050000}"/>
    <cellStyle name="Moneda 2 3 6 7" xfId="1346" xr:uid="{00000000-0005-0000-0000-000041050000}"/>
    <cellStyle name="Moneda 2 3 7" xfId="1347" xr:uid="{00000000-0005-0000-0000-000042050000}"/>
    <cellStyle name="Moneda 2 3 7 2" xfId="1348" xr:uid="{00000000-0005-0000-0000-000043050000}"/>
    <cellStyle name="Moneda 2 3 7 2 2" xfId="1349" xr:uid="{00000000-0005-0000-0000-000044050000}"/>
    <cellStyle name="Moneda 2 3 7 2 2 2" xfId="1350" xr:uid="{00000000-0005-0000-0000-000045050000}"/>
    <cellStyle name="Moneda 2 3 7 2 2 3" xfId="1351" xr:uid="{00000000-0005-0000-0000-000046050000}"/>
    <cellStyle name="Moneda 2 3 7 2 3" xfId="1352" xr:uid="{00000000-0005-0000-0000-000047050000}"/>
    <cellStyle name="Moneda 2 3 7 2 4" xfId="1353" xr:uid="{00000000-0005-0000-0000-000048050000}"/>
    <cellStyle name="Moneda 2 3 7 3" xfId="1354" xr:uid="{00000000-0005-0000-0000-000049050000}"/>
    <cellStyle name="Moneda 2 3 7 3 2" xfId="1355" xr:uid="{00000000-0005-0000-0000-00004A050000}"/>
    <cellStyle name="Moneda 2 3 7 3 2 2" xfId="1356" xr:uid="{00000000-0005-0000-0000-00004B050000}"/>
    <cellStyle name="Moneda 2 3 7 3 3" xfId="1357" xr:uid="{00000000-0005-0000-0000-00004C050000}"/>
    <cellStyle name="Moneda 2 3 7 4" xfId="1358" xr:uid="{00000000-0005-0000-0000-00004D050000}"/>
    <cellStyle name="Moneda 2 3 7 4 2" xfId="1359" xr:uid="{00000000-0005-0000-0000-00004E050000}"/>
    <cellStyle name="Moneda 2 3 7 4 3" xfId="1360" xr:uid="{00000000-0005-0000-0000-00004F050000}"/>
    <cellStyle name="Moneda 2 3 7 5" xfId="1361" xr:uid="{00000000-0005-0000-0000-000050050000}"/>
    <cellStyle name="Moneda 2 3 7 6" xfId="1362" xr:uid="{00000000-0005-0000-0000-000051050000}"/>
    <cellStyle name="Moneda 2 3 8" xfId="1363" xr:uid="{00000000-0005-0000-0000-000052050000}"/>
    <cellStyle name="Moneda 2 3 8 2" xfId="1364" xr:uid="{00000000-0005-0000-0000-000053050000}"/>
    <cellStyle name="Moneda 2 3 8 2 2" xfId="1365" xr:uid="{00000000-0005-0000-0000-000054050000}"/>
    <cellStyle name="Moneda 2 3 8 2 3" xfId="1366" xr:uid="{00000000-0005-0000-0000-000055050000}"/>
    <cellStyle name="Moneda 2 3 8 3" xfId="1367" xr:uid="{00000000-0005-0000-0000-000056050000}"/>
    <cellStyle name="Moneda 2 3 8 4" xfId="1368" xr:uid="{00000000-0005-0000-0000-000057050000}"/>
    <cellStyle name="Moneda 2 3 9" xfId="1369" xr:uid="{00000000-0005-0000-0000-000058050000}"/>
    <cellStyle name="Moneda 2 3 9 2" xfId="1370" xr:uid="{00000000-0005-0000-0000-000059050000}"/>
    <cellStyle name="Moneda 2 3 9 2 2" xfId="1371" xr:uid="{00000000-0005-0000-0000-00005A050000}"/>
    <cellStyle name="Moneda 2 3 9 3" xfId="1372" xr:uid="{00000000-0005-0000-0000-00005B050000}"/>
    <cellStyle name="Moneda 2 4" xfId="1373" xr:uid="{00000000-0005-0000-0000-00005C050000}"/>
    <cellStyle name="Moneda 2 4 2" xfId="1374" xr:uid="{00000000-0005-0000-0000-00005D050000}"/>
    <cellStyle name="Moneda 2 5" xfId="1375" xr:uid="{00000000-0005-0000-0000-00005E050000}"/>
    <cellStyle name="Moneda 2 5 2" xfId="1376" xr:uid="{00000000-0005-0000-0000-00005F050000}"/>
    <cellStyle name="Moneda 2 5 2 2" xfId="1377" xr:uid="{00000000-0005-0000-0000-000060050000}"/>
    <cellStyle name="Moneda 2 5 3" xfId="1378" xr:uid="{00000000-0005-0000-0000-000061050000}"/>
    <cellStyle name="Moneda 2 5 3 2" xfId="1379" xr:uid="{00000000-0005-0000-0000-000062050000}"/>
    <cellStyle name="Moneda 2 5 4" xfId="1380" xr:uid="{00000000-0005-0000-0000-000063050000}"/>
    <cellStyle name="Moneda 2 5 4 2" xfId="1381" xr:uid="{00000000-0005-0000-0000-000064050000}"/>
    <cellStyle name="Moneda 2 5 5" xfId="1382" xr:uid="{00000000-0005-0000-0000-000065050000}"/>
    <cellStyle name="Moneda 2 6" xfId="1383" xr:uid="{00000000-0005-0000-0000-000066050000}"/>
    <cellStyle name="Moneda 20" xfId="1384" xr:uid="{00000000-0005-0000-0000-000067050000}"/>
    <cellStyle name="Moneda 20 2" xfId="1385" xr:uid="{00000000-0005-0000-0000-000068050000}"/>
    <cellStyle name="Moneda 20 2 2" xfId="1386" xr:uid="{00000000-0005-0000-0000-000069050000}"/>
    <cellStyle name="Moneda 20 2 2 2" xfId="1387" xr:uid="{00000000-0005-0000-0000-00006A050000}"/>
    <cellStyle name="Moneda 20 2 2 2 2" xfId="1388" xr:uid="{00000000-0005-0000-0000-00006B050000}"/>
    <cellStyle name="Moneda 20 2 2 3" xfId="1389" xr:uid="{00000000-0005-0000-0000-00006C050000}"/>
    <cellStyle name="Moneda 20 2 2 3 2" xfId="1390" xr:uid="{00000000-0005-0000-0000-00006D050000}"/>
    <cellStyle name="Moneda 20 2 2 4" xfId="1391" xr:uid="{00000000-0005-0000-0000-00006E050000}"/>
    <cellStyle name="Moneda 20 2 2 4 2" xfId="1392" xr:uid="{00000000-0005-0000-0000-00006F050000}"/>
    <cellStyle name="Moneda 20 2 2 5" xfId="1393" xr:uid="{00000000-0005-0000-0000-000070050000}"/>
    <cellStyle name="Moneda 20 2 3" xfId="1394" xr:uid="{00000000-0005-0000-0000-000071050000}"/>
    <cellStyle name="Moneda 20 2 3 2" xfId="1395" xr:uid="{00000000-0005-0000-0000-000072050000}"/>
    <cellStyle name="Moneda 20 2 4" xfId="1396" xr:uid="{00000000-0005-0000-0000-000073050000}"/>
    <cellStyle name="Moneda 20 2 4 2" xfId="1397" xr:uid="{00000000-0005-0000-0000-000074050000}"/>
    <cellStyle name="Moneda 20 2 5" xfId="1398" xr:uid="{00000000-0005-0000-0000-000075050000}"/>
    <cellStyle name="Moneda 20 2 5 2" xfId="1399" xr:uid="{00000000-0005-0000-0000-000076050000}"/>
    <cellStyle name="Moneda 20 2 6" xfId="1400" xr:uid="{00000000-0005-0000-0000-000077050000}"/>
    <cellStyle name="Moneda 20 2 7" xfId="1401" xr:uid="{00000000-0005-0000-0000-000078050000}"/>
    <cellStyle name="Moneda 20 3" xfId="1402" xr:uid="{00000000-0005-0000-0000-000079050000}"/>
    <cellStyle name="Moneda 20 3 2" xfId="1403" xr:uid="{00000000-0005-0000-0000-00007A050000}"/>
    <cellStyle name="Moneda 20 3 2 2" xfId="1404" xr:uid="{00000000-0005-0000-0000-00007B050000}"/>
    <cellStyle name="Moneda 20 3 3" xfId="1405" xr:uid="{00000000-0005-0000-0000-00007C050000}"/>
    <cellStyle name="Moneda 20 3 3 2" xfId="1406" xr:uid="{00000000-0005-0000-0000-00007D050000}"/>
    <cellStyle name="Moneda 20 3 4" xfId="1407" xr:uid="{00000000-0005-0000-0000-00007E050000}"/>
    <cellStyle name="Moneda 20 3 4 2" xfId="1408" xr:uid="{00000000-0005-0000-0000-00007F050000}"/>
    <cellStyle name="Moneda 20 3 5" xfId="1409" xr:uid="{00000000-0005-0000-0000-000080050000}"/>
    <cellStyle name="Moneda 20 4" xfId="1410" xr:uid="{00000000-0005-0000-0000-000081050000}"/>
    <cellStyle name="Moneda 20 4 2" xfId="1411" xr:uid="{00000000-0005-0000-0000-000082050000}"/>
    <cellStyle name="Moneda 20 5" xfId="1412" xr:uid="{00000000-0005-0000-0000-000083050000}"/>
    <cellStyle name="Moneda 20 5 2" xfId="1413" xr:uid="{00000000-0005-0000-0000-000084050000}"/>
    <cellStyle name="Moneda 20 6" xfId="1414" xr:uid="{00000000-0005-0000-0000-000085050000}"/>
    <cellStyle name="Moneda 20 6 2" xfId="1415" xr:uid="{00000000-0005-0000-0000-000086050000}"/>
    <cellStyle name="Moneda 20 7" xfId="1416" xr:uid="{00000000-0005-0000-0000-000087050000}"/>
    <cellStyle name="Moneda 20 8" xfId="1417" xr:uid="{00000000-0005-0000-0000-000088050000}"/>
    <cellStyle name="Moneda 21" xfId="1418" xr:uid="{00000000-0005-0000-0000-000089050000}"/>
    <cellStyle name="Moneda 21 2" xfId="1419" xr:uid="{00000000-0005-0000-0000-00008A050000}"/>
    <cellStyle name="Moneda 21 2 2" xfId="1420" xr:uid="{00000000-0005-0000-0000-00008B050000}"/>
    <cellStyle name="Moneda 21 2 2 2" xfId="1421" xr:uid="{00000000-0005-0000-0000-00008C050000}"/>
    <cellStyle name="Moneda 21 2 2 2 2" xfId="1422" xr:uid="{00000000-0005-0000-0000-00008D050000}"/>
    <cellStyle name="Moneda 21 2 2 3" xfId="1423" xr:uid="{00000000-0005-0000-0000-00008E050000}"/>
    <cellStyle name="Moneda 21 2 2 3 2" xfId="1424" xr:uid="{00000000-0005-0000-0000-00008F050000}"/>
    <cellStyle name="Moneda 21 2 2 4" xfId="1425" xr:uid="{00000000-0005-0000-0000-000090050000}"/>
    <cellStyle name="Moneda 21 2 2 4 2" xfId="1426" xr:uid="{00000000-0005-0000-0000-000091050000}"/>
    <cellStyle name="Moneda 21 2 2 5" xfId="1427" xr:uid="{00000000-0005-0000-0000-000092050000}"/>
    <cellStyle name="Moneda 21 2 3" xfId="1428" xr:uid="{00000000-0005-0000-0000-000093050000}"/>
    <cellStyle name="Moneda 21 2 3 2" xfId="1429" xr:uid="{00000000-0005-0000-0000-000094050000}"/>
    <cellStyle name="Moneda 21 2 4" xfId="1430" xr:uid="{00000000-0005-0000-0000-000095050000}"/>
    <cellStyle name="Moneda 21 2 4 2" xfId="1431" xr:uid="{00000000-0005-0000-0000-000096050000}"/>
    <cellStyle name="Moneda 21 2 5" xfId="1432" xr:uid="{00000000-0005-0000-0000-000097050000}"/>
    <cellStyle name="Moneda 21 2 5 2" xfId="1433" xr:uid="{00000000-0005-0000-0000-000098050000}"/>
    <cellStyle name="Moneda 21 2 6" xfId="1434" xr:uid="{00000000-0005-0000-0000-000099050000}"/>
    <cellStyle name="Moneda 21 2 7" xfId="1435" xr:uid="{00000000-0005-0000-0000-00009A050000}"/>
    <cellStyle name="Moneda 21 3" xfId="1436" xr:uid="{00000000-0005-0000-0000-00009B050000}"/>
    <cellStyle name="Moneda 21 3 2" xfId="1437" xr:uid="{00000000-0005-0000-0000-00009C050000}"/>
    <cellStyle name="Moneda 21 3 2 2" xfId="1438" xr:uid="{00000000-0005-0000-0000-00009D050000}"/>
    <cellStyle name="Moneda 21 3 3" xfId="1439" xr:uid="{00000000-0005-0000-0000-00009E050000}"/>
    <cellStyle name="Moneda 21 3 3 2" xfId="1440" xr:uid="{00000000-0005-0000-0000-00009F050000}"/>
    <cellStyle name="Moneda 21 3 4" xfId="1441" xr:uid="{00000000-0005-0000-0000-0000A0050000}"/>
    <cellStyle name="Moneda 21 3 4 2" xfId="1442" xr:uid="{00000000-0005-0000-0000-0000A1050000}"/>
    <cellStyle name="Moneda 21 3 5" xfId="1443" xr:uid="{00000000-0005-0000-0000-0000A2050000}"/>
    <cellStyle name="Moneda 21 4" xfId="1444" xr:uid="{00000000-0005-0000-0000-0000A3050000}"/>
    <cellStyle name="Moneda 21 4 2" xfId="1445" xr:uid="{00000000-0005-0000-0000-0000A4050000}"/>
    <cellStyle name="Moneda 21 5" xfId="1446" xr:uid="{00000000-0005-0000-0000-0000A5050000}"/>
    <cellStyle name="Moneda 21 5 2" xfId="1447" xr:uid="{00000000-0005-0000-0000-0000A6050000}"/>
    <cellStyle name="Moneda 21 6" xfId="1448" xr:uid="{00000000-0005-0000-0000-0000A7050000}"/>
    <cellStyle name="Moneda 21 6 2" xfId="1449" xr:uid="{00000000-0005-0000-0000-0000A8050000}"/>
    <cellStyle name="Moneda 21 7" xfId="1450" xr:uid="{00000000-0005-0000-0000-0000A9050000}"/>
    <cellStyle name="Moneda 21 8" xfId="1451" xr:uid="{00000000-0005-0000-0000-0000AA050000}"/>
    <cellStyle name="Moneda 22" xfId="1452" xr:uid="{00000000-0005-0000-0000-0000AB050000}"/>
    <cellStyle name="Moneda 22 2" xfId="1453" xr:uid="{00000000-0005-0000-0000-0000AC050000}"/>
    <cellStyle name="Moneda 22 2 2" xfId="1454" xr:uid="{00000000-0005-0000-0000-0000AD050000}"/>
    <cellStyle name="Moneda 22 2 2 2" xfId="1455" xr:uid="{00000000-0005-0000-0000-0000AE050000}"/>
    <cellStyle name="Moneda 22 2 2 2 2" xfId="1456" xr:uid="{00000000-0005-0000-0000-0000AF050000}"/>
    <cellStyle name="Moneda 22 2 2 3" xfId="1457" xr:uid="{00000000-0005-0000-0000-0000B0050000}"/>
    <cellStyle name="Moneda 22 2 2 3 2" xfId="1458" xr:uid="{00000000-0005-0000-0000-0000B1050000}"/>
    <cellStyle name="Moneda 22 2 2 4" xfId="1459" xr:uid="{00000000-0005-0000-0000-0000B2050000}"/>
    <cellStyle name="Moneda 22 2 2 4 2" xfId="1460" xr:uid="{00000000-0005-0000-0000-0000B3050000}"/>
    <cellStyle name="Moneda 22 2 2 5" xfId="1461" xr:uid="{00000000-0005-0000-0000-0000B4050000}"/>
    <cellStyle name="Moneda 22 2 3" xfId="1462" xr:uid="{00000000-0005-0000-0000-0000B5050000}"/>
    <cellStyle name="Moneda 22 2 3 2" xfId="1463" xr:uid="{00000000-0005-0000-0000-0000B6050000}"/>
    <cellStyle name="Moneda 22 2 4" xfId="1464" xr:uid="{00000000-0005-0000-0000-0000B7050000}"/>
    <cellStyle name="Moneda 22 2 4 2" xfId="1465" xr:uid="{00000000-0005-0000-0000-0000B8050000}"/>
    <cellStyle name="Moneda 22 2 5" xfId="1466" xr:uid="{00000000-0005-0000-0000-0000B9050000}"/>
    <cellStyle name="Moneda 22 2 5 2" xfId="1467" xr:uid="{00000000-0005-0000-0000-0000BA050000}"/>
    <cellStyle name="Moneda 22 2 6" xfId="1468" xr:uid="{00000000-0005-0000-0000-0000BB050000}"/>
    <cellStyle name="Moneda 22 3" xfId="1469" xr:uid="{00000000-0005-0000-0000-0000BC050000}"/>
    <cellStyle name="Moneda 22 3 2" xfId="1470" xr:uid="{00000000-0005-0000-0000-0000BD050000}"/>
    <cellStyle name="Moneda 22 3 2 2" xfId="1471" xr:uid="{00000000-0005-0000-0000-0000BE050000}"/>
    <cellStyle name="Moneda 22 3 3" xfId="1472" xr:uid="{00000000-0005-0000-0000-0000BF050000}"/>
    <cellStyle name="Moneda 22 3 3 2" xfId="1473" xr:uid="{00000000-0005-0000-0000-0000C0050000}"/>
    <cellStyle name="Moneda 22 3 4" xfId="1474" xr:uid="{00000000-0005-0000-0000-0000C1050000}"/>
    <cellStyle name="Moneda 22 3 4 2" xfId="1475" xr:uid="{00000000-0005-0000-0000-0000C2050000}"/>
    <cellStyle name="Moneda 22 3 5" xfId="1476" xr:uid="{00000000-0005-0000-0000-0000C3050000}"/>
    <cellStyle name="Moneda 22 4" xfId="1477" xr:uid="{00000000-0005-0000-0000-0000C4050000}"/>
    <cellStyle name="Moneda 22 4 2" xfId="1478" xr:uid="{00000000-0005-0000-0000-0000C5050000}"/>
    <cellStyle name="Moneda 22 5" xfId="1479" xr:uid="{00000000-0005-0000-0000-0000C6050000}"/>
    <cellStyle name="Moneda 22 5 2" xfId="1480" xr:uid="{00000000-0005-0000-0000-0000C7050000}"/>
    <cellStyle name="Moneda 22 6" xfId="1481" xr:uid="{00000000-0005-0000-0000-0000C8050000}"/>
    <cellStyle name="Moneda 22 6 2" xfId="1482" xr:uid="{00000000-0005-0000-0000-0000C9050000}"/>
    <cellStyle name="Moneda 22 7" xfId="1483" xr:uid="{00000000-0005-0000-0000-0000CA050000}"/>
    <cellStyle name="Moneda 22 8" xfId="1484" xr:uid="{00000000-0005-0000-0000-0000CB050000}"/>
    <cellStyle name="Moneda 23" xfId="1485" xr:uid="{00000000-0005-0000-0000-0000CC050000}"/>
    <cellStyle name="Moneda 23 2" xfId="1486" xr:uid="{00000000-0005-0000-0000-0000CD050000}"/>
    <cellStyle name="Moneda 23 2 2" xfId="1487" xr:uid="{00000000-0005-0000-0000-0000CE050000}"/>
    <cellStyle name="Moneda 23 2 2 2" xfId="1488" xr:uid="{00000000-0005-0000-0000-0000CF050000}"/>
    <cellStyle name="Moneda 23 2 3" xfId="1489" xr:uid="{00000000-0005-0000-0000-0000D0050000}"/>
    <cellStyle name="Moneda 23 2 3 2" xfId="1490" xr:uid="{00000000-0005-0000-0000-0000D1050000}"/>
    <cellStyle name="Moneda 23 2 4" xfId="1491" xr:uid="{00000000-0005-0000-0000-0000D2050000}"/>
    <cellStyle name="Moneda 23 2 4 2" xfId="1492" xr:uid="{00000000-0005-0000-0000-0000D3050000}"/>
    <cellStyle name="Moneda 23 2 5" xfId="1493" xr:uid="{00000000-0005-0000-0000-0000D4050000}"/>
    <cellStyle name="Moneda 23 3" xfId="1494" xr:uid="{00000000-0005-0000-0000-0000D5050000}"/>
    <cellStyle name="Moneda 23 3 2" xfId="1495" xr:uid="{00000000-0005-0000-0000-0000D6050000}"/>
    <cellStyle name="Moneda 23 4" xfId="1496" xr:uid="{00000000-0005-0000-0000-0000D7050000}"/>
    <cellStyle name="Moneda 23 4 2" xfId="1497" xr:uid="{00000000-0005-0000-0000-0000D8050000}"/>
    <cellStyle name="Moneda 23 5" xfId="1498" xr:uid="{00000000-0005-0000-0000-0000D9050000}"/>
    <cellStyle name="Moneda 23 5 2" xfId="1499" xr:uid="{00000000-0005-0000-0000-0000DA050000}"/>
    <cellStyle name="Moneda 23 6" xfId="1500" xr:uid="{00000000-0005-0000-0000-0000DB050000}"/>
    <cellStyle name="Moneda 23 7" xfId="1501" xr:uid="{00000000-0005-0000-0000-0000DC050000}"/>
    <cellStyle name="Moneda 24" xfId="1502" xr:uid="{00000000-0005-0000-0000-0000DD050000}"/>
    <cellStyle name="Moneda 24 2" xfId="1503" xr:uid="{00000000-0005-0000-0000-0000DE050000}"/>
    <cellStyle name="Moneda 24 2 2" xfId="1504" xr:uid="{00000000-0005-0000-0000-0000DF050000}"/>
    <cellStyle name="Moneda 24 2 2 2" xfId="1505" xr:uid="{00000000-0005-0000-0000-0000E0050000}"/>
    <cellStyle name="Moneda 24 2 3" xfId="1506" xr:uid="{00000000-0005-0000-0000-0000E1050000}"/>
    <cellStyle name="Moneda 24 2 3 2" xfId="1507" xr:uid="{00000000-0005-0000-0000-0000E2050000}"/>
    <cellStyle name="Moneda 24 2 4" xfId="1508" xr:uid="{00000000-0005-0000-0000-0000E3050000}"/>
    <cellStyle name="Moneda 24 2 4 2" xfId="1509" xr:uid="{00000000-0005-0000-0000-0000E4050000}"/>
    <cellStyle name="Moneda 24 2 5" xfId="1510" xr:uid="{00000000-0005-0000-0000-0000E5050000}"/>
    <cellStyle name="Moneda 24 3" xfId="1511" xr:uid="{00000000-0005-0000-0000-0000E6050000}"/>
    <cellStyle name="Moneda 24 3 2" xfId="1512" xr:uid="{00000000-0005-0000-0000-0000E7050000}"/>
    <cellStyle name="Moneda 24 4" xfId="1513" xr:uid="{00000000-0005-0000-0000-0000E8050000}"/>
    <cellStyle name="Moneda 24 4 2" xfId="1514" xr:uid="{00000000-0005-0000-0000-0000E9050000}"/>
    <cellStyle name="Moneda 24 5" xfId="1515" xr:uid="{00000000-0005-0000-0000-0000EA050000}"/>
    <cellStyle name="Moneda 24 5 2" xfId="1516" xr:uid="{00000000-0005-0000-0000-0000EB050000}"/>
    <cellStyle name="Moneda 24 6" xfId="1517" xr:uid="{00000000-0005-0000-0000-0000EC050000}"/>
    <cellStyle name="Moneda 24 7" xfId="1518" xr:uid="{00000000-0005-0000-0000-0000ED050000}"/>
    <cellStyle name="Moneda 25" xfId="1519" xr:uid="{00000000-0005-0000-0000-0000EE050000}"/>
    <cellStyle name="Moneda 25 2" xfId="1520" xr:uid="{00000000-0005-0000-0000-0000EF050000}"/>
    <cellStyle name="Moneda 25 2 2" xfId="1521" xr:uid="{00000000-0005-0000-0000-0000F0050000}"/>
    <cellStyle name="Moneda 25 3" xfId="1522" xr:uid="{00000000-0005-0000-0000-0000F1050000}"/>
    <cellStyle name="Moneda 25 3 2" xfId="1523" xr:uid="{00000000-0005-0000-0000-0000F2050000}"/>
    <cellStyle name="Moneda 25 4" xfId="1524" xr:uid="{00000000-0005-0000-0000-0000F3050000}"/>
    <cellStyle name="Moneda 25 4 2" xfId="1525" xr:uid="{00000000-0005-0000-0000-0000F4050000}"/>
    <cellStyle name="Moneda 25 5" xfId="1526" xr:uid="{00000000-0005-0000-0000-0000F5050000}"/>
    <cellStyle name="Moneda 26" xfId="1527" xr:uid="{00000000-0005-0000-0000-0000F6050000}"/>
    <cellStyle name="Moneda 26 2" xfId="1528" xr:uid="{00000000-0005-0000-0000-0000F7050000}"/>
    <cellStyle name="Moneda 26 2 2" xfId="1529" xr:uid="{00000000-0005-0000-0000-0000F8050000}"/>
    <cellStyle name="Moneda 26 3" xfId="1530" xr:uid="{00000000-0005-0000-0000-0000F9050000}"/>
    <cellStyle name="Moneda 26 3 2" xfId="1531" xr:uid="{00000000-0005-0000-0000-0000FA050000}"/>
    <cellStyle name="Moneda 26 4" xfId="1532" xr:uid="{00000000-0005-0000-0000-0000FB050000}"/>
    <cellStyle name="Moneda 26 4 2" xfId="1533" xr:uid="{00000000-0005-0000-0000-0000FC050000}"/>
    <cellStyle name="Moneda 26 5" xfId="1534" xr:uid="{00000000-0005-0000-0000-0000FD050000}"/>
    <cellStyle name="Moneda 27" xfId="1535" xr:uid="{00000000-0005-0000-0000-0000FE050000}"/>
    <cellStyle name="Moneda 27 2" xfId="1536" xr:uid="{00000000-0005-0000-0000-0000FF050000}"/>
    <cellStyle name="Moneda 27 2 2" xfId="1537" xr:uid="{00000000-0005-0000-0000-000000060000}"/>
    <cellStyle name="Moneda 27 3" xfId="1538" xr:uid="{00000000-0005-0000-0000-000001060000}"/>
    <cellStyle name="Moneda 27 3 2" xfId="1539" xr:uid="{00000000-0005-0000-0000-000002060000}"/>
    <cellStyle name="Moneda 27 4" xfId="1540" xr:uid="{00000000-0005-0000-0000-000003060000}"/>
    <cellStyle name="Moneda 27 4 2" xfId="1541" xr:uid="{00000000-0005-0000-0000-000004060000}"/>
    <cellStyle name="Moneda 27 5" xfId="1542" xr:uid="{00000000-0005-0000-0000-000005060000}"/>
    <cellStyle name="Moneda 28" xfId="1543" xr:uid="{00000000-0005-0000-0000-000006060000}"/>
    <cellStyle name="Moneda 28 2" xfId="1544" xr:uid="{00000000-0005-0000-0000-000007060000}"/>
    <cellStyle name="Moneda 28 2 2" xfId="1545" xr:uid="{00000000-0005-0000-0000-000008060000}"/>
    <cellStyle name="Moneda 28 3" xfId="1546" xr:uid="{00000000-0005-0000-0000-000009060000}"/>
    <cellStyle name="Moneda 28 3 2" xfId="1547" xr:uid="{00000000-0005-0000-0000-00000A060000}"/>
    <cellStyle name="Moneda 28 4" xfId="1548" xr:uid="{00000000-0005-0000-0000-00000B060000}"/>
    <cellStyle name="Moneda 28 4 2" xfId="1549" xr:uid="{00000000-0005-0000-0000-00000C060000}"/>
    <cellStyle name="Moneda 28 5" xfId="1550" xr:uid="{00000000-0005-0000-0000-00000D060000}"/>
    <cellStyle name="Moneda 29" xfId="1551" xr:uid="{00000000-0005-0000-0000-00000E060000}"/>
    <cellStyle name="Moneda 29 2" xfId="1552" xr:uid="{00000000-0005-0000-0000-00000F060000}"/>
    <cellStyle name="Moneda 29 2 2" xfId="1553" xr:uid="{00000000-0005-0000-0000-000010060000}"/>
    <cellStyle name="Moneda 29 3" xfId="1554" xr:uid="{00000000-0005-0000-0000-000011060000}"/>
    <cellStyle name="Moneda 29 3 2" xfId="1555" xr:uid="{00000000-0005-0000-0000-000012060000}"/>
    <cellStyle name="Moneda 29 4" xfId="1556" xr:uid="{00000000-0005-0000-0000-000013060000}"/>
    <cellStyle name="Moneda 29 4 2" xfId="1557" xr:uid="{00000000-0005-0000-0000-000014060000}"/>
    <cellStyle name="Moneda 29 5" xfId="1558" xr:uid="{00000000-0005-0000-0000-000015060000}"/>
    <cellStyle name="Moneda 3" xfId="1559" xr:uid="{00000000-0005-0000-0000-000016060000}"/>
    <cellStyle name="Moneda 3 10" xfId="1560" xr:uid="{00000000-0005-0000-0000-000017060000}"/>
    <cellStyle name="Moneda 3 10 2" xfId="1561" xr:uid="{00000000-0005-0000-0000-000018060000}"/>
    <cellStyle name="Moneda 3 10 2 2" xfId="1562" xr:uid="{00000000-0005-0000-0000-000019060000}"/>
    <cellStyle name="Moneda 3 10 3" xfId="1563" xr:uid="{00000000-0005-0000-0000-00001A060000}"/>
    <cellStyle name="Moneda 3 10 3 2" xfId="1564" xr:uid="{00000000-0005-0000-0000-00001B060000}"/>
    <cellStyle name="Moneda 3 10 4" xfId="1565" xr:uid="{00000000-0005-0000-0000-00001C060000}"/>
    <cellStyle name="Moneda 3 10 4 2" xfId="1566" xr:uid="{00000000-0005-0000-0000-00001D060000}"/>
    <cellStyle name="Moneda 3 10 5" xfId="1567" xr:uid="{00000000-0005-0000-0000-00001E060000}"/>
    <cellStyle name="Moneda 3 11" xfId="1568" xr:uid="{00000000-0005-0000-0000-00001F060000}"/>
    <cellStyle name="Moneda 3 11 2" xfId="1569" xr:uid="{00000000-0005-0000-0000-000020060000}"/>
    <cellStyle name="Moneda 3 12" xfId="1570" xr:uid="{00000000-0005-0000-0000-000021060000}"/>
    <cellStyle name="Moneda 3 12 2" xfId="1571" xr:uid="{00000000-0005-0000-0000-000022060000}"/>
    <cellStyle name="Moneda 3 13" xfId="1572" xr:uid="{00000000-0005-0000-0000-000023060000}"/>
    <cellStyle name="Moneda 3 13 2" xfId="1573" xr:uid="{00000000-0005-0000-0000-000024060000}"/>
    <cellStyle name="Moneda 3 14" xfId="1574" xr:uid="{00000000-0005-0000-0000-000025060000}"/>
    <cellStyle name="Moneda 3 14 2" xfId="1575" xr:uid="{00000000-0005-0000-0000-000026060000}"/>
    <cellStyle name="Moneda 3 15" xfId="1576" xr:uid="{00000000-0005-0000-0000-000027060000}"/>
    <cellStyle name="Moneda 3 15 2" xfId="1577" xr:uid="{00000000-0005-0000-0000-000028060000}"/>
    <cellStyle name="Moneda 3 15 3" xfId="1578" xr:uid="{00000000-0005-0000-0000-000029060000}"/>
    <cellStyle name="Moneda 3 16" xfId="1579" xr:uid="{00000000-0005-0000-0000-00002A060000}"/>
    <cellStyle name="Moneda 3 2" xfId="1580" xr:uid="{00000000-0005-0000-0000-00002B060000}"/>
    <cellStyle name="Moneda 3 2 10" xfId="1581" xr:uid="{00000000-0005-0000-0000-00002C060000}"/>
    <cellStyle name="Moneda 3 2 10 2" xfId="1582" xr:uid="{00000000-0005-0000-0000-00002D060000}"/>
    <cellStyle name="Moneda 3 2 11" xfId="1583" xr:uid="{00000000-0005-0000-0000-00002E060000}"/>
    <cellStyle name="Moneda 3 2 2" xfId="1584" xr:uid="{00000000-0005-0000-0000-00002F060000}"/>
    <cellStyle name="Moneda 3 2 2 2" xfId="1585" xr:uid="{00000000-0005-0000-0000-000030060000}"/>
    <cellStyle name="Moneda 3 2 2 2 2" xfId="1586" xr:uid="{00000000-0005-0000-0000-000031060000}"/>
    <cellStyle name="Moneda 3 2 2 2 2 2" xfId="1587" xr:uid="{00000000-0005-0000-0000-000032060000}"/>
    <cellStyle name="Moneda 3 2 2 2 2 2 2" xfId="1588" xr:uid="{00000000-0005-0000-0000-000033060000}"/>
    <cellStyle name="Moneda 3 2 2 2 2 3" xfId="1589" xr:uid="{00000000-0005-0000-0000-000034060000}"/>
    <cellStyle name="Moneda 3 2 2 2 2 3 2" xfId="1590" xr:uid="{00000000-0005-0000-0000-000035060000}"/>
    <cellStyle name="Moneda 3 2 2 2 2 4" xfId="1591" xr:uid="{00000000-0005-0000-0000-000036060000}"/>
    <cellStyle name="Moneda 3 2 2 2 2 4 2" xfId="1592" xr:uid="{00000000-0005-0000-0000-000037060000}"/>
    <cellStyle name="Moneda 3 2 2 2 2 5" xfId="1593" xr:uid="{00000000-0005-0000-0000-000038060000}"/>
    <cellStyle name="Moneda 3 2 2 2 3" xfId="1594" xr:uid="{00000000-0005-0000-0000-000039060000}"/>
    <cellStyle name="Moneda 3 2 2 2 3 2" xfId="1595" xr:uid="{00000000-0005-0000-0000-00003A060000}"/>
    <cellStyle name="Moneda 3 2 2 2 4" xfId="1596" xr:uid="{00000000-0005-0000-0000-00003B060000}"/>
    <cellStyle name="Moneda 3 2 2 2 4 2" xfId="1597" xr:uid="{00000000-0005-0000-0000-00003C060000}"/>
    <cellStyle name="Moneda 3 2 2 2 5" xfId="1598" xr:uid="{00000000-0005-0000-0000-00003D060000}"/>
    <cellStyle name="Moneda 3 2 2 2 5 2" xfId="1599" xr:uid="{00000000-0005-0000-0000-00003E060000}"/>
    <cellStyle name="Moneda 3 2 2 2 6" xfId="1600" xr:uid="{00000000-0005-0000-0000-00003F060000}"/>
    <cellStyle name="Moneda 3 2 2 3" xfId="1601" xr:uid="{00000000-0005-0000-0000-000040060000}"/>
    <cellStyle name="Moneda 3 2 2 3 2" xfId="1602" xr:uid="{00000000-0005-0000-0000-000041060000}"/>
    <cellStyle name="Moneda 3 2 2 3 2 2" xfId="1603" xr:uid="{00000000-0005-0000-0000-000042060000}"/>
    <cellStyle name="Moneda 3 2 2 3 2 2 2" xfId="1604" xr:uid="{00000000-0005-0000-0000-000043060000}"/>
    <cellStyle name="Moneda 3 2 2 3 2 3" xfId="1605" xr:uid="{00000000-0005-0000-0000-000044060000}"/>
    <cellStyle name="Moneda 3 2 2 3 3" xfId="1606" xr:uid="{00000000-0005-0000-0000-000045060000}"/>
    <cellStyle name="Moneda 3 2 2 3 3 2" xfId="1607" xr:uid="{00000000-0005-0000-0000-000046060000}"/>
    <cellStyle name="Moneda 3 2 2 3 4" xfId="1608" xr:uid="{00000000-0005-0000-0000-000047060000}"/>
    <cellStyle name="Moneda 3 2 2 3 4 2" xfId="1609" xr:uid="{00000000-0005-0000-0000-000048060000}"/>
    <cellStyle name="Moneda 3 2 2 3 5" xfId="1610" xr:uid="{00000000-0005-0000-0000-000049060000}"/>
    <cellStyle name="Moneda 3 2 2 4" xfId="1611" xr:uid="{00000000-0005-0000-0000-00004A060000}"/>
    <cellStyle name="Moneda 3 2 2 4 2" xfId="1612" xr:uid="{00000000-0005-0000-0000-00004B060000}"/>
    <cellStyle name="Moneda 3 2 2 4 2 2" xfId="1613" xr:uid="{00000000-0005-0000-0000-00004C060000}"/>
    <cellStyle name="Moneda 3 2 2 4 2 2 2" xfId="1614" xr:uid="{00000000-0005-0000-0000-00004D060000}"/>
    <cellStyle name="Moneda 3 2 2 4 2 3" xfId="1615" xr:uid="{00000000-0005-0000-0000-00004E060000}"/>
    <cellStyle name="Moneda 3 2 2 4 3" xfId="1616" xr:uid="{00000000-0005-0000-0000-00004F060000}"/>
    <cellStyle name="Moneda 3 2 2 4 3 2" xfId="1617" xr:uid="{00000000-0005-0000-0000-000050060000}"/>
    <cellStyle name="Moneda 3 2 2 4 4" xfId="1618" xr:uid="{00000000-0005-0000-0000-000051060000}"/>
    <cellStyle name="Moneda 3 2 2 5" xfId="1619" xr:uid="{00000000-0005-0000-0000-000052060000}"/>
    <cellStyle name="Moneda 3 2 2 5 2" xfId="1620" xr:uid="{00000000-0005-0000-0000-000053060000}"/>
    <cellStyle name="Moneda 3 2 2 5 2 2" xfId="1621" xr:uid="{00000000-0005-0000-0000-000054060000}"/>
    <cellStyle name="Moneda 3 2 2 5 3" xfId="1622" xr:uid="{00000000-0005-0000-0000-000055060000}"/>
    <cellStyle name="Moneda 3 2 2 6" xfId="1623" xr:uid="{00000000-0005-0000-0000-000056060000}"/>
    <cellStyle name="Moneda 3 2 2 6 2" xfId="1624" xr:uid="{00000000-0005-0000-0000-000057060000}"/>
    <cellStyle name="Moneda 3 2 2 7" xfId="1625" xr:uid="{00000000-0005-0000-0000-000058060000}"/>
    <cellStyle name="Moneda 3 2 3" xfId="1626" xr:uid="{00000000-0005-0000-0000-000059060000}"/>
    <cellStyle name="Moneda 3 2 3 2" xfId="1627" xr:uid="{00000000-0005-0000-0000-00005A060000}"/>
    <cellStyle name="Moneda 3 2 3 2 2" xfId="1628" xr:uid="{00000000-0005-0000-0000-00005B060000}"/>
    <cellStyle name="Moneda 3 2 3 2 2 2" xfId="1629" xr:uid="{00000000-0005-0000-0000-00005C060000}"/>
    <cellStyle name="Moneda 3 2 3 2 2 2 2" xfId="1630" xr:uid="{00000000-0005-0000-0000-00005D060000}"/>
    <cellStyle name="Moneda 3 2 3 2 2 3" xfId="1631" xr:uid="{00000000-0005-0000-0000-00005E060000}"/>
    <cellStyle name="Moneda 3 2 3 2 2 3 2" xfId="1632" xr:uid="{00000000-0005-0000-0000-00005F060000}"/>
    <cellStyle name="Moneda 3 2 3 2 2 4" xfId="1633" xr:uid="{00000000-0005-0000-0000-000060060000}"/>
    <cellStyle name="Moneda 3 2 3 2 2 4 2" xfId="1634" xr:uid="{00000000-0005-0000-0000-000061060000}"/>
    <cellStyle name="Moneda 3 2 3 2 2 5" xfId="1635" xr:uid="{00000000-0005-0000-0000-000062060000}"/>
    <cellStyle name="Moneda 3 2 3 2 3" xfId="1636" xr:uid="{00000000-0005-0000-0000-000063060000}"/>
    <cellStyle name="Moneda 3 2 3 2 3 2" xfId="1637" xr:uid="{00000000-0005-0000-0000-000064060000}"/>
    <cellStyle name="Moneda 3 2 3 2 4" xfId="1638" xr:uid="{00000000-0005-0000-0000-000065060000}"/>
    <cellStyle name="Moneda 3 2 3 2 4 2" xfId="1639" xr:uid="{00000000-0005-0000-0000-000066060000}"/>
    <cellStyle name="Moneda 3 2 3 2 5" xfId="1640" xr:uid="{00000000-0005-0000-0000-000067060000}"/>
    <cellStyle name="Moneda 3 2 3 2 5 2" xfId="1641" xr:uid="{00000000-0005-0000-0000-000068060000}"/>
    <cellStyle name="Moneda 3 2 3 2 6" xfId="1642" xr:uid="{00000000-0005-0000-0000-000069060000}"/>
    <cellStyle name="Moneda 3 2 3 3" xfId="1643" xr:uid="{00000000-0005-0000-0000-00006A060000}"/>
    <cellStyle name="Moneda 3 2 3 3 2" xfId="1644" xr:uid="{00000000-0005-0000-0000-00006B060000}"/>
    <cellStyle name="Moneda 3 2 3 3 2 2" xfId="1645" xr:uid="{00000000-0005-0000-0000-00006C060000}"/>
    <cellStyle name="Moneda 3 2 3 3 3" xfId="1646" xr:uid="{00000000-0005-0000-0000-00006D060000}"/>
    <cellStyle name="Moneda 3 2 3 3 3 2" xfId="1647" xr:uid="{00000000-0005-0000-0000-00006E060000}"/>
    <cellStyle name="Moneda 3 2 3 3 4" xfId="1648" xr:uid="{00000000-0005-0000-0000-00006F060000}"/>
    <cellStyle name="Moneda 3 2 3 3 4 2" xfId="1649" xr:uid="{00000000-0005-0000-0000-000070060000}"/>
    <cellStyle name="Moneda 3 2 3 3 5" xfId="1650" xr:uid="{00000000-0005-0000-0000-000071060000}"/>
    <cellStyle name="Moneda 3 2 3 4" xfId="1651" xr:uid="{00000000-0005-0000-0000-000072060000}"/>
    <cellStyle name="Moneda 3 2 3 4 2" xfId="1652" xr:uid="{00000000-0005-0000-0000-000073060000}"/>
    <cellStyle name="Moneda 3 2 3 5" xfId="1653" xr:uid="{00000000-0005-0000-0000-000074060000}"/>
    <cellStyle name="Moneda 3 2 3 5 2" xfId="1654" xr:uid="{00000000-0005-0000-0000-000075060000}"/>
    <cellStyle name="Moneda 3 2 3 6" xfId="1655" xr:uid="{00000000-0005-0000-0000-000076060000}"/>
    <cellStyle name="Moneda 3 2 3 6 2" xfId="1656" xr:uid="{00000000-0005-0000-0000-000077060000}"/>
    <cellStyle name="Moneda 3 2 3 7" xfId="1657" xr:uid="{00000000-0005-0000-0000-000078060000}"/>
    <cellStyle name="Moneda 3 2 4" xfId="1658" xr:uid="{00000000-0005-0000-0000-000079060000}"/>
    <cellStyle name="Moneda 3 2 4 2" xfId="1659" xr:uid="{00000000-0005-0000-0000-00007A060000}"/>
    <cellStyle name="Moneda 3 2 4 2 2" xfId="1660" xr:uid="{00000000-0005-0000-0000-00007B060000}"/>
    <cellStyle name="Moneda 3 2 4 2 2 2" xfId="1661" xr:uid="{00000000-0005-0000-0000-00007C060000}"/>
    <cellStyle name="Moneda 3 2 4 2 2 2 2" xfId="1662" xr:uid="{00000000-0005-0000-0000-00007D060000}"/>
    <cellStyle name="Moneda 3 2 4 2 2 3" xfId="1663" xr:uid="{00000000-0005-0000-0000-00007E060000}"/>
    <cellStyle name="Moneda 3 2 4 2 2 3 2" xfId="1664" xr:uid="{00000000-0005-0000-0000-00007F060000}"/>
    <cellStyle name="Moneda 3 2 4 2 2 4" xfId="1665" xr:uid="{00000000-0005-0000-0000-000080060000}"/>
    <cellStyle name="Moneda 3 2 4 2 2 4 2" xfId="1666" xr:uid="{00000000-0005-0000-0000-000081060000}"/>
    <cellStyle name="Moneda 3 2 4 2 2 5" xfId="1667" xr:uid="{00000000-0005-0000-0000-000082060000}"/>
    <cellStyle name="Moneda 3 2 4 2 3" xfId="1668" xr:uid="{00000000-0005-0000-0000-000083060000}"/>
    <cellStyle name="Moneda 3 2 4 2 3 2" xfId="1669" xr:uid="{00000000-0005-0000-0000-000084060000}"/>
    <cellStyle name="Moneda 3 2 4 2 4" xfId="1670" xr:uid="{00000000-0005-0000-0000-000085060000}"/>
    <cellStyle name="Moneda 3 2 4 2 4 2" xfId="1671" xr:uid="{00000000-0005-0000-0000-000086060000}"/>
    <cellStyle name="Moneda 3 2 4 2 5" xfId="1672" xr:uid="{00000000-0005-0000-0000-000087060000}"/>
    <cellStyle name="Moneda 3 2 4 2 5 2" xfId="1673" xr:uid="{00000000-0005-0000-0000-000088060000}"/>
    <cellStyle name="Moneda 3 2 4 2 6" xfId="1674" xr:uid="{00000000-0005-0000-0000-000089060000}"/>
    <cellStyle name="Moneda 3 2 4 3" xfId="1675" xr:uid="{00000000-0005-0000-0000-00008A060000}"/>
    <cellStyle name="Moneda 3 2 4 3 2" xfId="1676" xr:uid="{00000000-0005-0000-0000-00008B060000}"/>
    <cellStyle name="Moneda 3 2 4 3 2 2" xfId="1677" xr:uid="{00000000-0005-0000-0000-00008C060000}"/>
    <cellStyle name="Moneda 3 2 4 3 3" xfId="1678" xr:uid="{00000000-0005-0000-0000-00008D060000}"/>
    <cellStyle name="Moneda 3 2 4 3 3 2" xfId="1679" xr:uid="{00000000-0005-0000-0000-00008E060000}"/>
    <cellStyle name="Moneda 3 2 4 3 4" xfId="1680" xr:uid="{00000000-0005-0000-0000-00008F060000}"/>
    <cellStyle name="Moneda 3 2 4 3 4 2" xfId="1681" xr:uid="{00000000-0005-0000-0000-000090060000}"/>
    <cellStyle name="Moneda 3 2 4 3 5" xfId="1682" xr:uid="{00000000-0005-0000-0000-000091060000}"/>
    <cellStyle name="Moneda 3 2 4 4" xfId="1683" xr:uid="{00000000-0005-0000-0000-000092060000}"/>
    <cellStyle name="Moneda 3 2 4 4 2" xfId="1684" xr:uid="{00000000-0005-0000-0000-000093060000}"/>
    <cellStyle name="Moneda 3 2 4 5" xfId="1685" xr:uid="{00000000-0005-0000-0000-000094060000}"/>
    <cellStyle name="Moneda 3 2 4 5 2" xfId="1686" xr:uid="{00000000-0005-0000-0000-000095060000}"/>
    <cellStyle name="Moneda 3 2 4 6" xfId="1687" xr:uid="{00000000-0005-0000-0000-000096060000}"/>
    <cellStyle name="Moneda 3 2 4 6 2" xfId="1688" xr:uid="{00000000-0005-0000-0000-000097060000}"/>
    <cellStyle name="Moneda 3 2 4 7" xfId="1689" xr:uid="{00000000-0005-0000-0000-000098060000}"/>
    <cellStyle name="Moneda 3 2 5" xfId="1690" xr:uid="{00000000-0005-0000-0000-000099060000}"/>
    <cellStyle name="Moneda 3 2 5 2" xfId="1691" xr:uid="{00000000-0005-0000-0000-00009A060000}"/>
    <cellStyle name="Moneda 3 2 5 2 2" xfId="1692" xr:uid="{00000000-0005-0000-0000-00009B060000}"/>
    <cellStyle name="Moneda 3 2 5 2 2 2" xfId="1693" xr:uid="{00000000-0005-0000-0000-00009C060000}"/>
    <cellStyle name="Moneda 3 2 5 2 3" xfId="1694" xr:uid="{00000000-0005-0000-0000-00009D060000}"/>
    <cellStyle name="Moneda 3 2 5 2 3 2" xfId="1695" xr:uid="{00000000-0005-0000-0000-00009E060000}"/>
    <cellStyle name="Moneda 3 2 5 2 4" xfId="1696" xr:uid="{00000000-0005-0000-0000-00009F060000}"/>
    <cellStyle name="Moneda 3 2 5 2 4 2" xfId="1697" xr:uid="{00000000-0005-0000-0000-0000A0060000}"/>
    <cellStyle name="Moneda 3 2 5 2 5" xfId="1698" xr:uid="{00000000-0005-0000-0000-0000A1060000}"/>
    <cellStyle name="Moneda 3 2 5 3" xfId="1699" xr:uid="{00000000-0005-0000-0000-0000A2060000}"/>
    <cellStyle name="Moneda 3 2 5 3 2" xfId="1700" xr:uid="{00000000-0005-0000-0000-0000A3060000}"/>
    <cellStyle name="Moneda 3 2 5 4" xfId="1701" xr:uid="{00000000-0005-0000-0000-0000A4060000}"/>
    <cellStyle name="Moneda 3 2 5 4 2" xfId="1702" xr:uid="{00000000-0005-0000-0000-0000A5060000}"/>
    <cellStyle name="Moneda 3 2 5 5" xfId="1703" xr:uid="{00000000-0005-0000-0000-0000A6060000}"/>
    <cellStyle name="Moneda 3 2 5 5 2" xfId="1704" xr:uid="{00000000-0005-0000-0000-0000A7060000}"/>
    <cellStyle name="Moneda 3 2 5 6" xfId="1705" xr:uid="{00000000-0005-0000-0000-0000A8060000}"/>
    <cellStyle name="Moneda 3 2 6" xfId="1706" xr:uid="{00000000-0005-0000-0000-0000A9060000}"/>
    <cellStyle name="Moneda 3 2 6 2" xfId="1707" xr:uid="{00000000-0005-0000-0000-0000AA060000}"/>
    <cellStyle name="Moneda 3 2 6 2 2" xfId="1708" xr:uid="{00000000-0005-0000-0000-0000AB060000}"/>
    <cellStyle name="Moneda 3 2 6 2 3" xfId="1709" xr:uid="{00000000-0005-0000-0000-0000AC060000}"/>
    <cellStyle name="Moneda 3 2 6 3" xfId="1710" xr:uid="{00000000-0005-0000-0000-0000AD060000}"/>
    <cellStyle name="Moneda 3 2 6 4" xfId="1711" xr:uid="{00000000-0005-0000-0000-0000AE060000}"/>
    <cellStyle name="Moneda 3 2 7" xfId="1712" xr:uid="{00000000-0005-0000-0000-0000AF060000}"/>
    <cellStyle name="Moneda 3 2 7 2" xfId="1713" xr:uid="{00000000-0005-0000-0000-0000B0060000}"/>
    <cellStyle name="Moneda 3 2 7 2 2" xfId="1714" xr:uid="{00000000-0005-0000-0000-0000B1060000}"/>
    <cellStyle name="Moneda 3 2 7 3" xfId="1715" xr:uid="{00000000-0005-0000-0000-0000B2060000}"/>
    <cellStyle name="Moneda 3 2 7 3 2" xfId="1716" xr:uid="{00000000-0005-0000-0000-0000B3060000}"/>
    <cellStyle name="Moneda 3 2 7 4" xfId="1717" xr:uid="{00000000-0005-0000-0000-0000B4060000}"/>
    <cellStyle name="Moneda 3 2 7 4 2" xfId="1718" xr:uid="{00000000-0005-0000-0000-0000B5060000}"/>
    <cellStyle name="Moneda 3 2 7 5" xfId="1719" xr:uid="{00000000-0005-0000-0000-0000B6060000}"/>
    <cellStyle name="Moneda 3 2 8" xfId="1720" xr:uid="{00000000-0005-0000-0000-0000B7060000}"/>
    <cellStyle name="Moneda 3 2 8 2" xfId="1721" xr:uid="{00000000-0005-0000-0000-0000B8060000}"/>
    <cellStyle name="Moneda 3 2 8 3" xfId="1722" xr:uid="{00000000-0005-0000-0000-0000B9060000}"/>
    <cellStyle name="Moneda 3 2 9" xfId="1723" xr:uid="{00000000-0005-0000-0000-0000BA060000}"/>
    <cellStyle name="Moneda 3 2 9 2" xfId="1724" xr:uid="{00000000-0005-0000-0000-0000BB060000}"/>
    <cellStyle name="Moneda 3 3" xfId="1725" xr:uid="{00000000-0005-0000-0000-0000BC060000}"/>
    <cellStyle name="Moneda 3 3 2" xfId="1726" xr:uid="{00000000-0005-0000-0000-0000BD060000}"/>
    <cellStyle name="Moneda 3 3 2 2" xfId="1727" xr:uid="{00000000-0005-0000-0000-0000BE060000}"/>
    <cellStyle name="Moneda 3 3 2 2 2" xfId="1728" xr:uid="{00000000-0005-0000-0000-0000BF060000}"/>
    <cellStyle name="Moneda 3 3 2 2 2 2" xfId="1729" xr:uid="{00000000-0005-0000-0000-0000C0060000}"/>
    <cellStyle name="Moneda 3 3 2 2 3" xfId="1730" xr:uid="{00000000-0005-0000-0000-0000C1060000}"/>
    <cellStyle name="Moneda 3 3 2 2 3 2" xfId="1731" xr:uid="{00000000-0005-0000-0000-0000C2060000}"/>
    <cellStyle name="Moneda 3 3 2 2 4" xfId="1732" xr:uid="{00000000-0005-0000-0000-0000C3060000}"/>
    <cellStyle name="Moneda 3 3 2 2 4 2" xfId="1733" xr:uid="{00000000-0005-0000-0000-0000C4060000}"/>
    <cellStyle name="Moneda 3 3 2 2 5" xfId="1734" xr:uid="{00000000-0005-0000-0000-0000C5060000}"/>
    <cellStyle name="Moneda 3 3 2 3" xfId="1735" xr:uid="{00000000-0005-0000-0000-0000C6060000}"/>
    <cellStyle name="Moneda 3 3 2 3 2" xfId="1736" xr:uid="{00000000-0005-0000-0000-0000C7060000}"/>
    <cellStyle name="Moneda 3 3 2 4" xfId="1737" xr:uid="{00000000-0005-0000-0000-0000C8060000}"/>
    <cellStyle name="Moneda 3 3 2 4 2" xfId="1738" xr:uid="{00000000-0005-0000-0000-0000C9060000}"/>
    <cellStyle name="Moneda 3 3 2 5" xfId="1739" xr:uid="{00000000-0005-0000-0000-0000CA060000}"/>
    <cellStyle name="Moneda 3 3 2 5 2" xfId="1740" xr:uid="{00000000-0005-0000-0000-0000CB060000}"/>
    <cellStyle name="Moneda 3 3 2 6" xfId="1741" xr:uid="{00000000-0005-0000-0000-0000CC060000}"/>
    <cellStyle name="Moneda 3 3 2 7" xfId="1742" xr:uid="{00000000-0005-0000-0000-0000CD060000}"/>
    <cellStyle name="Moneda 3 3 3" xfId="1743" xr:uid="{00000000-0005-0000-0000-0000CE060000}"/>
    <cellStyle name="Moneda 3 3 3 2" xfId="1744" xr:uid="{00000000-0005-0000-0000-0000CF060000}"/>
    <cellStyle name="Moneda 3 3 3 2 2" xfId="1745" xr:uid="{00000000-0005-0000-0000-0000D0060000}"/>
    <cellStyle name="Moneda 3 3 3 3" xfId="1746" xr:uid="{00000000-0005-0000-0000-0000D1060000}"/>
    <cellStyle name="Moneda 3 3 3 3 2" xfId="1747" xr:uid="{00000000-0005-0000-0000-0000D2060000}"/>
    <cellStyle name="Moneda 3 3 3 4" xfId="1748" xr:uid="{00000000-0005-0000-0000-0000D3060000}"/>
    <cellStyle name="Moneda 3 3 3 4 2" xfId="1749" xr:uid="{00000000-0005-0000-0000-0000D4060000}"/>
    <cellStyle name="Moneda 3 3 3 5" xfId="1750" xr:uid="{00000000-0005-0000-0000-0000D5060000}"/>
    <cellStyle name="Moneda 3 3 4" xfId="1751" xr:uid="{00000000-0005-0000-0000-0000D6060000}"/>
    <cellStyle name="Moneda 3 3 4 2" xfId="1752" xr:uid="{00000000-0005-0000-0000-0000D7060000}"/>
    <cellStyle name="Moneda 3 3 5" xfId="1753" xr:uid="{00000000-0005-0000-0000-0000D8060000}"/>
    <cellStyle name="Moneda 3 3 5 2" xfId="1754" xr:uid="{00000000-0005-0000-0000-0000D9060000}"/>
    <cellStyle name="Moneda 3 3 6" xfId="1755" xr:uid="{00000000-0005-0000-0000-0000DA060000}"/>
    <cellStyle name="Moneda 3 3 6 2" xfId="1756" xr:uid="{00000000-0005-0000-0000-0000DB060000}"/>
    <cellStyle name="Moneda 3 3 7" xfId="1757" xr:uid="{00000000-0005-0000-0000-0000DC060000}"/>
    <cellStyle name="Moneda 3 3 8" xfId="1758" xr:uid="{00000000-0005-0000-0000-0000DD060000}"/>
    <cellStyle name="Moneda 3 4" xfId="1759" xr:uid="{00000000-0005-0000-0000-0000DE060000}"/>
    <cellStyle name="Moneda 3 4 2" xfId="1760" xr:uid="{00000000-0005-0000-0000-0000DF060000}"/>
    <cellStyle name="Moneda 3 4 2 2" xfId="1761" xr:uid="{00000000-0005-0000-0000-0000E0060000}"/>
    <cellStyle name="Moneda 3 4 2 2 2" xfId="1762" xr:uid="{00000000-0005-0000-0000-0000E1060000}"/>
    <cellStyle name="Moneda 3 4 2 2 2 2" xfId="1763" xr:uid="{00000000-0005-0000-0000-0000E2060000}"/>
    <cellStyle name="Moneda 3 4 2 2 3" xfId="1764" xr:uid="{00000000-0005-0000-0000-0000E3060000}"/>
    <cellStyle name="Moneda 3 4 2 2 3 2" xfId="1765" xr:uid="{00000000-0005-0000-0000-0000E4060000}"/>
    <cellStyle name="Moneda 3 4 2 2 4" xfId="1766" xr:uid="{00000000-0005-0000-0000-0000E5060000}"/>
    <cellStyle name="Moneda 3 4 2 2 4 2" xfId="1767" xr:uid="{00000000-0005-0000-0000-0000E6060000}"/>
    <cellStyle name="Moneda 3 4 2 2 5" xfId="1768" xr:uid="{00000000-0005-0000-0000-0000E7060000}"/>
    <cellStyle name="Moneda 3 4 2 3" xfId="1769" xr:uid="{00000000-0005-0000-0000-0000E8060000}"/>
    <cellStyle name="Moneda 3 4 2 3 2" xfId="1770" xr:uid="{00000000-0005-0000-0000-0000E9060000}"/>
    <cellStyle name="Moneda 3 4 2 4" xfId="1771" xr:uid="{00000000-0005-0000-0000-0000EA060000}"/>
    <cellStyle name="Moneda 3 4 2 4 2" xfId="1772" xr:uid="{00000000-0005-0000-0000-0000EB060000}"/>
    <cellStyle name="Moneda 3 4 2 5" xfId="1773" xr:uid="{00000000-0005-0000-0000-0000EC060000}"/>
    <cellStyle name="Moneda 3 4 2 5 2" xfId="1774" xr:uid="{00000000-0005-0000-0000-0000ED060000}"/>
    <cellStyle name="Moneda 3 4 2 6" xfId="1775" xr:uid="{00000000-0005-0000-0000-0000EE060000}"/>
    <cellStyle name="Moneda 3 4 3" xfId="1776" xr:uid="{00000000-0005-0000-0000-0000EF060000}"/>
    <cellStyle name="Moneda 3 4 3 2" xfId="1777" xr:uid="{00000000-0005-0000-0000-0000F0060000}"/>
    <cellStyle name="Moneda 3 4 3 2 2" xfId="1778" xr:uid="{00000000-0005-0000-0000-0000F1060000}"/>
    <cellStyle name="Moneda 3 4 3 3" xfId="1779" xr:uid="{00000000-0005-0000-0000-0000F2060000}"/>
    <cellStyle name="Moneda 3 4 3 3 2" xfId="1780" xr:uid="{00000000-0005-0000-0000-0000F3060000}"/>
    <cellStyle name="Moneda 3 4 3 4" xfId="1781" xr:uid="{00000000-0005-0000-0000-0000F4060000}"/>
    <cellStyle name="Moneda 3 4 3 4 2" xfId="1782" xr:uid="{00000000-0005-0000-0000-0000F5060000}"/>
    <cellStyle name="Moneda 3 4 3 5" xfId="1783" xr:uid="{00000000-0005-0000-0000-0000F6060000}"/>
    <cellStyle name="Moneda 3 4 4" xfId="1784" xr:uid="{00000000-0005-0000-0000-0000F7060000}"/>
    <cellStyle name="Moneda 3 4 4 2" xfId="1785" xr:uid="{00000000-0005-0000-0000-0000F8060000}"/>
    <cellStyle name="Moneda 3 4 5" xfId="1786" xr:uid="{00000000-0005-0000-0000-0000F9060000}"/>
    <cellStyle name="Moneda 3 4 5 2" xfId="1787" xr:uid="{00000000-0005-0000-0000-0000FA060000}"/>
    <cellStyle name="Moneda 3 4 6" xfId="1788" xr:uid="{00000000-0005-0000-0000-0000FB060000}"/>
    <cellStyle name="Moneda 3 4 6 2" xfId="1789" xr:uid="{00000000-0005-0000-0000-0000FC060000}"/>
    <cellStyle name="Moneda 3 4 7" xfId="1790" xr:uid="{00000000-0005-0000-0000-0000FD060000}"/>
    <cellStyle name="Moneda 3 5" xfId="1791" xr:uid="{00000000-0005-0000-0000-0000FE060000}"/>
    <cellStyle name="Moneda 3 5 2" xfId="1792" xr:uid="{00000000-0005-0000-0000-0000FF060000}"/>
    <cellStyle name="Moneda 3 5 2 2" xfId="1793" xr:uid="{00000000-0005-0000-0000-000000070000}"/>
    <cellStyle name="Moneda 3 5 2 2 2" xfId="1794" xr:uid="{00000000-0005-0000-0000-000001070000}"/>
    <cellStyle name="Moneda 3 5 2 2 2 2" xfId="1795" xr:uid="{00000000-0005-0000-0000-000002070000}"/>
    <cellStyle name="Moneda 3 5 2 2 3" xfId="1796" xr:uid="{00000000-0005-0000-0000-000003070000}"/>
    <cellStyle name="Moneda 3 5 2 2 3 2" xfId="1797" xr:uid="{00000000-0005-0000-0000-000004070000}"/>
    <cellStyle name="Moneda 3 5 2 2 4" xfId="1798" xr:uid="{00000000-0005-0000-0000-000005070000}"/>
    <cellStyle name="Moneda 3 5 2 2 4 2" xfId="1799" xr:uid="{00000000-0005-0000-0000-000006070000}"/>
    <cellStyle name="Moneda 3 5 2 2 5" xfId="1800" xr:uid="{00000000-0005-0000-0000-000007070000}"/>
    <cellStyle name="Moneda 3 5 2 3" xfId="1801" xr:uid="{00000000-0005-0000-0000-000008070000}"/>
    <cellStyle name="Moneda 3 5 2 3 2" xfId="1802" xr:uid="{00000000-0005-0000-0000-000009070000}"/>
    <cellStyle name="Moneda 3 5 2 4" xfId="1803" xr:uid="{00000000-0005-0000-0000-00000A070000}"/>
    <cellStyle name="Moneda 3 5 2 4 2" xfId="1804" xr:uid="{00000000-0005-0000-0000-00000B070000}"/>
    <cellStyle name="Moneda 3 5 2 5" xfId="1805" xr:uid="{00000000-0005-0000-0000-00000C070000}"/>
    <cellStyle name="Moneda 3 5 2 5 2" xfId="1806" xr:uid="{00000000-0005-0000-0000-00000D070000}"/>
    <cellStyle name="Moneda 3 5 2 6" xfId="1807" xr:uid="{00000000-0005-0000-0000-00000E070000}"/>
    <cellStyle name="Moneda 3 5 3" xfId="1808" xr:uid="{00000000-0005-0000-0000-00000F070000}"/>
    <cellStyle name="Moneda 3 5 3 2" xfId="1809" xr:uid="{00000000-0005-0000-0000-000010070000}"/>
    <cellStyle name="Moneda 3 5 3 2 2" xfId="1810" xr:uid="{00000000-0005-0000-0000-000011070000}"/>
    <cellStyle name="Moneda 3 5 3 3" xfId="1811" xr:uid="{00000000-0005-0000-0000-000012070000}"/>
    <cellStyle name="Moneda 3 5 3 3 2" xfId="1812" xr:uid="{00000000-0005-0000-0000-000013070000}"/>
    <cellStyle name="Moneda 3 5 3 4" xfId="1813" xr:uid="{00000000-0005-0000-0000-000014070000}"/>
    <cellStyle name="Moneda 3 5 3 4 2" xfId="1814" xr:uid="{00000000-0005-0000-0000-000015070000}"/>
    <cellStyle name="Moneda 3 5 3 5" xfId="1815" xr:uid="{00000000-0005-0000-0000-000016070000}"/>
    <cellStyle name="Moneda 3 5 4" xfId="1816" xr:uid="{00000000-0005-0000-0000-000017070000}"/>
    <cellStyle name="Moneda 3 5 4 2" xfId="1817" xr:uid="{00000000-0005-0000-0000-000018070000}"/>
    <cellStyle name="Moneda 3 5 5" xfId="1818" xr:uid="{00000000-0005-0000-0000-000019070000}"/>
    <cellStyle name="Moneda 3 5 5 2" xfId="1819" xr:uid="{00000000-0005-0000-0000-00001A070000}"/>
    <cellStyle name="Moneda 3 5 6" xfId="1820" xr:uid="{00000000-0005-0000-0000-00001B070000}"/>
    <cellStyle name="Moneda 3 5 6 2" xfId="1821" xr:uid="{00000000-0005-0000-0000-00001C070000}"/>
    <cellStyle name="Moneda 3 5 7" xfId="1822" xr:uid="{00000000-0005-0000-0000-00001D070000}"/>
    <cellStyle name="Moneda 3 5 8" xfId="1823" xr:uid="{00000000-0005-0000-0000-00001E070000}"/>
    <cellStyle name="Moneda 3 6" xfId="1824" xr:uid="{00000000-0005-0000-0000-00001F070000}"/>
    <cellStyle name="Moneda 3 6 2" xfId="1825" xr:uid="{00000000-0005-0000-0000-000020070000}"/>
    <cellStyle name="Moneda 3 6 2 2" xfId="1826" xr:uid="{00000000-0005-0000-0000-000021070000}"/>
    <cellStyle name="Moneda 3 6 2 2 2" xfId="1827" xr:uid="{00000000-0005-0000-0000-000022070000}"/>
    <cellStyle name="Moneda 3 6 2 3" xfId="1828" xr:uid="{00000000-0005-0000-0000-000023070000}"/>
    <cellStyle name="Moneda 3 6 3" xfId="1829" xr:uid="{00000000-0005-0000-0000-000024070000}"/>
    <cellStyle name="Moneda 3 7" xfId="1830" xr:uid="{00000000-0005-0000-0000-000025070000}"/>
    <cellStyle name="Moneda 3 7 2" xfId="1831" xr:uid="{00000000-0005-0000-0000-000026070000}"/>
    <cellStyle name="Moneda 3 7 2 2" xfId="1832" xr:uid="{00000000-0005-0000-0000-000027070000}"/>
    <cellStyle name="Moneda 3 7 3" xfId="1833" xr:uid="{00000000-0005-0000-0000-000028070000}"/>
    <cellStyle name="Moneda 3 8" xfId="1834" xr:uid="{00000000-0005-0000-0000-000029070000}"/>
    <cellStyle name="Moneda 3 8 2" xfId="1835" xr:uid="{00000000-0005-0000-0000-00002A070000}"/>
    <cellStyle name="Moneda 3 8 2 2" xfId="1836" xr:uid="{00000000-0005-0000-0000-00002B070000}"/>
    <cellStyle name="Moneda 3 8 2 2 2" xfId="1837" xr:uid="{00000000-0005-0000-0000-00002C070000}"/>
    <cellStyle name="Moneda 3 8 2 3" xfId="1838" xr:uid="{00000000-0005-0000-0000-00002D070000}"/>
    <cellStyle name="Moneda 3 8 2 3 2" xfId="1839" xr:uid="{00000000-0005-0000-0000-00002E070000}"/>
    <cellStyle name="Moneda 3 8 2 4" xfId="1840" xr:uid="{00000000-0005-0000-0000-00002F070000}"/>
    <cellStyle name="Moneda 3 8 2 4 2" xfId="1841" xr:uid="{00000000-0005-0000-0000-000030070000}"/>
    <cellStyle name="Moneda 3 8 2 5" xfId="1842" xr:uid="{00000000-0005-0000-0000-000031070000}"/>
    <cellStyle name="Moneda 3 8 3" xfId="1843" xr:uid="{00000000-0005-0000-0000-000032070000}"/>
    <cellStyle name="Moneda 3 8 3 2" xfId="1844" xr:uid="{00000000-0005-0000-0000-000033070000}"/>
    <cellStyle name="Moneda 3 8 4" xfId="1845" xr:uid="{00000000-0005-0000-0000-000034070000}"/>
    <cellStyle name="Moneda 3 8 4 2" xfId="1846" xr:uid="{00000000-0005-0000-0000-000035070000}"/>
    <cellStyle name="Moneda 3 8 5" xfId="1847" xr:uid="{00000000-0005-0000-0000-000036070000}"/>
    <cellStyle name="Moneda 3 8 5 2" xfId="1848" xr:uid="{00000000-0005-0000-0000-000037070000}"/>
    <cellStyle name="Moneda 3 8 6" xfId="1849" xr:uid="{00000000-0005-0000-0000-000038070000}"/>
    <cellStyle name="Moneda 3 9" xfId="1850" xr:uid="{00000000-0005-0000-0000-000039070000}"/>
    <cellStyle name="Moneda 3 9 2" xfId="1851" xr:uid="{00000000-0005-0000-0000-00003A070000}"/>
    <cellStyle name="Moneda 30" xfId="1852" xr:uid="{00000000-0005-0000-0000-00003B070000}"/>
    <cellStyle name="Moneda 30 2" xfId="1853" xr:uid="{00000000-0005-0000-0000-00003C070000}"/>
    <cellStyle name="Moneda 30 2 2" xfId="1854" xr:uid="{00000000-0005-0000-0000-00003D070000}"/>
    <cellStyle name="Moneda 30 3" xfId="1855" xr:uid="{00000000-0005-0000-0000-00003E070000}"/>
    <cellStyle name="Moneda 30 3 2" xfId="1856" xr:uid="{00000000-0005-0000-0000-00003F070000}"/>
    <cellStyle name="Moneda 30 4" xfId="1857" xr:uid="{00000000-0005-0000-0000-000040070000}"/>
    <cellStyle name="Moneda 30 4 2" xfId="1858" xr:uid="{00000000-0005-0000-0000-000041070000}"/>
    <cellStyle name="Moneda 30 5" xfId="1859" xr:uid="{00000000-0005-0000-0000-000042070000}"/>
    <cellStyle name="Moneda 31" xfId="1860" xr:uid="{00000000-0005-0000-0000-000043070000}"/>
    <cellStyle name="Moneda 31 2" xfId="1861" xr:uid="{00000000-0005-0000-0000-000044070000}"/>
    <cellStyle name="Moneda 32" xfId="1862" xr:uid="{00000000-0005-0000-0000-000045070000}"/>
    <cellStyle name="Moneda 32 2" xfId="1863" xr:uid="{00000000-0005-0000-0000-000046070000}"/>
    <cellStyle name="Moneda 33" xfId="1864" xr:uid="{00000000-0005-0000-0000-000047070000}"/>
    <cellStyle name="Moneda 33 2" xfId="1865" xr:uid="{00000000-0005-0000-0000-000048070000}"/>
    <cellStyle name="Moneda 34" xfId="1866" xr:uid="{00000000-0005-0000-0000-000049070000}"/>
    <cellStyle name="Moneda 34 2" xfId="1867" xr:uid="{00000000-0005-0000-0000-00004A070000}"/>
    <cellStyle name="Moneda 35" xfId="1868" xr:uid="{00000000-0005-0000-0000-00004B070000}"/>
    <cellStyle name="Moneda 35 2" xfId="1869" xr:uid="{00000000-0005-0000-0000-00004C070000}"/>
    <cellStyle name="Moneda 36" xfId="1870" xr:uid="{00000000-0005-0000-0000-00004D070000}"/>
    <cellStyle name="Moneda 36 2" xfId="1871" xr:uid="{00000000-0005-0000-0000-00004E070000}"/>
    <cellStyle name="Moneda 37" xfId="1872" xr:uid="{00000000-0005-0000-0000-00004F070000}"/>
    <cellStyle name="Moneda 37 2" xfId="1873" xr:uid="{00000000-0005-0000-0000-000050070000}"/>
    <cellStyle name="Moneda 38" xfId="1874" xr:uid="{00000000-0005-0000-0000-000051070000}"/>
    <cellStyle name="Moneda 38 2" xfId="1875" xr:uid="{00000000-0005-0000-0000-000052070000}"/>
    <cellStyle name="Moneda 39" xfId="1876" xr:uid="{00000000-0005-0000-0000-000053070000}"/>
    <cellStyle name="Moneda 39 2" xfId="1877" xr:uid="{00000000-0005-0000-0000-000054070000}"/>
    <cellStyle name="Moneda 4" xfId="1878" xr:uid="{00000000-0005-0000-0000-000055070000}"/>
    <cellStyle name="Moneda 4 2" xfId="1879" xr:uid="{00000000-0005-0000-0000-000056070000}"/>
    <cellStyle name="Moneda 4 3" xfId="1880" xr:uid="{00000000-0005-0000-0000-000057070000}"/>
    <cellStyle name="Moneda 4 4" xfId="1881" xr:uid="{00000000-0005-0000-0000-000058070000}"/>
    <cellStyle name="Moneda 40" xfId="1882" xr:uid="{00000000-0005-0000-0000-000059070000}"/>
    <cellStyle name="Moneda 40 2" xfId="1883" xr:uid="{00000000-0005-0000-0000-00005A070000}"/>
    <cellStyle name="Moneda 41" xfId="1884" xr:uid="{00000000-0005-0000-0000-00005B070000}"/>
    <cellStyle name="Moneda 41 2" xfId="1885" xr:uid="{00000000-0005-0000-0000-00005C070000}"/>
    <cellStyle name="Moneda 42" xfId="1886" xr:uid="{00000000-0005-0000-0000-00005D070000}"/>
    <cellStyle name="Moneda 42 2" xfId="1887" xr:uid="{00000000-0005-0000-0000-00005E070000}"/>
    <cellStyle name="Moneda 43" xfId="1888" xr:uid="{00000000-0005-0000-0000-00005F070000}"/>
    <cellStyle name="Moneda 43 2" xfId="1889" xr:uid="{00000000-0005-0000-0000-000060070000}"/>
    <cellStyle name="Moneda 44" xfId="1890" xr:uid="{00000000-0005-0000-0000-000061070000}"/>
    <cellStyle name="Moneda 44 2" xfId="1891" xr:uid="{00000000-0005-0000-0000-000062070000}"/>
    <cellStyle name="Moneda 45" xfId="1892" xr:uid="{00000000-0005-0000-0000-000063070000}"/>
    <cellStyle name="Moneda 45 2" xfId="1893" xr:uid="{00000000-0005-0000-0000-000064070000}"/>
    <cellStyle name="Moneda 46" xfId="1894" xr:uid="{00000000-0005-0000-0000-000065070000}"/>
    <cellStyle name="Moneda 46 2" xfId="1895" xr:uid="{00000000-0005-0000-0000-000066070000}"/>
    <cellStyle name="Moneda 47" xfId="1896" xr:uid="{00000000-0005-0000-0000-000067070000}"/>
    <cellStyle name="Moneda 47 2" xfId="1897" xr:uid="{00000000-0005-0000-0000-000068070000}"/>
    <cellStyle name="Moneda 48" xfId="1898" xr:uid="{00000000-0005-0000-0000-000069070000}"/>
    <cellStyle name="Moneda 48 2" xfId="1899" xr:uid="{00000000-0005-0000-0000-00006A070000}"/>
    <cellStyle name="Moneda 49" xfId="1900" xr:uid="{00000000-0005-0000-0000-00006B070000}"/>
    <cellStyle name="Moneda 5" xfId="1901" xr:uid="{00000000-0005-0000-0000-00006C070000}"/>
    <cellStyle name="Moneda 5 2" xfId="1902" xr:uid="{00000000-0005-0000-0000-00006D070000}"/>
    <cellStyle name="Moneda 5 3" xfId="1903" xr:uid="{00000000-0005-0000-0000-00006E070000}"/>
    <cellStyle name="Moneda 5 4" xfId="1904" xr:uid="{00000000-0005-0000-0000-00006F070000}"/>
    <cellStyle name="Moneda 5 5" xfId="1905" xr:uid="{00000000-0005-0000-0000-000070070000}"/>
    <cellStyle name="Moneda 50" xfId="1906" xr:uid="{00000000-0005-0000-0000-000071070000}"/>
    <cellStyle name="Moneda 51" xfId="1907" xr:uid="{00000000-0005-0000-0000-000072070000}"/>
    <cellStyle name="Moneda 52" xfId="1908" xr:uid="{00000000-0005-0000-0000-000073070000}"/>
    <cellStyle name="Moneda 6" xfId="1909" xr:uid="{00000000-0005-0000-0000-000074070000}"/>
    <cellStyle name="Moneda 6 10" xfId="1910" xr:uid="{00000000-0005-0000-0000-000075070000}"/>
    <cellStyle name="Moneda 6 10 2" xfId="1911" xr:uid="{00000000-0005-0000-0000-000076070000}"/>
    <cellStyle name="Moneda 6 11" xfId="1912" xr:uid="{00000000-0005-0000-0000-000077070000}"/>
    <cellStyle name="Moneda 6 11 2" xfId="1913" xr:uid="{00000000-0005-0000-0000-000078070000}"/>
    <cellStyle name="Moneda 6 12" xfId="1914" xr:uid="{00000000-0005-0000-0000-000079070000}"/>
    <cellStyle name="Moneda 6 2" xfId="1915" xr:uid="{00000000-0005-0000-0000-00007A070000}"/>
    <cellStyle name="Moneda 6 2 10" xfId="1916" xr:uid="{00000000-0005-0000-0000-00007B070000}"/>
    <cellStyle name="Moneda 6 2 11" xfId="1917" xr:uid="{00000000-0005-0000-0000-00007C070000}"/>
    <cellStyle name="Moneda 6 2 2" xfId="1918" xr:uid="{00000000-0005-0000-0000-00007D070000}"/>
    <cellStyle name="Moneda 6 2 2 2" xfId="1919" xr:uid="{00000000-0005-0000-0000-00007E070000}"/>
    <cellStyle name="Moneda 6 2 2 2 2" xfId="1920" xr:uid="{00000000-0005-0000-0000-00007F070000}"/>
    <cellStyle name="Moneda 6 2 2 2 2 2" xfId="1921" xr:uid="{00000000-0005-0000-0000-000080070000}"/>
    <cellStyle name="Moneda 6 2 2 2 2 2 2" xfId="1922" xr:uid="{00000000-0005-0000-0000-000081070000}"/>
    <cellStyle name="Moneda 6 2 2 2 2 3" xfId="1923" xr:uid="{00000000-0005-0000-0000-000082070000}"/>
    <cellStyle name="Moneda 6 2 2 2 2 3 2" xfId="1924" xr:uid="{00000000-0005-0000-0000-000083070000}"/>
    <cellStyle name="Moneda 6 2 2 2 2 4" xfId="1925" xr:uid="{00000000-0005-0000-0000-000084070000}"/>
    <cellStyle name="Moneda 6 2 2 2 2 4 2" xfId="1926" xr:uid="{00000000-0005-0000-0000-000085070000}"/>
    <cellStyle name="Moneda 6 2 2 2 2 5" xfId="1927" xr:uid="{00000000-0005-0000-0000-000086070000}"/>
    <cellStyle name="Moneda 6 2 2 2 3" xfId="1928" xr:uid="{00000000-0005-0000-0000-000087070000}"/>
    <cellStyle name="Moneda 6 2 2 2 3 2" xfId="1929" xr:uid="{00000000-0005-0000-0000-000088070000}"/>
    <cellStyle name="Moneda 6 2 2 2 4" xfId="1930" xr:uid="{00000000-0005-0000-0000-000089070000}"/>
    <cellStyle name="Moneda 6 2 2 2 4 2" xfId="1931" xr:uid="{00000000-0005-0000-0000-00008A070000}"/>
    <cellStyle name="Moneda 6 2 2 2 5" xfId="1932" xr:uid="{00000000-0005-0000-0000-00008B070000}"/>
    <cellStyle name="Moneda 6 2 2 2 5 2" xfId="1933" xr:uid="{00000000-0005-0000-0000-00008C070000}"/>
    <cellStyle name="Moneda 6 2 2 2 6" xfId="1934" xr:uid="{00000000-0005-0000-0000-00008D070000}"/>
    <cellStyle name="Moneda 6 2 2 3" xfId="1935" xr:uid="{00000000-0005-0000-0000-00008E070000}"/>
    <cellStyle name="Moneda 6 2 2 3 2" xfId="1936" xr:uid="{00000000-0005-0000-0000-00008F070000}"/>
    <cellStyle name="Moneda 6 2 2 3 2 2" xfId="1937" xr:uid="{00000000-0005-0000-0000-000090070000}"/>
    <cellStyle name="Moneda 6 2 2 3 3" xfId="1938" xr:uid="{00000000-0005-0000-0000-000091070000}"/>
    <cellStyle name="Moneda 6 2 2 3 3 2" xfId="1939" xr:uid="{00000000-0005-0000-0000-000092070000}"/>
    <cellStyle name="Moneda 6 2 2 3 4" xfId="1940" xr:uid="{00000000-0005-0000-0000-000093070000}"/>
    <cellStyle name="Moneda 6 2 2 3 4 2" xfId="1941" xr:uid="{00000000-0005-0000-0000-000094070000}"/>
    <cellStyle name="Moneda 6 2 2 3 5" xfId="1942" xr:uid="{00000000-0005-0000-0000-000095070000}"/>
    <cellStyle name="Moneda 6 2 2 4" xfId="1943" xr:uid="{00000000-0005-0000-0000-000096070000}"/>
    <cellStyle name="Moneda 6 2 2 4 2" xfId="1944" xr:uid="{00000000-0005-0000-0000-000097070000}"/>
    <cellStyle name="Moneda 6 2 2 5" xfId="1945" xr:uid="{00000000-0005-0000-0000-000098070000}"/>
    <cellStyle name="Moneda 6 2 2 5 2" xfId="1946" xr:uid="{00000000-0005-0000-0000-000099070000}"/>
    <cellStyle name="Moneda 6 2 2 6" xfId="1947" xr:uid="{00000000-0005-0000-0000-00009A070000}"/>
    <cellStyle name="Moneda 6 2 2 6 2" xfId="1948" xr:uid="{00000000-0005-0000-0000-00009B070000}"/>
    <cellStyle name="Moneda 6 2 2 7" xfId="1949" xr:uid="{00000000-0005-0000-0000-00009C070000}"/>
    <cellStyle name="Moneda 6 2 3" xfId="1950" xr:uid="{00000000-0005-0000-0000-00009D070000}"/>
    <cellStyle name="Moneda 6 2 3 2" xfId="1951" xr:uid="{00000000-0005-0000-0000-00009E070000}"/>
    <cellStyle name="Moneda 6 2 3 2 2" xfId="1952" xr:uid="{00000000-0005-0000-0000-00009F070000}"/>
    <cellStyle name="Moneda 6 2 3 2 2 2" xfId="1953" xr:uid="{00000000-0005-0000-0000-0000A0070000}"/>
    <cellStyle name="Moneda 6 2 3 2 2 2 2" xfId="1954" xr:uid="{00000000-0005-0000-0000-0000A1070000}"/>
    <cellStyle name="Moneda 6 2 3 2 2 3" xfId="1955" xr:uid="{00000000-0005-0000-0000-0000A2070000}"/>
    <cellStyle name="Moneda 6 2 3 2 2 3 2" xfId="1956" xr:uid="{00000000-0005-0000-0000-0000A3070000}"/>
    <cellStyle name="Moneda 6 2 3 2 2 4" xfId="1957" xr:uid="{00000000-0005-0000-0000-0000A4070000}"/>
    <cellStyle name="Moneda 6 2 3 2 2 4 2" xfId="1958" xr:uid="{00000000-0005-0000-0000-0000A5070000}"/>
    <cellStyle name="Moneda 6 2 3 2 2 5" xfId="1959" xr:uid="{00000000-0005-0000-0000-0000A6070000}"/>
    <cellStyle name="Moneda 6 2 3 2 3" xfId="1960" xr:uid="{00000000-0005-0000-0000-0000A7070000}"/>
    <cellStyle name="Moneda 6 2 3 2 3 2" xfId="1961" xr:uid="{00000000-0005-0000-0000-0000A8070000}"/>
    <cellStyle name="Moneda 6 2 3 2 4" xfId="1962" xr:uid="{00000000-0005-0000-0000-0000A9070000}"/>
    <cellStyle name="Moneda 6 2 3 2 4 2" xfId="1963" xr:uid="{00000000-0005-0000-0000-0000AA070000}"/>
    <cellStyle name="Moneda 6 2 3 2 5" xfId="1964" xr:uid="{00000000-0005-0000-0000-0000AB070000}"/>
    <cellStyle name="Moneda 6 2 3 2 5 2" xfId="1965" xr:uid="{00000000-0005-0000-0000-0000AC070000}"/>
    <cellStyle name="Moneda 6 2 3 2 6" xfId="1966" xr:uid="{00000000-0005-0000-0000-0000AD070000}"/>
    <cellStyle name="Moneda 6 2 3 3" xfId="1967" xr:uid="{00000000-0005-0000-0000-0000AE070000}"/>
    <cellStyle name="Moneda 6 2 3 3 2" xfId="1968" xr:uid="{00000000-0005-0000-0000-0000AF070000}"/>
    <cellStyle name="Moneda 6 2 3 3 2 2" xfId="1969" xr:uid="{00000000-0005-0000-0000-0000B0070000}"/>
    <cellStyle name="Moneda 6 2 3 3 3" xfId="1970" xr:uid="{00000000-0005-0000-0000-0000B1070000}"/>
    <cellStyle name="Moneda 6 2 3 3 3 2" xfId="1971" xr:uid="{00000000-0005-0000-0000-0000B2070000}"/>
    <cellStyle name="Moneda 6 2 3 3 4" xfId="1972" xr:uid="{00000000-0005-0000-0000-0000B3070000}"/>
    <cellStyle name="Moneda 6 2 3 3 4 2" xfId="1973" xr:uid="{00000000-0005-0000-0000-0000B4070000}"/>
    <cellStyle name="Moneda 6 2 3 3 5" xfId="1974" xr:uid="{00000000-0005-0000-0000-0000B5070000}"/>
    <cellStyle name="Moneda 6 2 3 4" xfId="1975" xr:uid="{00000000-0005-0000-0000-0000B6070000}"/>
    <cellStyle name="Moneda 6 2 3 4 2" xfId="1976" xr:uid="{00000000-0005-0000-0000-0000B7070000}"/>
    <cellStyle name="Moneda 6 2 3 5" xfId="1977" xr:uid="{00000000-0005-0000-0000-0000B8070000}"/>
    <cellStyle name="Moneda 6 2 3 5 2" xfId="1978" xr:uid="{00000000-0005-0000-0000-0000B9070000}"/>
    <cellStyle name="Moneda 6 2 3 6" xfId="1979" xr:uid="{00000000-0005-0000-0000-0000BA070000}"/>
    <cellStyle name="Moneda 6 2 3 6 2" xfId="1980" xr:uid="{00000000-0005-0000-0000-0000BB070000}"/>
    <cellStyle name="Moneda 6 2 3 7" xfId="1981" xr:uid="{00000000-0005-0000-0000-0000BC070000}"/>
    <cellStyle name="Moneda 6 2 4" xfId="1982" xr:uid="{00000000-0005-0000-0000-0000BD070000}"/>
    <cellStyle name="Moneda 6 2 4 2" xfId="1983" xr:uid="{00000000-0005-0000-0000-0000BE070000}"/>
    <cellStyle name="Moneda 6 2 4 2 2" xfId="1984" xr:uid="{00000000-0005-0000-0000-0000BF070000}"/>
    <cellStyle name="Moneda 6 2 4 2 2 2" xfId="1985" xr:uid="{00000000-0005-0000-0000-0000C0070000}"/>
    <cellStyle name="Moneda 6 2 4 2 2 2 2" xfId="1986" xr:uid="{00000000-0005-0000-0000-0000C1070000}"/>
    <cellStyle name="Moneda 6 2 4 2 2 3" xfId="1987" xr:uid="{00000000-0005-0000-0000-0000C2070000}"/>
    <cellStyle name="Moneda 6 2 4 2 2 3 2" xfId="1988" xr:uid="{00000000-0005-0000-0000-0000C3070000}"/>
    <cellStyle name="Moneda 6 2 4 2 2 4" xfId="1989" xr:uid="{00000000-0005-0000-0000-0000C4070000}"/>
    <cellStyle name="Moneda 6 2 4 2 2 4 2" xfId="1990" xr:uid="{00000000-0005-0000-0000-0000C5070000}"/>
    <cellStyle name="Moneda 6 2 4 2 2 5" xfId="1991" xr:uid="{00000000-0005-0000-0000-0000C6070000}"/>
    <cellStyle name="Moneda 6 2 4 2 3" xfId="1992" xr:uid="{00000000-0005-0000-0000-0000C7070000}"/>
    <cellStyle name="Moneda 6 2 4 2 3 2" xfId="1993" xr:uid="{00000000-0005-0000-0000-0000C8070000}"/>
    <cellStyle name="Moneda 6 2 4 2 4" xfId="1994" xr:uid="{00000000-0005-0000-0000-0000C9070000}"/>
    <cellStyle name="Moneda 6 2 4 2 4 2" xfId="1995" xr:uid="{00000000-0005-0000-0000-0000CA070000}"/>
    <cellStyle name="Moneda 6 2 4 2 5" xfId="1996" xr:uid="{00000000-0005-0000-0000-0000CB070000}"/>
    <cellStyle name="Moneda 6 2 4 2 5 2" xfId="1997" xr:uid="{00000000-0005-0000-0000-0000CC070000}"/>
    <cellStyle name="Moneda 6 2 4 2 6" xfId="1998" xr:uid="{00000000-0005-0000-0000-0000CD070000}"/>
    <cellStyle name="Moneda 6 2 4 3" xfId="1999" xr:uid="{00000000-0005-0000-0000-0000CE070000}"/>
    <cellStyle name="Moneda 6 2 4 3 2" xfId="2000" xr:uid="{00000000-0005-0000-0000-0000CF070000}"/>
    <cellStyle name="Moneda 6 2 4 3 2 2" xfId="2001" xr:uid="{00000000-0005-0000-0000-0000D0070000}"/>
    <cellStyle name="Moneda 6 2 4 3 3" xfId="2002" xr:uid="{00000000-0005-0000-0000-0000D1070000}"/>
    <cellStyle name="Moneda 6 2 4 3 3 2" xfId="2003" xr:uid="{00000000-0005-0000-0000-0000D2070000}"/>
    <cellStyle name="Moneda 6 2 4 3 4" xfId="2004" xr:uid="{00000000-0005-0000-0000-0000D3070000}"/>
    <cellStyle name="Moneda 6 2 4 3 4 2" xfId="2005" xr:uid="{00000000-0005-0000-0000-0000D4070000}"/>
    <cellStyle name="Moneda 6 2 4 3 5" xfId="2006" xr:uid="{00000000-0005-0000-0000-0000D5070000}"/>
    <cellStyle name="Moneda 6 2 4 4" xfId="2007" xr:uid="{00000000-0005-0000-0000-0000D6070000}"/>
    <cellStyle name="Moneda 6 2 4 4 2" xfId="2008" xr:uid="{00000000-0005-0000-0000-0000D7070000}"/>
    <cellStyle name="Moneda 6 2 4 5" xfId="2009" xr:uid="{00000000-0005-0000-0000-0000D8070000}"/>
    <cellStyle name="Moneda 6 2 4 5 2" xfId="2010" xr:uid="{00000000-0005-0000-0000-0000D9070000}"/>
    <cellStyle name="Moneda 6 2 4 6" xfId="2011" xr:uid="{00000000-0005-0000-0000-0000DA070000}"/>
    <cellStyle name="Moneda 6 2 4 6 2" xfId="2012" xr:uid="{00000000-0005-0000-0000-0000DB070000}"/>
    <cellStyle name="Moneda 6 2 4 7" xfId="2013" xr:uid="{00000000-0005-0000-0000-0000DC070000}"/>
    <cellStyle name="Moneda 6 2 5" xfId="2014" xr:uid="{00000000-0005-0000-0000-0000DD070000}"/>
    <cellStyle name="Moneda 6 2 5 2" xfId="2015" xr:uid="{00000000-0005-0000-0000-0000DE070000}"/>
    <cellStyle name="Moneda 6 2 5 2 2" xfId="2016" xr:uid="{00000000-0005-0000-0000-0000DF070000}"/>
    <cellStyle name="Moneda 6 2 5 2 2 2" xfId="2017" xr:uid="{00000000-0005-0000-0000-0000E0070000}"/>
    <cellStyle name="Moneda 6 2 5 2 3" xfId="2018" xr:uid="{00000000-0005-0000-0000-0000E1070000}"/>
    <cellStyle name="Moneda 6 2 5 2 3 2" xfId="2019" xr:uid="{00000000-0005-0000-0000-0000E2070000}"/>
    <cellStyle name="Moneda 6 2 5 2 4" xfId="2020" xr:uid="{00000000-0005-0000-0000-0000E3070000}"/>
    <cellStyle name="Moneda 6 2 5 2 4 2" xfId="2021" xr:uid="{00000000-0005-0000-0000-0000E4070000}"/>
    <cellStyle name="Moneda 6 2 5 2 5" xfId="2022" xr:uid="{00000000-0005-0000-0000-0000E5070000}"/>
    <cellStyle name="Moneda 6 2 5 3" xfId="2023" xr:uid="{00000000-0005-0000-0000-0000E6070000}"/>
    <cellStyle name="Moneda 6 2 5 3 2" xfId="2024" xr:uid="{00000000-0005-0000-0000-0000E7070000}"/>
    <cellStyle name="Moneda 6 2 5 4" xfId="2025" xr:uid="{00000000-0005-0000-0000-0000E8070000}"/>
    <cellStyle name="Moneda 6 2 5 4 2" xfId="2026" xr:uid="{00000000-0005-0000-0000-0000E9070000}"/>
    <cellStyle name="Moneda 6 2 5 5" xfId="2027" xr:uid="{00000000-0005-0000-0000-0000EA070000}"/>
    <cellStyle name="Moneda 6 2 5 5 2" xfId="2028" xr:uid="{00000000-0005-0000-0000-0000EB070000}"/>
    <cellStyle name="Moneda 6 2 5 6" xfId="2029" xr:uid="{00000000-0005-0000-0000-0000EC070000}"/>
    <cellStyle name="Moneda 6 2 6" xfId="2030" xr:uid="{00000000-0005-0000-0000-0000ED070000}"/>
    <cellStyle name="Moneda 6 2 6 2" xfId="2031" xr:uid="{00000000-0005-0000-0000-0000EE070000}"/>
    <cellStyle name="Moneda 6 2 6 2 2" xfId="2032" xr:uid="{00000000-0005-0000-0000-0000EF070000}"/>
    <cellStyle name="Moneda 6 2 6 3" xfId="2033" xr:uid="{00000000-0005-0000-0000-0000F0070000}"/>
    <cellStyle name="Moneda 6 2 6 3 2" xfId="2034" xr:uid="{00000000-0005-0000-0000-0000F1070000}"/>
    <cellStyle name="Moneda 6 2 6 4" xfId="2035" xr:uid="{00000000-0005-0000-0000-0000F2070000}"/>
    <cellStyle name="Moneda 6 2 6 4 2" xfId="2036" xr:uid="{00000000-0005-0000-0000-0000F3070000}"/>
    <cellStyle name="Moneda 6 2 6 5" xfId="2037" xr:uid="{00000000-0005-0000-0000-0000F4070000}"/>
    <cellStyle name="Moneda 6 2 7" xfId="2038" xr:uid="{00000000-0005-0000-0000-0000F5070000}"/>
    <cellStyle name="Moneda 6 2 7 2" xfId="2039" xr:uid="{00000000-0005-0000-0000-0000F6070000}"/>
    <cellStyle name="Moneda 6 2 8" xfId="2040" xr:uid="{00000000-0005-0000-0000-0000F7070000}"/>
    <cellStyle name="Moneda 6 2 8 2" xfId="2041" xr:uid="{00000000-0005-0000-0000-0000F8070000}"/>
    <cellStyle name="Moneda 6 2 9" xfId="2042" xr:uid="{00000000-0005-0000-0000-0000F9070000}"/>
    <cellStyle name="Moneda 6 2 9 2" xfId="2043" xr:uid="{00000000-0005-0000-0000-0000FA070000}"/>
    <cellStyle name="Moneda 6 3" xfId="2044" xr:uid="{00000000-0005-0000-0000-0000FB070000}"/>
    <cellStyle name="Moneda 6 3 2" xfId="2045" xr:uid="{00000000-0005-0000-0000-0000FC070000}"/>
    <cellStyle name="Moneda 6 3 2 2" xfId="2046" xr:uid="{00000000-0005-0000-0000-0000FD070000}"/>
    <cellStyle name="Moneda 6 3 2 2 2" xfId="2047" xr:uid="{00000000-0005-0000-0000-0000FE070000}"/>
    <cellStyle name="Moneda 6 3 2 2 2 2" xfId="2048" xr:uid="{00000000-0005-0000-0000-0000FF070000}"/>
    <cellStyle name="Moneda 6 3 2 2 3" xfId="2049" xr:uid="{00000000-0005-0000-0000-000000080000}"/>
    <cellStyle name="Moneda 6 3 2 2 3 2" xfId="2050" xr:uid="{00000000-0005-0000-0000-000001080000}"/>
    <cellStyle name="Moneda 6 3 2 2 4" xfId="2051" xr:uid="{00000000-0005-0000-0000-000002080000}"/>
    <cellStyle name="Moneda 6 3 2 2 4 2" xfId="2052" xr:uid="{00000000-0005-0000-0000-000003080000}"/>
    <cellStyle name="Moneda 6 3 2 2 5" xfId="2053" xr:uid="{00000000-0005-0000-0000-000004080000}"/>
    <cellStyle name="Moneda 6 3 2 3" xfId="2054" xr:uid="{00000000-0005-0000-0000-000005080000}"/>
    <cellStyle name="Moneda 6 3 2 3 2" xfId="2055" xr:uid="{00000000-0005-0000-0000-000006080000}"/>
    <cellStyle name="Moneda 6 3 2 4" xfId="2056" xr:uid="{00000000-0005-0000-0000-000007080000}"/>
    <cellStyle name="Moneda 6 3 2 4 2" xfId="2057" xr:uid="{00000000-0005-0000-0000-000008080000}"/>
    <cellStyle name="Moneda 6 3 2 5" xfId="2058" xr:uid="{00000000-0005-0000-0000-000009080000}"/>
    <cellStyle name="Moneda 6 3 2 5 2" xfId="2059" xr:uid="{00000000-0005-0000-0000-00000A080000}"/>
    <cellStyle name="Moneda 6 3 2 6" xfId="2060" xr:uid="{00000000-0005-0000-0000-00000B080000}"/>
    <cellStyle name="Moneda 6 3 3" xfId="2061" xr:uid="{00000000-0005-0000-0000-00000C080000}"/>
    <cellStyle name="Moneda 6 3 3 2" xfId="2062" xr:uid="{00000000-0005-0000-0000-00000D080000}"/>
    <cellStyle name="Moneda 6 3 3 2 2" xfId="2063" xr:uid="{00000000-0005-0000-0000-00000E080000}"/>
    <cellStyle name="Moneda 6 3 3 3" xfId="2064" xr:uid="{00000000-0005-0000-0000-00000F080000}"/>
    <cellStyle name="Moneda 6 3 3 3 2" xfId="2065" xr:uid="{00000000-0005-0000-0000-000010080000}"/>
    <cellStyle name="Moneda 6 3 3 4" xfId="2066" xr:uid="{00000000-0005-0000-0000-000011080000}"/>
    <cellStyle name="Moneda 6 3 3 4 2" xfId="2067" xr:uid="{00000000-0005-0000-0000-000012080000}"/>
    <cellStyle name="Moneda 6 3 3 5" xfId="2068" xr:uid="{00000000-0005-0000-0000-000013080000}"/>
    <cellStyle name="Moneda 6 3 4" xfId="2069" xr:uid="{00000000-0005-0000-0000-000014080000}"/>
    <cellStyle name="Moneda 6 3 4 2" xfId="2070" xr:uid="{00000000-0005-0000-0000-000015080000}"/>
    <cellStyle name="Moneda 6 3 5" xfId="2071" xr:uid="{00000000-0005-0000-0000-000016080000}"/>
    <cellStyle name="Moneda 6 3 5 2" xfId="2072" xr:uid="{00000000-0005-0000-0000-000017080000}"/>
    <cellStyle name="Moneda 6 3 6" xfId="2073" xr:uid="{00000000-0005-0000-0000-000018080000}"/>
    <cellStyle name="Moneda 6 3 6 2" xfId="2074" xr:uid="{00000000-0005-0000-0000-000019080000}"/>
    <cellStyle name="Moneda 6 3 7" xfId="2075" xr:uid="{00000000-0005-0000-0000-00001A080000}"/>
    <cellStyle name="Moneda 6 4" xfId="2076" xr:uid="{00000000-0005-0000-0000-00001B080000}"/>
    <cellStyle name="Moneda 6 4 2" xfId="2077" xr:uid="{00000000-0005-0000-0000-00001C080000}"/>
    <cellStyle name="Moneda 6 4 2 2" xfId="2078" xr:uid="{00000000-0005-0000-0000-00001D080000}"/>
    <cellStyle name="Moneda 6 4 2 2 2" xfId="2079" xr:uid="{00000000-0005-0000-0000-00001E080000}"/>
    <cellStyle name="Moneda 6 4 2 2 2 2" xfId="2080" xr:uid="{00000000-0005-0000-0000-00001F080000}"/>
    <cellStyle name="Moneda 6 4 2 2 3" xfId="2081" xr:uid="{00000000-0005-0000-0000-000020080000}"/>
    <cellStyle name="Moneda 6 4 2 2 3 2" xfId="2082" xr:uid="{00000000-0005-0000-0000-000021080000}"/>
    <cellStyle name="Moneda 6 4 2 2 4" xfId="2083" xr:uid="{00000000-0005-0000-0000-000022080000}"/>
    <cellStyle name="Moneda 6 4 2 2 4 2" xfId="2084" xr:uid="{00000000-0005-0000-0000-000023080000}"/>
    <cellStyle name="Moneda 6 4 2 2 5" xfId="2085" xr:uid="{00000000-0005-0000-0000-000024080000}"/>
    <cellStyle name="Moneda 6 4 2 3" xfId="2086" xr:uid="{00000000-0005-0000-0000-000025080000}"/>
    <cellStyle name="Moneda 6 4 2 3 2" xfId="2087" xr:uid="{00000000-0005-0000-0000-000026080000}"/>
    <cellStyle name="Moneda 6 4 2 4" xfId="2088" xr:uid="{00000000-0005-0000-0000-000027080000}"/>
    <cellStyle name="Moneda 6 4 2 4 2" xfId="2089" xr:uid="{00000000-0005-0000-0000-000028080000}"/>
    <cellStyle name="Moneda 6 4 2 5" xfId="2090" xr:uid="{00000000-0005-0000-0000-000029080000}"/>
    <cellStyle name="Moneda 6 4 2 5 2" xfId="2091" xr:uid="{00000000-0005-0000-0000-00002A080000}"/>
    <cellStyle name="Moneda 6 4 2 6" xfId="2092" xr:uid="{00000000-0005-0000-0000-00002B080000}"/>
    <cellStyle name="Moneda 6 4 3" xfId="2093" xr:uid="{00000000-0005-0000-0000-00002C080000}"/>
    <cellStyle name="Moneda 6 4 3 2" xfId="2094" xr:uid="{00000000-0005-0000-0000-00002D080000}"/>
    <cellStyle name="Moneda 6 4 3 2 2" xfId="2095" xr:uid="{00000000-0005-0000-0000-00002E080000}"/>
    <cellStyle name="Moneda 6 4 3 3" xfId="2096" xr:uid="{00000000-0005-0000-0000-00002F080000}"/>
    <cellStyle name="Moneda 6 4 3 3 2" xfId="2097" xr:uid="{00000000-0005-0000-0000-000030080000}"/>
    <cellStyle name="Moneda 6 4 3 4" xfId="2098" xr:uid="{00000000-0005-0000-0000-000031080000}"/>
    <cellStyle name="Moneda 6 4 3 4 2" xfId="2099" xr:uid="{00000000-0005-0000-0000-000032080000}"/>
    <cellStyle name="Moneda 6 4 3 5" xfId="2100" xr:uid="{00000000-0005-0000-0000-000033080000}"/>
    <cellStyle name="Moneda 6 4 4" xfId="2101" xr:uid="{00000000-0005-0000-0000-000034080000}"/>
    <cellStyle name="Moneda 6 4 4 2" xfId="2102" xr:uid="{00000000-0005-0000-0000-000035080000}"/>
    <cellStyle name="Moneda 6 4 5" xfId="2103" xr:uid="{00000000-0005-0000-0000-000036080000}"/>
    <cellStyle name="Moneda 6 4 5 2" xfId="2104" xr:uid="{00000000-0005-0000-0000-000037080000}"/>
    <cellStyle name="Moneda 6 4 6" xfId="2105" xr:uid="{00000000-0005-0000-0000-000038080000}"/>
    <cellStyle name="Moneda 6 4 6 2" xfId="2106" xr:uid="{00000000-0005-0000-0000-000039080000}"/>
    <cellStyle name="Moneda 6 4 7" xfId="2107" xr:uid="{00000000-0005-0000-0000-00003A080000}"/>
    <cellStyle name="Moneda 6 5" xfId="2108" xr:uid="{00000000-0005-0000-0000-00003B080000}"/>
    <cellStyle name="Moneda 6 5 2" xfId="2109" xr:uid="{00000000-0005-0000-0000-00003C080000}"/>
    <cellStyle name="Moneda 6 5 2 2" xfId="2110" xr:uid="{00000000-0005-0000-0000-00003D080000}"/>
    <cellStyle name="Moneda 6 5 2 2 2" xfId="2111" xr:uid="{00000000-0005-0000-0000-00003E080000}"/>
    <cellStyle name="Moneda 6 5 2 2 2 2" xfId="2112" xr:uid="{00000000-0005-0000-0000-00003F080000}"/>
    <cellStyle name="Moneda 6 5 2 2 3" xfId="2113" xr:uid="{00000000-0005-0000-0000-000040080000}"/>
    <cellStyle name="Moneda 6 5 2 2 3 2" xfId="2114" xr:uid="{00000000-0005-0000-0000-000041080000}"/>
    <cellStyle name="Moneda 6 5 2 2 4" xfId="2115" xr:uid="{00000000-0005-0000-0000-000042080000}"/>
    <cellStyle name="Moneda 6 5 2 2 4 2" xfId="2116" xr:uid="{00000000-0005-0000-0000-000043080000}"/>
    <cellStyle name="Moneda 6 5 2 2 5" xfId="2117" xr:uid="{00000000-0005-0000-0000-000044080000}"/>
    <cellStyle name="Moneda 6 5 2 3" xfId="2118" xr:uid="{00000000-0005-0000-0000-000045080000}"/>
    <cellStyle name="Moneda 6 5 2 3 2" xfId="2119" xr:uid="{00000000-0005-0000-0000-000046080000}"/>
    <cellStyle name="Moneda 6 5 2 4" xfId="2120" xr:uid="{00000000-0005-0000-0000-000047080000}"/>
    <cellStyle name="Moneda 6 5 2 4 2" xfId="2121" xr:uid="{00000000-0005-0000-0000-000048080000}"/>
    <cellStyle name="Moneda 6 5 2 5" xfId="2122" xr:uid="{00000000-0005-0000-0000-000049080000}"/>
    <cellStyle name="Moneda 6 5 2 5 2" xfId="2123" xr:uid="{00000000-0005-0000-0000-00004A080000}"/>
    <cellStyle name="Moneda 6 5 2 6" xfId="2124" xr:uid="{00000000-0005-0000-0000-00004B080000}"/>
    <cellStyle name="Moneda 6 5 3" xfId="2125" xr:uid="{00000000-0005-0000-0000-00004C080000}"/>
    <cellStyle name="Moneda 6 5 3 2" xfId="2126" xr:uid="{00000000-0005-0000-0000-00004D080000}"/>
    <cellStyle name="Moneda 6 5 3 2 2" xfId="2127" xr:uid="{00000000-0005-0000-0000-00004E080000}"/>
    <cellStyle name="Moneda 6 5 3 3" xfId="2128" xr:uid="{00000000-0005-0000-0000-00004F080000}"/>
    <cellStyle name="Moneda 6 5 3 3 2" xfId="2129" xr:uid="{00000000-0005-0000-0000-000050080000}"/>
    <cellStyle name="Moneda 6 5 3 4" xfId="2130" xr:uid="{00000000-0005-0000-0000-000051080000}"/>
    <cellStyle name="Moneda 6 5 3 4 2" xfId="2131" xr:uid="{00000000-0005-0000-0000-000052080000}"/>
    <cellStyle name="Moneda 6 5 3 5" xfId="2132" xr:uid="{00000000-0005-0000-0000-000053080000}"/>
    <cellStyle name="Moneda 6 5 4" xfId="2133" xr:uid="{00000000-0005-0000-0000-000054080000}"/>
    <cellStyle name="Moneda 6 5 4 2" xfId="2134" xr:uid="{00000000-0005-0000-0000-000055080000}"/>
    <cellStyle name="Moneda 6 5 5" xfId="2135" xr:uid="{00000000-0005-0000-0000-000056080000}"/>
    <cellStyle name="Moneda 6 5 5 2" xfId="2136" xr:uid="{00000000-0005-0000-0000-000057080000}"/>
    <cellStyle name="Moneda 6 5 6" xfId="2137" xr:uid="{00000000-0005-0000-0000-000058080000}"/>
    <cellStyle name="Moneda 6 5 6 2" xfId="2138" xr:uid="{00000000-0005-0000-0000-000059080000}"/>
    <cellStyle name="Moneda 6 5 7" xfId="2139" xr:uid="{00000000-0005-0000-0000-00005A080000}"/>
    <cellStyle name="Moneda 6 6" xfId="2140" xr:uid="{00000000-0005-0000-0000-00005B080000}"/>
    <cellStyle name="Moneda 6 6 2" xfId="2141" xr:uid="{00000000-0005-0000-0000-00005C080000}"/>
    <cellStyle name="Moneda 6 6 2 2" xfId="2142" xr:uid="{00000000-0005-0000-0000-00005D080000}"/>
    <cellStyle name="Moneda 6 6 2 2 2" xfId="2143" xr:uid="{00000000-0005-0000-0000-00005E080000}"/>
    <cellStyle name="Moneda 6 6 2 3" xfId="2144" xr:uid="{00000000-0005-0000-0000-00005F080000}"/>
    <cellStyle name="Moneda 6 6 2 3 2" xfId="2145" xr:uid="{00000000-0005-0000-0000-000060080000}"/>
    <cellStyle name="Moneda 6 6 2 4" xfId="2146" xr:uid="{00000000-0005-0000-0000-000061080000}"/>
    <cellStyle name="Moneda 6 6 2 4 2" xfId="2147" xr:uid="{00000000-0005-0000-0000-000062080000}"/>
    <cellStyle name="Moneda 6 6 2 5" xfId="2148" xr:uid="{00000000-0005-0000-0000-000063080000}"/>
    <cellStyle name="Moneda 6 6 3" xfId="2149" xr:uid="{00000000-0005-0000-0000-000064080000}"/>
    <cellStyle name="Moneda 6 6 3 2" xfId="2150" xr:uid="{00000000-0005-0000-0000-000065080000}"/>
    <cellStyle name="Moneda 6 6 4" xfId="2151" xr:uid="{00000000-0005-0000-0000-000066080000}"/>
    <cellStyle name="Moneda 6 6 4 2" xfId="2152" xr:uid="{00000000-0005-0000-0000-000067080000}"/>
    <cellStyle name="Moneda 6 6 5" xfId="2153" xr:uid="{00000000-0005-0000-0000-000068080000}"/>
    <cellStyle name="Moneda 6 6 5 2" xfId="2154" xr:uid="{00000000-0005-0000-0000-000069080000}"/>
    <cellStyle name="Moneda 6 6 6" xfId="2155" xr:uid="{00000000-0005-0000-0000-00006A080000}"/>
    <cellStyle name="Moneda 6 7" xfId="2156" xr:uid="{00000000-0005-0000-0000-00006B080000}"/>
    <cellStyle name="Moneda 6 7 2" xfId="2157" xr:uid="{00000000-0005-0000-0000-00006C080000}"/>
    <cellStyle name="Moneda 6 7 2 2" xfId="2158" xr:uid="{00000000-0005-0000-0000-00006D080000}"/>
    <cellStyle name="Moneda 6 7 3" xfId="2159" xr:uid="{00000000-0005-0000-0000-00006E080000}"/>
    <cellStyle name="Moneda 6 7 3 2" xfId="2160" xr:uid="{00000000-0005-0000-0000-00006F080000}"/>
    <cellStyle name="Moneda 6 7 4" xfId="2161" xr:uid="{00000000-0005-0000-0000-000070080000}"/>
    <cellStyle name="Moneda 6 7 4 2" xfId="2162" xr:uid="{00000000-0005-0000-0000-000071080000}"/>
    <cellStyle name="Moneda 6 7 5" xfId="2163" xr:uid="{00000000-0005-0000-0000-000072080000}"/>
    <cellStyle name="Moneda 6 8" xfId="2164" xr:uid="{00000000-0005-0000-0000-000073080000}"/>
    <cellStyle name="Moneda 6 8 2" xfId="2165" xr:uid="{00000000-0005-0000-0000-000074080000}"/>
    <cellStyle name="Moneda 6 9" xfId="2166" xr:uid="{00000000-0005-0000-0000-000075080000}"/>
    <cellStyle name="Moneda 6 9 2" xfId="2167" xr:uid="{00000000-0005-0000-0000-000076080000}"/>
    <cellStyle name="Moneda 7" xfId="2168" xr:uid="{00000000-0005-0000-0000-000077080000}"/>
    <cellStyle name="Moneda 7 10" xfId="2169" xr:uid="{00000000-0005-0000-0000-000078080000}"/>
    <cellStyle name="Moneda 7 10 2" xfId="2170" xr:uid="{00000000-0005-0000-0000-000079080000}"/>
    <cellStyle name="Moneda 7 11" xfId="2171" xr:uid="{00000000-0005-0000-0000-00007A080000}"/>
    <cellStyle name="Moneda 7 12" xfId="2172" xr:uid="{00000000-0005-0000-0000-00007B080000}"/>
    <cellStyle name="Moneda 7 2" xfId="2173" xr:uid="{00000000-0005-0000-0000-00007C080000}"/>
    <cellStyle name="Moneda 7 2 10" xfId="2174" xr:uid="{00000000-0005-0000-0000-00007D080000}"/>
    <cellStyle name="Moneda 7 2 11" xfId="2175" xr:uid="{00000000-0005-0000-0000-00007E080000}"/>
    <cellStyle name="Moneda 7 2 2" xfId="2176" xr:uid="{00000000-0005-0000-0000-00007F080000}"/>
    <cellStyle name="Moneda 7 2 2 2" xfId="2177" xr:uid="{00000000-0005-0000-0000-000080080000}"/>
    <cellStyle name="Moneda 7 2 2 2 2" xfId="2178" xr:uid="{00000000-0005-0000-0000-000081080000}"/>
    <cellStyle name="Moneda 7 2 2 2 2 2" xfId="2179" xr:uid="{00000000-0005-0000-0000-000082080000}"/>
    <cellStyle name="Moneda 7 2 2 2 2 2 2" xfId="2180" xr:uid="{00000000-0005-0000-0000-000083080000}"/>
    <cellStyle name="Moneda 7 2 2 2 2 3" xfId="2181" xr:uid="{00000000-0005-0000-0000-000084080000}"/>
    <cellStyle name="Moneda 7 2 2 2 2 3 2" xfId="2182" xr:uid="{00000000-0005-0000-0000-000085080000}"/>
    <cellStyle name="Moneda 7 2 2 2 2 4" xfId="2183" xr:uid="{00000000-0005-0000-0000-000086080000}"/>
    <cellStyle name="Moneda 7 2 2 2 2 4 2" xfId="2184" xr:uid="{00000000-0005-0000-0000-000087080000}"/>
    <cellStyle name="Moneda 7 2 2 2 2 5" xfId="2185" xr:uid="{00000000-0005-0000-0000-000088080000}"/>
    <cellStyle name="Moneda 7 2 2 2 3" xfId="2186" xr:uid="{00000000-0005-0000-0000-000089080000}"/>
    <cellStyle name="Moneda 7 2 2 2 3 2" xfId="2187" xr:uid="{00000000-0005-0000-0000-00008A080000}"/>
    <cellStyle name="Moneda 7 2 2 2 4" xfId="2188" xr:uid="{00000000-0005-0000-0000-00008B080000}"/>
    <cellStyle name="Moneda 7 2 2 2 4 2" xfId="2189" xr:uid="{00000000-0005-0000-0000-00008C080000}"/>
    <cellStyle name="Moneda 7 2 2 2 5" xfId="2190" xr:uid="{00000000-0005-0000-0000-00008D080000}"/>
    <cellStyle name="Moneda 7 2 2 2 5 2" xfId="2191" xr:uid="{00000000-0005-0000-0000-00008E080000}"/>
    <cellStyle name="Moneda 7 2 2 2 6" xfId="2192" xr:uid="{00000000-0005-0000-0000-00008F080000}"/>
    <cellStyle name="Moneda 7 2 2 3" xfId="2193" xr:uid="{00000000-0005-0000-0000-000090080000}"/>
    <cellStyle name="Moneda 7 2 2 3 2" xfId="2194" xr:uid="{00000000-0005-0000-0000-000091080000}"/>
    <cellStyle name="Moneda 7 2 2 3 2 2" xfId="2195" xr:uid="{00000000-0005-0000-0000-000092080000}"/>
    <cellStyle name="Moneda 7 2 2 3 3" xfId="2196" xr:uid="{00000000-0005-0000-0000-000093080000}"/>
    <cellStyle name="Moneda 7 2 2 3 3 2" xfId="2197" xr:uid="{00000000-0005-0000-0000-000094080000}"/>
    <cellStyle name="Moneda 7 2 2 3 4" xfId="2198" xr:uid="{00000000-0005-0000-0000-000095080000}"/>
    <cellStyle name="Moneda 7 2 2 3 4 2" xfId="2199" xr:uid="{00000000-0005-0000-0000-000096080000}"/>
    <cellStyle name="Moneda 7 2 2 3 5" xfId="2200" xr:uid="{00000000-0005-0000-0000-000097080000}"/>
    <cellStyle name="Moneda 7 2 2 4" xfId="2201" xr:uid="{00000000-0005-0000-0000-000098080000}"/>
    <cellStyle name="Moneda 7 2 2 4 2" xfId="2202" xr:uid="{00000000-0005-0000-0000-000099080000}"/>
    <cellStyle name="Moneda 7 2 2 5" xfId="2203" xr:uid="{00000000-0005-0000-0000-00009A080000}"/>
    <cellStyle name="Moneda 7 2 2 5 2" xfId="2204" xr:uid="{00000000-0005-0000-0000-00009B080000}"/>
    <cellStyle name="Moneda 7 2 2 6" xfId="2205" xr:uid="{00000000-0005-0000-0000-00009C080000}"/>
    <cellStyle name="Moneda 7 2 2 6 2" xfId="2206" xr:uid="{00000000-0005-0000-0000-00009D080000}"/>
    <cellStyle name="Moneda 7 2 2 7" xfId="2207" xr:uid="{00000000-0005-0000-0000-00009E080000}"/>
    <cellStyle name="Moneda 7 2 3" xfId="2208" xr:uid="{00000000-0005-0000-0000-00009F080000}"/>
    <cellStyle name="Moneda 7 2 3 2" xfId="2209" xr:uid="{00000000-0005-0000-0000-0000A0080000}"/>
    <cellStyle name="Moneda 7 2 3 2 2" xfId="2210" xr:uid="{00000000-0005-0000-0000-0000A1080000}"/>
    <cellStyle name="Moneda 7 2 3 2 2 2" xfId="2211" xr:uid="{00000000-0005-0000-0000-0000A2080000}"/>
    <cellStyle name="Moneda 7 2 3 2 2 2 2" xfId="2212" xr:uid="{00000000-0005-0000-0000-0000A3080000}"/>
    <cellStyle name="Moneda 7 2 3 2 2 3" xfId="2213" xr:uid="{00000000-0005-0000-0000-0000A4080000}"/>
    <cellStyle name="Moneda 7 2 3 2 2 3 2" xfId="2214" xr:uid="{00000000-0005-0000-0000-0000A5080000}"/>
    <cellStyle name="Moneda 7 2 3 2 2 4" xfId="2215" xr:uid="{00000000-0005-0000-0000-0000A6080000}"/>
    <cellStyle name="Moneda 7 2 3 2 2 4 2" xfId="2216" xr:uid="{00000000-0005-0000-0000-0000A7080000}"/>
    <cellStyle name="Moneda 7 2 3 2 2 5" xfId="2217" xr:uid="{00000000-0005-0000-0000-0000A8080000}"/>
    <cellStyle name="Moneda 7 2 3 2 3" xfId="2218" xr:uid="{00000000-0005-0000-0000-0000A9080000}"/>
    <cellStyle name="Moneda 7 2 3 2 3 2" xfId="2219" xr:uid="{00000000-0005-0000-0000-0000AA080000}"/>
    <cellStyle name="Moneda 7 2 3 2 4" xfId="2220" xr:uid="{00000000-0005-0000-0000-0000AB080000}"/>
    <cellStyle name="Moneda 7 2 3 2 4 2" xfId="2221" xr:uid="{00000000-0005-0000-0000-0000AC080000}"/>
    <cellStyle name="Moneda 7 2 3 2 5" xfId="2222" xr:uid="{00000000-0005-0000-0000-0000AD080000}"/>
    <cellStyle name="Moneda 7 2 3 2 5 2" xfId="2223" xr:uid="{00000000-0005-0000-0000-0000AE080000}"/>
    <cellStyle name="Moneda 7 2 3 2 6" xfId="2224" xr:uid="{00000000-0005-0000-0000-0000AF080000}"/>
    <cellStyle name="Moneda 7 2 3 3" xfId="2225" xr:uid="{00000000-0005-0000-0000-0000B0080000}"/>
    <cellStyle name="Moneda 7 2 3 3 2" xfId="2226" xr:uid="{00000000-0005-0000-0000-0000B1080000}"/>
    <cellStyle name="Moneda 7 2 3 3 2 2" xfId="2227" xr:uid="{00000000-0005-0000-0000-0000B2080000}"/>
    <cellStyle name="Moneda 7 2 3 3 3" xfId="2228" xr:uid="{00000000-0005-0000-0000-0000B3080000}"/>
    <cellStyle name="Moneda 7 2 3 3 3 2" xfId="2229" xr:uid="{00000000-0005-0000-0000-0000B4080000}"/>
    <cellStyle name="Moneda 7 2 3 3 4" xfId="2230" xr:uid="{00000000-0005-0000-0000-0000B5080000}"/>
    <cellStyle name="Moneda 7 2 3 3 4 2" xfId="2231" xr:uid="{00000000-0005-0000-0000-0000B6080000}"/>
    <cellStyle name="Moneda 7 2 3 3 5" xfId="2232" xr:uid="{00000000-0005-0000-0000-0000B7080000}"/>
    <cellStyle name="Moneda 7 2 3 4" xfId="2233" xr:uid="{00000000-0005-0000-0000-0000B8080000}"/>
    <cellStyle name="Moneda 7 2 3 4 2" xfId="2234" xr:uid="{00000000-0005-0000-0000-0000B9080000}"/>
    <cellStyle name="Moneda 7 2 3 5" xfId="2235" xr:uid="{00000000-0005-0000-0000-0000BA080000}"/>
    <cellStyle name="Moneda 7 2 3 5 2" xfId="2236" xr:uid="{00000000-0005-0000-0000-0000BB080000}"/>
    <cellStyle name="Moneda 7 2 3 6" xfId="2237" xr:uid="{00000000-0005-0000-0000-0000BC080000}"/>
    <cellStyle name="Moneda 7 2 3 6 2" xfId="2238" xr:uid="{00000000-0005-0000-0000-0000BD080000}"/>
    <cellStyle name="Moneda 7 2 3 7" xfId="2239" xr:uid="{00000000-0005-0000-0000-0000BE080000}"/>
    <cellStyle name="Moneda 7 2 4" xfId="2240" xr:uid="{00000000-0005-0000-0000-0000BF080000}"/>
    <cellStyle name="Moneda 7 2 4 2" xfId="2241" xr:uid="{00000000-0005-0000-0000-0000C0080000}"/>
    <cellStyle name="Moneda 7 2 4 2 2" xfId="2242" xr:uid="{00000000-0005-0000-0000-0000C1080000}"/>
    <cellStyle name="Moneda 7 2 4 2 2 2" xfId="2243" xr:uid="{00000000-0005-0000-0000-0000C2080000}"/>
    <cellStyle name="Moneda 7 2 4 2 2 2 2" xfId="2244" xr:uid="{00000000-0005-0000-0000-0000C3080000}"/>
    <cellStyle name="Moneda 7 2 4 2 2 3" xfId="2245" xr:uid="{00000000-0005-0000-0000-0000C4080000}"/>
    <cellStyle name="Moneda 7 2 4 2 2 3 2" xfId="2246" xr:uid="{00000000-0005-0000-0000-0000C5080000}"/>
    <cellStyle name="Moneda 7 2 4 2 2 4" xfId="2247" xr:uid="{00000000-0005-0000-0000-0000C6080000}"/>
    <cellStyle name="Moneda 7 2 4 2 2 4 2" xfId="2248" xr:uid="{00000000-0005-0000-0000-0000C7080000}"/>
    <cellStyle name="Moneda 7 2 4 2 2 5" xfId="2249" xr:uid="{00000000-0005-0000-0000-0000C8080000}"/>
    <cellStyle name="Moneda 7 2 4 2 3" xfId="2250" xr:uid="{00000000-0005-0000-0000-0000C9080000}"/>
    <cellStyle name="Moneda 7 2 4 2 3 2" xfId="2251" xr:uid="{00000000-0005-0000-0000-0000CA080000}"/>
    <cellStyle name="Moneda 7 2 4 2 4" xfId="2252" xr:uid="{00000000-0005-0000-0000-0000CB080000}"/>
    <cellStyle name="Moneda 7 2 4 2 4 2" xfId="2253" xr:uid="{00000000-0005-0000-0000-0000CC080000}"/>
    <cellStyle name="Moneda 7 2 4 2 5" xfId="2254" xr:uid="{00000000-0005-0000-0000-0000CD080000}"/>
    <cellStyle name="Moneda 7 2 4 2 5 2" xfId="2255" xr:uid="{00000000-0005-0000-0000-0000CE080000}"/>
    <cellStyle name="Moneda 7 2 4 2 6" xfId="2256" xr:uid="{00000000-0005-0000-0000-0000CF080000}"/>
    <cellStyle name="Moneda 7 2 4 3" xfId="2257" xr:uid="{00000000-0005-0000-0000-0000D0080000}"/>
    <cellStyle name="Moneda 7 2 4 3 2" xfId="2258" xr:uid="{00000000-0005-0000-0000-0000D1080000}"/>
    <cellStyle name="Moneda 7 2 4 3 2 2" xfId="2259" xr:uid="{00000000-0005-0000-0000-0000D2080000}"/>
    <cellStyle name="Moneda 7 2 4 3 3" xfId="2260" xr:uid="{00000000-0005-0000-0000-0000D3080000}"/>
    <cellStyle name="Moneda 7 2 4 3 3 2" xfId="2261" xr:uid="{00000000-0005-0000-0000-0000D4080000}"/>
    <cellStyle name="Moneda 7 2 4 3 4" xfId="2262" xr:uid="{00000000-0005-0000-0000-0000D5080000}"/>
    <cellStyle name="Moneda 7 2 4 3 4 2" xfId="2263" xr:uid="{00000000-0005-0000-0000-0000D6080000}"/>
    <cellStyle name="Moneda 7 2 4 3 5" xfId="2264" xr:uid="{00000000-0005-0000-0000-0000D7080000}"/>
    <cellStyle name="Moneda 7 2 4 4" xfId="2265" xr:uid="{00000000-0005-0000-0000-0000D8080000}"/>
    <cellStyle name="Moneda 7 2 4 4 2" xfId="2266" xr:uid="{00000000-0005-0000-0000-0000D9080000}"/>
    <cellStyle name="Moneda 7 2 4 5" xfId="2267" xr:uid="{00000000-0005-0000-0000-0000DA080000}"/>
    <cellStyle name="Moneda 7 2 4 5 2" xfId="2268" xr:uid="{00000000-0005-0000-0000-0000DB080000}"/>
    <cellStyle name="Moneda 7 2 4 6" xfId="2269" xr:uid="{00000000-0005-0000-0000-0000DC080000}"/>
    <cellStyle name="Moneda 7 2 4 6 2" xfId="2270" xr:uid="{00000000-0005-0000-0000-0000DD080000}"/>
    <cellStyle name="Moneda 7 2 4 7" xfId="2271" xr:uid="{00000000-0005-0000-0000-0000DE080000}"/>
    <cellStyle name="Moneda 7 2 5" xfId="2272" xr:uid="{00000000-0005-0000-0000-0000DF080000}"/>
    <cellStyle name="Moneda 7 2 5 2" xfId="2273" xr:uid="{00000000-0005-0000-0000-0000E0080000}"/>
    <cellStyle name="Moneda 7 2 5 2 2" xfId="2274" xr:uid="{00000000-0005-0000-0000-0000E1080000}"/>
    <cellStyle name="Moneda 7 2 5 2 2 2" xfId="2275" xr:uid="{00000000-0005-0000-0000-0000E2080000}"/>
    <cellStyle name="Moneda 7 2 5 2 3" xfId="2276" xr:uid="{00000000-0005-0000-0000-0000E3080000}"/>
    <cellStyle name="Moneda 7 2 5 2 3 2" xfId="2277" xr:uid="{00000000-0005-0000-0000-0000E4080000}"/>
    <cellStyle name="Moneda 7 2 5 2 4" xfId="2278" xr:uid="{00000000-0005-0000-0000-0000E5080000}"/>
    <cellStyle name="Moneda 7 2 5 2 4 2" xfId="2279" xr:uid="{00000000-0005-0000-0000-0000E6080000}"/>
    <cellStyle name="Moneda 7 2 5 2 5" xfId="2280" xr:uid="{00000000-0005-0000-0000-0000E7080000}"/>
    <cellStyle name="Moneda 7 2 5 3" xfId="2281" xr:uid="{00000000-0005-0000-0000-0000E8080000}"/>
    <cellStyle name="Moneda 7 2 5 3 2" xfId="2282" xr:uid="{00000000-0005-0000-0000-0000E9080000}"/>
    <cellStyle name="Moneda 7 2 5 4" xfId="2283" xr:uid="{00000000-0005-0000-0000-0000EA080000}"/>
    <cellStyle name="Moneda 7 2 5 4 2" xfId="2284" xr:uid="{00000000-0005-0000-0000-0000EB080000}"/>
    <cellStyle name="Moneda 7 2 5 5" xfId="2285" xr:uid="{00000000-0005-0000-0000-0000EC080000}"/>
    <cellStyle name="Moneda 7 2 5 5 2" xfId="2286" xr:uid="{00000000-0005-0000-0000-0000ED080000}"/>
    <cellStyle name="Moneda 7 2 5 6" xfId="2287" xr:uid="{00000000-0005-0000-0000-0000EE080000}"/>
    <cellStyle name="Moneda 7 2 6" xfId="2288" xr:uid="{00000000-0005-0000-0000-0000EF080000}"/>
    <cellStyle name="Moneda 7 2 6 2" xfId="2289" xr:uid="{00000000-0005-0000-0000-0000F0080000}"/>
    <cellStyle name="Moneda 7 2 6 2 2" xfId="2290" xr:uid="{00000000-0005-0000-0000-0000F1080000}"/>
    <cellStyle name="Moneda 7 2 6 3" xfId="2291" xr:uid="{00000000-0005-0000-0000-0000F2080000}"/>
    <cellStyle name="Moneda 7 2 6 3 2" xfId="2292" xr:uid="{00000000-0005-0000-0000-0000F3080000}"/>
    <cellStyle name="Moneda 7 2 6 4" xfId="2293" xr:uid="{00000000-0005-0000-0000-0000F4080000}"/>
    <cellStyle name="Moneda 7 2 6 4 2" xfId="2294" xr:uid="{00000000-0005-0000-0000-0000F5080000}"/>
    <cellStyle name="Moneda 7 2 6 5" xfId="2295" xr:uid="{00000000-0005-0000-0000-0000F6080000}"/>
    <cellStyle name="Moneda 7 2 7" xfId="2296" xr:uid="{00000000-0005-0000-0000-0000F7080000}"/>
    <cellStyle name="Moneda 7 2 7 2" xfId="2297" xr:uid="{00000000-0005-0000-0000-0000F8080000}"/>
    <cellStyle name="Moneda 7 2 8" xfId="2298" xr:uid="{00000000-0005-0000-0000-0000F9080000}"/>
    <cellStyle name="Moneda 7 2 8 2" xfId="2299" xr:uid="{00000000-0005-0000-0000-0000FA080000}"/>
    <cellStyle name="Moneda 7 2 9" xfId="2300" xr:uid="{00000000-0005-0000-0000-0000FB080000}"/>
    <cellStyle name="Moneda 7 2 9 2" xfId="2301" xr:uid="{00000000-0005-0000-0000-0000FC080000}"/>
    <cellStyle name="Moneda 7 3" xfId="2302" xr:uid="{00000000-0005-0000-0000-0000FD080000}"/>
    <cellStyle name="Moneda 7 3 2" xfId="2303" xr:uid="{00000000-0005-0000-0000-0000FE080000}"/>
    <cellStyle name="Moneda 7 3 2 2" xfId="2304" xr:uid="{00000000-0005-0000-0000-0000FF080000}"/>
    <cellStyle name="Moneda 7 3 2 2 2" xfId="2305" xr:uid="{00000000-0005-0000-0000-000000090000}"/>
    <cellStyle name="Moneda 7 3 2 2 2 2" xfId="2306" xr:uid="{00000000-0005-0000-0000-000001090000}"/>
    <cellStyle name="Moneda 7 3 2 2 3" xfId="2307" xr:uid="{00000000-0005-0000-0000-000002090000}"/>
    <cellStyle name="Moneda 7 3 2 2 3 2" xfId="2308" xr:uid="{00000000-0005-0000-0000-000003090000}"/>
    <cellStyle name="Moneda 7 3 2 2 4" xfId="2309" xr:uid="{00000000-0005-0000-0000-000004090000}"/>
    <cellStyle name="Moneda 7 3 2 2 4 2" xfId="2310" xr:uid="{00000000-0005-0000-0000-000005090000}"/>
    <cellStyle name="Moneda 7 3 2 2 5" xfId="2311" xr:uid="{00000000-0005-0000-0000-000006090000}"/>
    <cellStyle name="Moneda 7 3 2 3" xfId="2312" xr:uid="{00000000-0005-0000-0000-000007090000}"/>
    <cellStyle name="Moneda 7 3 2 3 2" xfId="2313" xr:uid="{00000000-0005-0000-0000-000008090000}"/>
    <cellStyle name="Moneda 7 3 2 4" xfId="2314" xr:uid="{00000000-0005-0000-0000-000009090000}"/>
    <cellStyle name="Moneda 7 3 2 4 2" xfId="2315" xr:uid="{00000000-0005-0000-0000-00000A090000}"/>
    <cellStyle name="Moneda 7 3 2 5" xfId="2316" xr:uid="{00000000-0005-0000-0000-00000B090000}"/>
    <cellStyle name="Moneda 7 3 2 5 2" xfId="2317" xr:uid="{00000000-0005-0000-0000-00000C090000}"/>
    <cellStyle name="Moneda 7 3 2 6" xfId="2318" xr:uid="{00000000-0005-0000-0000-00000D090000}"/>
    <cellStyle name="Moneda 7 3 3" xfId="2319" xr:uid="{00000000-0005-0000-0000-00000E090000}"/>
    <cellStyle name="Moneda 7 3 3 2" xfId="2320" xr:uid="{00000000-0005-0000-0000-00000F090000}"/>
    <cellStyle name="Moneda 7 3 3 2 2" xfId="2321" xr:uid="{00000000-0005-0000-0000-000010090000}"/>
    <cellStyle name="Moneda 7 3 3 3" xfId="2322" xr:uid="{00000000-0005-0000-0000-000011090000}"/>
    <cellStyle name="Moneda 7 3 3 3 2" xfId="2323" xr:uid="{00000000-0005-0000-0000-000012090000}"/>
    <cellStyle name="Moneda 7 3 3 4" xfId="2324" xr:uid="{00000000-0005-0000-0000-000013090000}"/>
    <cellStyle name="Moneda 7 3 3 4 2" xfId="2325" xr:uid="{00000000-0005-0000-0000-000014090000}"/>
    <cellStyle name="Moneda 7 3 3 5" xfId="2326" xr:uid="{00000000-0005-0000-0000-000015090000}"/>
    <cellStyle name="Moneda 7 3 4" xfId="2327" xr:uid="{00000000-0005-0000-0000-000016090000}"/>
    <cellStyle name="Moneda 7 3 4 2" xfId="2328" xr:uid="{00000000-0005-0000-0000-000017090000}"/>
    <cellStyle name="Moneda 7 3 5" xfId="2329" xr:uid="{00000000-0005-0000-0000-000018090000}"/>
    <cellStyle name="Moneda 7 3 5 2" xfId="2330" xr:uid="{00000000-0005-0000-0000-000019090000}"/>
    <cellStyle name="Moneda 7 3 6" xfId="2331" xr:uid="{00000000-0005-0000-0000-00001A090000}"/>
    <cellStyle name="Moneda 7 3 6 2" xfId="2332" xr:uid="{00000000-0005-0000-0000-00001B090000}"/>
    <cellStyle name="Moneda 7 3 7" xfId="2333" xr:uid="{00000000-0005-0000-0000-00001C090000}"/>
    <cellStyle name="Moneda 7 4" xfId="2334" xr:uid="{00000000-0005-0000-0000-00001D090000}"/>
    <cellStyle name="Moneda 7 4 2" xfId="2335" xr:uid="{00000000-0005-0000-0000-00001E090000}"/>
    <cellStyle name="Moneda 7 4 2 2" xfId="2336" xr:uid="{00000000-0005-0000-0000-00001F090000}"/>
    <cellStyle name="Moneda 7 4 2 2 2" xfId="2337" xr:uid="{00000000-0005-0000-0000-000020090000}"/>
    <cellStyle name="Moneda 7 4 2 2 2 2" xfId="2338" xr:uid="{00000000-0005-0000-0000-000021090000}"/>
    <cellStyle name="Moneda 7 4 2 2 3" xfId="2339" xr:uid="{00000000-0005-0000-0000-000022090000}"/>
    <cellStyle name="Moneda 7 4 2 2 3 2" xfId="2340" xr:uid="{00000000-0005-0000-0000-000023090000}"/>
    <cellStyle name="Moneda 7 4 2 2 4" xfId="2341" xr:uid="{00000000-0005-0000-0000-000024090000}"/>
    <cellStyle name="Moneda 7 4 2 2 4 2" xfId="2342" xr:uid="{00000000-0005-0000-0000-000025090000}"/>
    <cellStyle name="Moneda 7 4 2 2 5" xfId="2343" xr:uid="{00000000-0005-0000-0000-000026090000}"/>
    <cellStyle name="Moneda 7 4 2 3" xfId="2344" xr:uid="{00000000-0005-0000-0000-000027090000}"/>
    <cellStyle name="Moneda 7 4 2 3 2" xfId="2345" xr:uid="{00000000-0005-0000-0000-000028090000}"/>
    <cellStyle name="Moneda 7 4 2 4" xfId="2346" xr:uid="{00000000-0005-0000-0000-000029090000}"/>
    <cellStyle name="Moneda 7 4 2 4 2" xfId="2347" xr:uid="{00000000-0005-0000-0000-00002A090000}"/>
    <cellStyle name="Moneda 7 4 2 5" xfId="2348" xr:uid="{00000000-0005-0000-0000-00002B090000}"/>
    <cellStyle name="Moneda 7 4 2 5 2" xfId="2349" xr:uid="{00000000-0005-0000-0000-00002C090000}"/>
    <cellStyle name="Moneda 7 4 2 6" xfId="2350" xr:uid="{00000000-0005-0000-0000-00002D090000}"/>
    <cellStyle name="Moneda 7 4 3" xfId="2351" xr:uid="{00000000-0005-0000-0000-00002E090000}"/>
    <cellStyle name="Moneda 7 4 3 2" xfId="2352" xr:uid="{00000000-0005-0000-0000-00002F090000}"/>
    <cellStyle name="Moneda 7 4 3 2 2" xfId="2353" xr:uid="{00000000-0005-0000-0000-000030090000}"/>
    <cellStyle name="Moneda 7 4 3 3" xfId="2354" xr:uid="{00000000-0005-0000-0000-000031090000}"/>
    <cellStyle name="Moneda 7 4 3 3 2" xfId="2355" xr:uid="{00000000-0005-0000-0000-000032090000}"/>
    <cellStyle name="Moneda 7 4 3 4" xfId="2356" xr:uid="{00000000-0005-0000-0000-000033090000}"/>
    <cellStyle name="Moneda 7 4 3 4 2" xfId="2357" xr:uid="{00000000-0005-0000-0000-000034090000}"/>
    <cellStyle name="Moneda 7 4 3 5" xfId="2358" xr:uid="{00000000-0005-0000-0000-000035090000}"/>
    <cellStyle name="Moneda 7 4 4" xfId="2359" xr:uid="{00000000-0005-0000-0000-000036090000}"/>
    <cellStyle name="Moneda 7 4 4 2" xfId="2360" xr:uid="{00000000-0005-0000-0000-000037090000}"/>
    <cellStyle name="Moneda 7 4 5" xfId="2361" xr:uid="{00000000-0005-0000-0000-000038090000}"/>
    <cellStyle name="Moneda 7 4 5 2" xfId="2362" xr:uid="{00000000-0005-0000-0000-000039090000}"/>
    <cellStyle name="Moneda 7 4 6" xfId="2363" xr:uid="{00000000-0005-0000-0000-00003A090000}"/>
    <cellStyle name="Moneda 7 4 6 2" xfId="2364" xr:uid="{00000000-0005-0000-0000-00003B090000}"/>
    <cellStyle name="Moneda 7 4 7" xfId="2365" xr:uid="{00000000-0005-0000-0000-00003C090000}"/>
    <cellStyle name="Moneda 7 5" xfId="2366" xr:uid="{00000000-0005-0000-0000-00003D090000}"/>
    <cellStyle name="Moneda 7 5 2" xfId="2367" xr:uid="{00000000-0005-0000-0000-00003E090000}"/>
    <cellStyle name="Moneda 7 5 2 2" xfId="2368" xr:uid="{00000000-0005-0000-0000-00003F090000}"/>
    <cellStyle name="Moneda 7 5 2 2 2" xfId="2369" xr:uid="{00000000-0005-0000-0000-000040090000}"/>
    <cellStyle name="Moneda 7 5 2 2 2 2" xfId="2370" xr:uid="{00000000-0005-0000-0000-000041090000}"/>
    <cellStyle name="Moneda 7 5 2 2 3" xfId="2371" xr:uid="{00000000-0005-0000-0000-000042090000}"/>
    <cellStyle name="Moneda 7 5 2 2 3 2" xfId="2372" xr:uid="{00000000-0005-0000-0000-000043090000}"/>
    <cellStyle name="Moneda 7 5 2 2 4" xfId="2373" xr:uid="{00000000-0005-0000-0000-000044090000}"/>
    <cellStyle name="Moneda 7 5 2 2 4 2" xfId="2374" xr:uid="{00000000-0005-0000-0000-000045090000}"/>
    <cellStyle name="Moneda 7 5 2 2 5" xfId="2375" xr:uid="{00000000-0005-0000-0000-000046090000}"/>
    <cellStyle name="Moneda 7 5 2 3" xfId="2376" xr:uid="{00000000-0005-0000-0000-000047090000}"/>
    <cellStyle name="Moneda 7 5 2 3 2" xfId="2377" xr:uid="{00000000-0005-0000-0000-000048090000}"/>
    <cellStyle name="Moneda 7 5 2 4" xfId="2378" xr:uid="{00000000-0005-0000-0000-000049090000}"/>
    <cellStyle name="Moneda 7 5 2 4 2" xfId="2379" xr:uid="{00000000-0005-0000-0000-00004A090000}"/>
    <cellStyle name="Moneda 7 5 2 5" xfId="2380" xr:uid="{00000000-0005-0000-0000-00004B090000}"/>
    <cellStyle name="Moneda 7 5 2 5 2" xfId="2381" xr:uid="{00000000-0005-0000-0000-00004C090000}"/>
    <cellStyle name="Moneda 7 5 2 6" xfId="2382" xr:uid="{00000000-0005-0000-0000-00004D090000}"/>
    <cellStyle name="Moneda 7 5 3" xfId="2383" xr:uid="{00000000-0005-0000-0000-00004E090000}"/>
    <cellStyle name="Moneda 7 5 3 2" xfId="2384" xr:uid="{00000000-0005-0000-0000-00004F090000}"/>
    <cellStyle name="Moneda 7 5 3 2 2" xfId="2385" xr:uid="{00000000-0005-0000-0000-000050090000}"/>
    <cellStyle name="Moneda 7 5 3 3" xfId="2386" xr:uid="{00000000-0005-0000-0000-000051090000}"/>
    <cellStyle name="Moneda 7 5 3 3 2" xfId="2387" xr:uid="{00000000-0005-0000-0000-000052090000}"/>
    <cellStyle name="Moneda 7 5 3 4" xfId="2388" xr:uid="{00000000-0005-0000-0000-000053090000}"/>
    <cellStyle name="Moneda 7 5 3 4 2" xfId="2389" xr:uid="{00000000-0005-0000-0000-000054090000}"/>
    <cellStyle name="Moneda 7 5 3 5" xfId="2390" xr:uid="{00000000-0005-0000-0000-000055090000}"/>
    <cellStyle name="Moneda 7 5 4" xfId="2391" xr:uid="{00000000-0005-0000-0000-000056090000}"/>
    <cellStyle name="Moneda 7 5 4 2" xfId="2392" xr:uid="{00000000-0005-0000-0000-000057090000}"/>
    <cellStyle name="Moneda 7 5 5" xfId="2393" xr:uid="{00000000-0005-0000-0000-000058090000}"/>
    <cellStyle name="Moneda 7 5 5 2" xfId="2394" xr:uid="{00000000-0005-0000-0000-000059090000}"/>
    <cellStyle name="Moneda 7 5 6" xfId="2395" xr:uid="{00000000-0005-0000-0000-00005A090000}"/>
    <cellStyle name="Moneda 7 5 6 2" xfId="2396" xr:uid="{00000000-0005-0000-0000-00005B090000}"/>
    <cellStyle name="Moneda 7 5 7" xfId="2397" xr:uid="{00000000-0005-0000-0000-00005C090000}"/>
    <cellStyle name="Moneda 7 6" xfId="2398" xr:uid="{00000000-0005-0000-0000-00005D090000}"/>
    <cellStyle name="Moneda 7 6 2" xfId="2399" xr:uid="{00000000-0005-0000-0000-00005E090000}"/>
    <cellStyle name="Moneda 7 6 2 2" xfId="2400" xr:uid="{00000000-0005-0000-0000-00005F090000}"/>
    <cellStyle name="Moneda 7 6 2 2 2" xfId="2401" xr:uid="{00000000-0005-0000-0000-000060090000}"/>
    <cellStyle name="Moneda 7 6 2 3" xfId="2402" xr:uid="{00000000-0005-0000-0000-000061090000}"/>
    <cellStyle name="Moneda 7 6 2 3 2" xfId="2403" xr:uid="{00000000-0005-0000-0000-000062090000}"/>
    <cellStyle name="Moneda 7 6 2 4" xfId="2404" xr:uid="{00000000-0005-0000-0000-000063090000}"/>
    <cellStyle name="Moneda 7 6 2 4 2" xfId="2405" xr:uid="{00000000-0005-0000-0000-000064090000}"/>
    <cellStyle name="Moneda 7 6 2 5" xfId="2406" xr:uid="{00000000-0005-0000-0000-000065090000}"/>
    <cellStyle name="Moneda 7 6 3" xfId="2407" xr:uid="{00000000-0005-0000-0000-000066090000}"/>
    <cellStyle name="Moneda 7 6 3 2" xfId="2408" xr:uid="{00000000-0005-0000-0000-000067090000}"/>
    <cellStyle name="Moneda 7 6 4" xfId="2409" xr:uid="{00000000-0005-0000-0000-000068090000}"/>
    <cellStyle name="Moneda 7 6 4 2" xfId="2410" xr:uid="{00000000-0005-0000-0000-000069090000}"/>
    <cellStyle name="Moneda 7 6 5" xfId="2411" xr:uid="{00000000-0005-0000-0000-00006A090000}"/>
    <cellStyle name="Moneda 7 6 5 2" xfId="2412" xr:uid="{00000000-0005-0000-0000-00006B090000}"/>
    <cellStyle name="Moneda 7 6 6" xfId="2413" xr:uid="{00000000-0005-0000-0000-00006C090000}"/>
    <cellStyle name="Moneda 7 7" xfId="2414" xr:uid="{00000000-0005-0000-0000-00006D090000}"/>
    <cellStyle name="Moneda 7 7 2" xfId="2415" xr:uid="{00000000-0005-0000-0000-00006E090000}"/>
    <cellStyle name="Moneda 7 7 2 2" xfId="2416" xr:uid="{00000000-0005-0000-0000-00006F090000}"/>
    <cellStyle name="Moneda 7 7 3" xfId="2417" xr:uid="{00000000-0005-0000-0000-000070090000}"/>
    <cellStyle name="Moneda 7 7 3 2" xfId="2418" xr:uid="{00000000-0005-0000-0000-000071090000}"/>
    <cellStyle name="Moneda 7 7 4" xfId="2419" xr:uid="{00000000-0005-0000-0000-000072090000}"/>
    <cellStyle name="Moneda 7 7 4 2" xfId="2420" xr:uid="{00000000-0005-0000-0000-000073090000}"/>
    <cellStyle name="Moneda 7 7 5" xfId="2421" xr:uid="{00000000-0005-0000-0000-000074090000}"/>
    <cellStyle name="Moneda 7 8" xfId="2422" xr:uid="{00000000-0005-0000-0000-000075090000}"/>
    <cellStyle name="Moneda 7 8 2" xfId="2423" xr:uid="{00000000-0005-0000-0000-000076090000}"/>
    <cellStyle name="Moneda 7 9" xfId="2424" xr:uid="{00000000-0005-0000-0000-000077090000}"/>
    <cellStyle name="Moneda 7 9 2" xfId="2425" xr:uid="{00000000-0005-0000-0000-000078090000}"/>
    <cellStyle name="Moneda 8" xfId="2426" xr:uid="{00000000-0005-0000-0000-000079090000}"/>
    <cellStyle name="Moneda 8 10" xfId="2427" xr:uid="{00000000-0005-0000-0000-00007A090000}"/>
    <cellStyle name="Moneda 8 10 2" xfId="2428" xr:uid="{00000000-0005-0000-0000-00007B090000}"/>
    <cellStyle name="Moneda 8 11" xfId="2429" xr:uid="{00000000-0005-0000-0000-00007C090000}"/>
    <cellStyle name="Moneda 8 11 2" xfId="2430" xr:uid="{00000000-0005-0000-0000-00007D090000}"/>
    <cellStyle name="Moneda 8 12" xfId="2431" xr:uid="{00000000-0005-0000-0000-00007E090000}"/>
    <cellStyle name="Moneda 8 13" xfId="2432" xr:uid="{00000000-0005-0000-0000-00007F090000}"/>
    <cellStyle name="Moneda 8 2" xfId="2433" xr:uid="{00000000-0005-0000-0000-000080090000}"/>
    <cellStyle name="Moneda 8 2 10" xfId="2434" xr:uid="{00000000-0005-0000-0000-000081090000}"/>
    <cellStyle name="Moneda 8 2 11" xfId="2435" xr:uid="{00000000-0005-0000-0000-000082090000}"/>
    <cellStyle name="Moneda 8 2 2" xfId="2436" xr:uid="{00000000-0005-0000-0000-000083090000}"/>
    <cellStyle name="Moneda 8 2 2 2" xfId="2437" xr:uid="{00000000-0005-0000-0000-000084090000}"/>
    <cellStyle name="Moneda 8 2 2 2 2" xfId="2438" xr:uid="{00000000-0005-0000-0000-000085090000}"/>
    <cellStyle name="Moneda 8 2 2 2 2 2" xfId="2439" xr:uid="{00000000-0005-0000-0000-000086090000}"/>
    <cellStyle name="Moneda 8 2 2 2 2 2 2" xfId="2440" xr:uid="{00000000-0005-0000-0000-000087090000}"/>
    <cellStyle name="Moneda 8 2 2 2 2 3" xfId="2441" xr:uid="{00000000-0005-0000-0000-000088090000}"/>
    <cellStyle name="Moneda 8 2 2 2 2 3 2" xfId="2442" xr:uid="{00000000-0005-0000-0000-000089090000}"/>
    <cellStyle name="Moneda 8 2 2 2 2 4" xfId="2443" xr:uid="{00000000-0005-0000-0000-00008A090000}"/>
    <cellStyle name="Moneda 8 2 2 2 2 4 2" xfId="2444" xr:uid="{00000000-0005-0000-0000-00008B090000}"/>
    <cellStyle name="Moneda 8 2 2 2 2 5" xfId="2445" xr:uid="{00000000-0005-0000-0000-00008C090000}"/>
    <cellStyle name="Moneda 8 2 2 2 3" xfId="2446" xr:uid="{00000000-0005-0000-0000-00008D090000}"/>
    <cellStyle name="Moneda 8 2 2 2 3 2" xfId="2447" xr:uid="{00000000-0005-0000-0000-00008E090000}"/>
    <cellStyle name="Moneda 8 2 2 2 4" xfId="2448" xr:uid="{00000000-0005-0000-0000-00008F090000}"/>
    <cellStyle name="Moneda 8 2 2 2 4 2" xfId="2449" xr:uid="{00000000-0005-0000-0000-000090090000}"/>
    <cellStyle name="Moneda 8 2 2 2 5" xfId="2450" xr:uid="{00000000-0005-0000-0000-000091090000}"/>
    <cellStyle name="Moneda 8 2 2 2 5 2" xfId="2451" xr:uid="{00000000-0005-0000-0000-000092090000}"/>
    <cellStyle name="Moneda 8 2 2 2 6" xfId="2452" xr:uid="{00000000-0005-0000-0000-000093090000}"/>
    <cellStyle name="Moneda 8 2 2 3" xfId="2453" xr:uid="{00000000-0005-0000-0000-000094090000}"/>
    <cellStyle name="Moneda 8 2 2 3 2" xfId="2454" xr:uid="{00000000-0005-0000-0000-000095090000}"/>
    <cellStyle name="Moneda 8 2 2 3 2 2" xfId="2455" xr:uid="{00000000-0005-0000-0000-000096090000}"/>
    <cellStyle name="Moneda 8 2 2 3 3" xfId="2456" xr:uid="{00000000-0005-0000-0000-000097090000}"/>
    <cellStyle name="Moneda 8 2 2 3 3 2" xfId="2457" xr:uid="{00000000-0005-0000-0000-000098090000}"/>
    <cellStyle name="Moneda 8 2 2 3 4" xfId="2458" xr:uid="{00000000-0005-0000-0000-000099090000}"/>
    <cellStyle name="Moneda 8 2 2 3 4 2" xfId="2459" xr:uid="{00000000-0005-0000-0000-00009A090000}"/>
    <cellStyle name="Moneda 8 2 2 3 5" xfId="2460" xr:uid="{00000000-0005-0000-0000-00009B090000}"/>
    <cellStyle name="Moneda 8 2 2 4" xfId="2461" xr:uid="{00000000-0005-0000-0000-00009C090000}"/>
    <cellStyle name="Moneda 8 2 2 4 2" xfId="2462" xr:uid="{00000000-0005-0000-0000-00009D090000}"/>
    <cellStyle name="Moneda 8 2 2 5" xfId="2463" xr:uid="{00000000-0005-0000-0000-00009E090000}"/>
    <cellStyle name="Moneda 8 2 2 5 2" xfId="2464" xr:uid="{00000000-0005-0000-0000-00009F090000}"/>
    <cellStyle name="Moneda 8 2 2 6" xfId="2465" xr:uid="{00000000-0005-0000-0000-0000A0090000}"/>
    <cellStyle name="Moneda 8 2 2 6 2" xfId="2466" xr:uid="{00000000-0005-0000-0000-0000A1090000}"/>
    <cellStyle name="Moneda 8 2 2 7" xfId="2467" xr:uid="{00000000-0005-0000-0000-0000A2090000}"/>
    <cellStyle name="Moneda 8 2 3" xfId="2468" xr:uid="{00000000-0005-0000-0000-0000A3090000}"/>
    <cellStyle name="Moneda 8 2 3 2" xfId="2469" xr:uid="{00000000-0005-0000-0000-0000A4090000}"/>
    <cellStyle name="Moneda 8 2 3 2 2" xfId="2470" xr:uid="{00000000-0005-0000-0000-0000A5090000}"/>
    <cellStyle name="Moneda 8 2 3 2 2 2" xfId="2471" xr:uid="{00000000-0005-0000-0000-0000A6090000}"/>
    <cellStyle name="Moneda 8 2 3 2 2 2 2" xfId="2472" xr:uid="{00000000-0005-0000-0000-0000A7090000}"/>
    <cellStyle name="Moneda 8 2 3 2 2 3" xfId="2473" xr:uid="{00000000-0005-0000-0000-0000A8090000}"/>
    <cellStyle name="Moneda 8 2 3 2 2 3 2" xfId="2474" xr:uid="{00000000-0005-0000-0000-0000A9090000}"/>
    <cellStyle name="Moneda 8 2 3 2 2 4" xfId="2475" xr:uid="{00000000-0005-0000-0000-0000AA090000}"/>
    <cellStyle name="Moneda 8 2 3 2 2 4 2" xfId="2476" xr:uid="{00000000-0005-0000-0000-0000AB090000}"/>
    <cellStyle name="Moneda 8 2 3 2 2 5" xfId="2477" xr:uid="{00000000-0005-0000-0000-0000AC090000}"/>
    <cellStyle name="Moneda 8 2 3 2 3" xfId="2478" xr:uid="{00000000-0005-0000-0000-0000AD090000}"/>
    <cellStyle name="Moneda 8 2 3 2 3 2" xfId="2479" xr:uid="{00000000-0005-0000-0000-0000AE090000}"/>
    <cellStyle name="Moneda 8 2 3 2 4" xfId="2480" xr:uid="{00000000-0005-0000-0000-0000AF090000}"/>
    <cellStyle name="Moneda 8 2 3 2 4 2" xfId="2481" xr:uid="{00000000-0005-0000-0000-0000B0090000}"/>
    <cellStyle name="Moneda 8 2 3 2 5" xfId="2482" xr:uid="{00000000-0005-0000-0000-0000B1090000}"/>
    <cellStyle name="Moneda 8 2 3 2 5 2" xfId="2483" xr:uid="{00000000-0005-0000-0000-0000B2090000}"/>
    <cellStyle name="Moneda 8 2 3 2 6" xfId="2484" xr:uid="{00000000-0005-0000-0000-0000B3090000}"/>
    <cellStyle name="Moneda 8 2 3 3" xfId="2485" xr:uid="{00000000-0005-0000-0000-0000B4090000}"/>
    <cellStyle name="Moneda 8 2 3 3 2" xfId="2486" xr:uid="{00000000-0005-0000-0000-0000B5090000}"/>
    <cellStyle name="Moneda 8 2 3 3 2 2" xfId="2487" xr:uid="{00000000-0005-0000-0000-0000B6090000}"/>
    <cellStyle name="Moneda 8 2 3 3 3" xfId="2488" xr:uid="{00000000-0005-0000-0000-0000B7090000}"/>
    <cellStyle name="Moneda 8 2 3 3 3 2" xfId="2489" xr:uid="{00000000-0005-0000-0000-0000B8090000}"/>
    <cellStyle name="Moneda 8 2 3 3 4" xfId="2490" xr:uid="{00000000-0005-0000-0000-0000B9090000}"/>
    <cellStyle name="Moneda 8 2 3 3 4 2" xfId="2491" xr:uid="{00000000-0005-0000-0000-0000BA090000}"/>
    <cellStyle name="Moneda 8 2 3 3 5" xfId="2492" xr:uid="{00000000-0005-0000-0000-0000BB090000}"/>
    <cellStyle name="Moneda 8 2 3 4" xfId="2493" xr:uid="{00000000-0005-0000-0000-0000BC090000}"/>
    <cellStyle name="Moneda 8 2 3 4 2" xfId="2494" xr:uid="{00000000-0005-0000-0000-0000BD090000}"/>
    <cellStyle name="Moneda 8 2 3 5" xfId="2495" xr:uid="{00000000-0005-0000-0000-0000BE090000}"/>
    <cellStyle name="Moneda 8 2 3 5 2" xfId="2496" xr:uid="{00000000-0005-0000-0000-0000BF090000}"/>
    <cellStyle name="Moneda 8 2 3 6" xfId="2497" xr:uid="{00000000-0005-0000-0000-0000C0090000}"/>
    <cellStyle name="Moneda 8 2 3 6 2" xfId="2498" xr:uid="{00000000-0005-0000-0000-0000C1090000}"/>
    <cellStyle name="Moneda 8 2 3 7" xfId="2499" xr:uid="{00000000-0005-0000-0000-0000C2090000}"/>
    <cellStyle name="Moneda 8 2 4" xfId="2500" xr:uid="{00000000-0005-0000-0000-0000C3090000}"/>
    <cellStyle name="Moneda 8 2 4 2" xfId="2501" xr:uid="{00000000-0005-0000-0000-0000C4090000}"/>
    <cellStyle name="Moneda 8 2 4 2 2" xfId="2502" xr:uid="{00000000-0005-0000-0000-0000C5090000}"/>
    <cellStyle name="Moneda 8 2 4 2 2 2" xfId="2503" xr:uid="{00000000-0005-0000-0000-0000C6090000}"/>
    <cellStyle name="Moneda 8 2 4 2 2 2 2" xfId="2504" xr:uid="{00000000-0005-0000-0000-0000C7090000}"/>
    <cellStyle name="Moneda 8 2 4 2 2 3" xfId="2505" xr:uid="{00000000-0005-0000-0000-0000C8090000}"/>
    <cellStyle name="Moneda 8 2 4 2 2 3 2" xfId="2506" xr:uid="{00000000-0005-0000-0000-0000C9090000}"/>
    <cellStyle name="Moneda 8 2 4 2 2 4" xfId="2507" xr:uid="{00000000-0005-0000-0000-0000CA090000}"/>
    <cellStyle name="Moneda 8 2 4 2 2 4 2" xfId="2508" xr:uid="{00000000-0005-0000-0000-0000CB090000}"/>
    <cellStyle name="Moneda 8 2 4 2 2 5" xfId="2509" xr:uid="{00000000-0005-0000-0000-0000CC090000}"/>
    <cellStyle name="Moneda 8 2 4 2 3" xfId="2510" xr:uid="{00000000-0005-0000-0000-0000CD090000}"/>
    <cellStyle name="Moneda 8 2 4 2 3 2" xfId="2511" xr:uid="{00000000-0005-0000-0000-0000CE090000}"/>
    <cellStyle name="Moneda 8 2 4 2 4" xfId="2512" xr:uid="{00000000-0005-0000-0000-0000CF090000}"/>
    <cellStyle name="Moneda 8 2 4 2 4 2" xfId="2513" xr:uid="{00000000-0005-0000-0000-0000D0090000}"/>
    <cellStyle name="Moneda 8 2 4 2 5" xfId="2514" xr:uid="{00000000-0005-0000-0000-0000D1090000}"/>
    <cellStyle name="Moneda 8 2 4 2 5 2" xfId="2515" xr:uid="{00000000-0005-0000-0000-0000D2090000}"/>
    <cellStyle name="Moneda 8 2 4 2 6" xfId="2516" xr:uid="{00000000-0005-0000-0000-0000D3090000}"/>
    <cellStyle name="Moneda 8 2 4 3" xfId="2517" xr:uid="{00000000-0005-0000-0000-0000D4090000}"/>
    <cellStyle name="Moneda 8 2 4 3 2" xfId="2518" xr:uid="{00000000-0005-0000-0000-0000D5090000}"/>
    <cellStyle name="Moneda 8 2 4 3 2 2" xfId="2519" xr:uid="{00000000-0005-0000-0000-0000D6090000}"/>
    <cellStyle name="Moneda 8 2 4 3 3" xfId="2520" xr:uid="{00000000-0005-0000-0000-0000D7090000}"/>
    <cellStyle name="Moneda 8 2 4 3 3 2" xfId="2521" xr:uid="{00000000-0005-0000-0000-0000D8090000}"/>
    <cellStyle name="Moneda 8 2 4 3 4" xfId="2522" xr:uid="{00000000-0005-0000-0000-0000D9090000}"/>
    <cellStyle name="Moneda 8 2 4 3 4 2" xfId="2523" xr:uid="{00000000-0005-0000-0000-0000DA090000}"/>
    <cellStyle name="Moneda 8 2 4 3 5" xfId="2524" xr:uid="{00000000-0005-0000-0000-0000DB090000}"/>
    <cellStyle name="Moneda 8 2 4 4" xfId="2525" xr:uid="{00000000-0005-0000-0000-0000DC090000}"/>
    <cellStyle name="Moneda 8 2 4 4 2" xfId="2526" xr:uid="{00000000-0005-0000-0000-0000DD090000}"/>
    <cellStyle name="Moneda 8 2 4 5" xfId="2527" xr:uid="{00000000-0005-0000-0000-0000DE090000}"/>
    <cellStyle name="Moneda 8 2 4 5 2" xfId="2528" xr:uid="{00000000-0005-0000-0000-0000DF090000}"/>
    <cellStyle name="Moneda 8 2 4 6" xfId="2529" xr:uid="{00000000-0005-0000-0000-0000E0090000}"/>
    <cellStyle name="Moneda 8 2 4 6 2" xfId="2530" xr:uid="{00000000-0005-0000-0000-0000E1090000}"/>
    <cellStyle name="Moneda 8 2 4 7" xfId="2531" xr:uid="{00000000-0005-0000-0000-0000E2090000}"/>
    <cellStyle name="Moneda 8 2 5" xfId="2532" xr:uid="{00000000-0005-0000-0000-0000E3090000}"/>
    <cellStyle name="Moneda 8 2 5 2" xfId="2533" xr:uid="{00000000-0005-0000-0000-0000E4090000}"/>
    <cellStyle name="Moneda 8 2 5 2 2" xfId="2534" xr:uid="{00000000-0005-0000-0000-0000E5090000}"/>
    <cellStyle name="Moneda 8 2 5 2 2 2" xfId="2535" xr:uid="{00000000-0005-0000-0000-0000E6090000}"/>
    <cellStyle name="Moneda 8 2 5 2 3" xfId="2536" xr:uid="{00000000-0005-0000-0000-0000E7090000}"/>
    <cellStyle name="Moneda 8 2 5 2 3 2" xfId="2537" xr:uid="{00000000-0005-0000-0000-0000E8090000}"/>
    <cellStyle name="Moneda 8 2 5 2 4" xfId="2538" xr:uid="{00000000-0005-0000-0000-0000E9090000}"/>
    <cellStyle name="Moneda 8 2 5 2 4 2" xfId="2539" xr:uid="{00000000-0005-0000-0000-0000EA090000}"/>
    <cellStyle name="Moneda 8 2 5 2 5" xfId="2540" xr:uid="{00000000-0005-0000-0000-0000EB090000}"/>
    <cellStyle name="Moneda 8 2 5 3" xfId="2541" xr:uid="{00000000-0005-0000-0000-0000EC090000}"/>
    <cellStyle name="Moneda 8 2 5 3 2" xfId="2542" xr:uid="{00000000-0005-0000-0000-0000ED090000}"/>
    <cellStyle name="Moneda 8 2 5 4" xfId="2543" xr:uid="{00000000-0005-0000-0000-0000EE090000}"/>
    <cellStyle name="Moneda 8 2 5 4 2" xfId="2544" xr:uid="{00000000-0005-0000-0000-0000EF090000}"/>
    <cellStyle name="Moneda 8 2 5 5" xfId="2545" xr:uid="{00000000-0005-0000-0000-0000F0090000}"/>
    <cellStyle name="Moneda 8 2 5 5 2" xfId="2546" xr:uid="{00000000-0005-0000-0000-0000F1090000}"/>
    <cellStyle name="Moneda 8 2 5 6" xfId="2547" xr:uid="{00000000-0005-0000-0000-0000F2090000}"/>
    <cellStyle name="Moneda 8 2 6" xfId="2548" xr:uid="{00000000-0005-0000-0000-0000F3090000}"/>
    <cellStyle name="Moneda 8 2 6 2" xfId="2549" xr:uid="{00000000-0005-0000-0000-0000F4090000}"/>
    <cellStyle name="Moneda 8 2 6 2 2" xfId="2550" xr:uid="{00000000-0005-0000-0000-0000F5090000}"/>
    <cellStyle name="Moneda 8 2 6 3" xfId="2551" xr:uid="{00000000-0005-0000-0000-0000F6090000}"/>
    <cellStyle name="Moneda 8 2 6 3 2" xfId="2552" xr:uid="{00000000-0005-0000-0000-0000F7090000}"/>
    <cellStyle name="Moneda 8 2 6 4" xfId="2553" xr:uid="{00000000-0005-0000-0000-0000F8090000}"/>
    <cellStyle name="Moneda 8 2 6 4 2" xfId="2554" xr:uid="{00000000-0005-0000-0000-0000F9090000}"/>
    <cellStyle name="Moneda 8 2 6 5" xfId="2555" xr:uid="{00000000-0005-0000-0000-0000FA090000}"/>
    <cellStyle name="Moneda 8 2 7" xfId="2556" xr:uid="{00000000-0005-0000-0000-0000FB090000}"/>
    <cellStyle name="Moneda 8 2 7 2" xfId="2557" xr:uid="{00000000-0005-0000-0000-0000FC090000}"/>
    <cellStyle name="Moneda 8 2 8" xfId="2558" xr:uid="{00000000-0005-0000-0000-0000FD090000}"/>
    <cellStyle name="Moneda 8 2 8 2" xfId="2559" xr:uid="{00000000-0005-0000-0000-0000FE090000}"/>
    <cellStyle name="Moneda 8 2 9" xfId="2560" xr:uid="{00000000-0005-0000-0000-0000FF090000}"/>
    <cellStyle name="Moneda 8 2 9 2" xfId="2561" xr:uid="{00000000-0005-0000-0000-0000000A0000}"/>
    <cellStyle name="Moneda 8 3" xfId="2562" xr:uid="{00000000-0005-0000-0000-0000010A0000}"/>
    <cellStyle name="Moneda 8 3 2" xfId="2563" xr:uid="{00000000-0005-0000-0000-0000020A0000}"/>
    <cellStyle name="Moneda 8 3 2 2" xfId="2564" xr:uid="{00000000-0005-0000-0000-0000030A0000}"/>
    <cellStyle name="Moneda 8 3 2 2 2" xfId="2565" xr:uid="{00000000-0005-0000-0000-0000040A0000}"/>
    <cellStyle name="Moneda 8 3 2 2 2 2" xfId="2566" xr:uid="{00000000-0005-0000-0000-0000050A0000}"/>
    <cellStyle name="Moneda 8 3 2 2 3" xfId="2567" xr:uid="{00000000-0005-0000-0000-0000060A0000}"/>
    <cellStyle name="Moneda 8 3 2 2 3 2" xfId="2568" xr:uid="{00000000-0005-0000-0000-0000070A0000}"/>
    <cellStyle name="Moneda 8 3 2 2 4" xfId="2569" xr:uid="{00000000-0005-0000-0000-0000080A0000}"/>
    <cellStyle name="Moneda 8 3 2 2 4 2" xfId="2570" xr:uid="{00000000-0005-0000-0000-0000090A0000}"/>
    <cellStyle name="Moneda 8 3 2 2 5" xfId="2571" xr:uid="{00000000-0005-0000-0000-00000A0A0000}"/>
    <cellStyle name="Moneda 8 3 2 3" xfId="2572" xr:uid="{00000000-0005-0000-0000-00000B0A0000}"/>
    <cellStyle name="Moneda 8 3 2 3 2" xfId="2573" xr:uid="{00000000-0005-0000-0000-00000C0A0000}"/>
    <cellStyle name="Moneda 8 3 2 4" xfId="2574" xr:uid="{00000000-0005-0000-0000-00000D0A0000}"/>
    <cellStyle name="Moneda 8 3 2 4 2" xfId="2575" xr:uid="{00000000-0005-0000-0000-00000E0A0000}"/>
    <cellStyle name="Moneda 8 3 2 5" xfId="2576" xr:uid="{00000000-0005-0000-0000-00000F0A0000}"/>
    <cellStyle name="Moneda 8 3 2 5 2" xfId="2577" xr:uid="{00000000-0005-0000-0000-0000100A0000}"/>
    <cellStyle name="Moneda 8 3 2 6" xfId="2578" xr:uid="{00000000-0005-0000-0000-0000110A0000}"/>
    <cellStyle name="Moneda 8 3 3" xfId="2579" xr:uid="{00000000-0005-0000-0000-0000120A0000}"/>
    <cellStyle name="Moneda 8 3 3 2" xfId="2580" xr:uid="{00000000-0005-0000-0000-0000130A0000}"/>
    <cellStyle name="Moneda 8 3 3 2 2" xfId="2581" xr:uid="{00000000-0005-0000-0000-0000140A0000}"/>
    <cellStyle name="Moneda 8 3 3 3" xfId="2582" xr:uid="{00000000-0005-0000-0000-0000150A0000}"/>
    <cellStyle name="Moneda 8 3 3 3 2" xfId="2583" xr:uid="{00000000-0005-0000-0000-0000160A0000}"/>
    <cellStyle name="Moneda 8 3 3 4" xfId="2584" xr:uid="{00000000-0005-0000-0000-0000170A0000}"/>
    <cellStyle name="Moneda 8 3 3 4 2" xfId="2585" xr:uid="{00000000-0005-0000-0000-0000180A0000}"/>
    <cellStyle name="Moneda 8 3 3 5" xfId="2586" xr:uid="{00000000-0005-0000-0000-0000190A0000}"/>
    <cellStyle name="Moneda 8 3 4" xfId="2587" xr:uid="{00000000-0005-0000-0000-00001A0A0000}"/>
    <cellStyle name="Moneda 8 3 4 2" xfId="2588" xr:uid="{00000000-0005-0000-0000-00001B0A0000}"/>
    <cellStyle name="Moneda 8 3 5" xfId="2589" xr:uid="{00000000-0005-0000-0000-00001C0A0000}"/>
    <cellStyle name="Moneda 8 3 5 2" xfId="2590" xr:uid="{00000000-0005-0000-0000-00001D0A0000}"/>
    <cellStyle name="Moneda 8 3 6" xfId="2591" xr:uid="{00000000-0005-0000-0000-00001E0A0000}"/>
    <cellStyle name="Moneda 8 3 6 2" xfId="2592" xr:uid="{00000000-0005-0000-0000-00001F0A0000}"/>
    <cellStyle name="Moneda 8 3 7" xfId="2593" xr:uid="{00000000-0005-0000-0000-0000200A0000}"/>
    <cellStyle name="Moneda 8 4" xfId="2594" xr:uid="{00000000-0005-0000-0000-0000210A0000}"/>
    <cellStyle name="Moneda 8 4 2" xfId="2595" xr:uid="{00000000-0005-0000-0000-0000220A0000}"/>
    <cellStyle name="Moneda 8 4 2 2" xfId="2596" xr:uid="{00000000-0005-0000-0000-0000230A0000}"/>
    <cellStyle name="Moneda 8 4 2 2 2" xfId="2597" xr:uid="{00000000-0005-0000-0000-0000240A0000}"/>
    <cellStyle name="Moneda 8 4 2 2 2 2" xfId="2598" xr:uid="{00000000-0005-0000-0000-0000250A0000}"/>
    <cellStyle name="Moneda 8 4 2 2 3" xfId="2599" xr:uid="{00000000-0005-0000-0000-0000260A0000}"/>
    <cellStyle name="Moneda 8 4 2 2 3 2" xfId="2600" xr:uid="{00000000-0005-0000-0000-0000270A0000}"/>
    <cellStyle name="Moneda 8 4 2 2 4" xfId="2601" xr:uid="{00000000-0005-0000-0000-0000280A0000}"/>
    <cellStyle name="Moneda 8 4 2 2 4 2" xfId="2602" xr:uid="{00000000-0005-0000-0000-0000290A0000}"/>
    <cellStyle name="Moneda 8 4 2 2 5" xfId="2603" xr:uid="{00000000-0005-0000-0000-00002A0A0000}"/>
    <cellStyle name="Moneda 8 4 2 3" xfId="2604" xr:uid="{00000000-0005-0000-0000-00002B0A0000}"/>
    <cellStyle name="Moneda 8 4 2 3 2" xfId="2605" xr:uid="{00000000-0005-0000-0000-00002C0A0000}"/>
    <cellStyle name="Moneda 8 4 2 4" xfId="2606" xr:uid="{00000000-0005-0000-0000-00002D0A0000}"/>
    <cellStyle name="Moneda 8 4 2 4 2" xfId="2607" xr:uid="{00000000-0005-0000-0000-00002E0A0000}"/>
    <cellStyle name="Moneda 8 4 2 5" xfId="2608" xr:uid="{00000000-0005-0000-0000-00002F0A0000}"/>
    <cellStyle name="Moneda 8 4 2 5 2" xfId="2609" xr:uid="{00000000-0005-0000-0000-0000300A0000}"/>
    <cellStyle name="Moneda 8 4 2 6" xfId="2610" xr:uid="{00000000-0005-0000-0000-0000310A0000}"/>
    <cellStyle name="Moneda 8 4 3" xfId="2611" xr:uid="{00000000-0005-0000-0000-0000320A0000}"/>
    <cellStyle name="Moneda 8 4 3 2" xfId="2612" xr:uid="{00000000-0005-0000-0000-0000330A0000}"/>
    <cellStyle name="Moneda 8 4 3 2 2" xfId="2613" xr:uid="{00000000-0005-0000-0000-0000340A0000}"/>
    <cellStyle name="Moneda 8 4 3 3" xfId="2614" xr:uid="{00000000-0005-0000-0000-0000350A0000}"/>
    <cellStyle name="Moneda 8 4 3 3 2" xfId="2615" xr:uid="{00000000-0005-0000-0000-0000360A0000}"/>
    <cellStyle name="Moneda 8 4 3 4" xfId="2616" xr:uid="{00000000-0005-0000-0000-0000370A0000}"/>
    <cellStyle name="Moneda 8 4 3 4 2" xfId="2617" xr:uid="{00000000-0005-0000-0000-0000380A0000}"/>
    <cellStyle name="Moneda 8 4 3 5" xfId="2618" xr:uid="{00000000-0005-0000-0000-0000390A0000}"/>
    <cellStyle name="Moneda 8 4 4" xfId="2619" xr:uid="{00000000-0005-0000-0000-00003A0A0000}"/>
    <cellStyle name="Moneda 8 4 4 2" xfId="2620" xr:uid="{00000000-0005-0000-0000-00003B0A0000}"/>
    <cellStyle name="Moneda 8 4 5" xfId="2621" xr:uid="{00000000-0005-0000-0000-00003C0A0000}"/>
    <cellStyle name="Moneda 8 4 5 2" xfId="2622" xr:uid="{00000000-0005-0000-0000-00003D0A0000}"/>
    <cellStyle name="Moneda 8 4 6" xfId="2623" xr:uid="{00000000-0005-0000-0000-00003E0A0000}"/>
    <cellStyle name="Moneda 8 4 6 2" xfId="2624" xr:uid="{00000000-0005-0000-0000-00003F0A0000}"/>
    <cellStyle name="Moneda 8 4 7" xfId="2625" xr:uid="{00000000-0005-0000-0000-0000400A0000}"/>
    <cellStyle name="Moneda 8 5" xfId="2626" xr:uid="{00000000-0005-0000-0000-0000410A0000}"/>
    <cellStyle name="Moneda 8 5 2" xfId="2627" xr:uid="{00000000-0005-0000-0000-0000420A0000}"/>
    <cellStyle name="Moneda 8 5 2 2" xfId="2628" xr:uid="{00000000-0005-0000-0000-0000430A0000}"/>
    <cellStyle name="Moneda 8 5 2 2 2" xfId="2629" xr:uid="{00000000-0005-0000-0000-0000440A0000}"/>
    <cellStyle name="Moneda 8 5 2 2 2 2" xfId="2630" xr:uid="{00000000-0005-0000-0000-0000450A0000}"/>
    <cellStyle name="Moneda 8 5 2 2 3" xfId="2631" xr:uid="{00000000-0005-0000-0000-0000460A0000}"/>
    <cellStyle name="Moneda 8 5 2 2 3 2" xfId="2632" xr:uid="{00000000-0005-0000-0000-0000470A0000}"/>
    <cellStyle name="Moneda 8 5 2 2 4" xfId="2633" xr:uid="{00000000-0005-0000-0000-0000480A0000}"/>
    <cellStyle name="Moneda 8 5 2 2 4 2" xfId="2634" xr:uid="{00000000-0005-0000-0000-0000490A0000}"/>
    <cellStyle name="Moneda 8 5 2 2 5" xfId="2635" xr:uid="{00000000-0005-0000-0000-00004A0A0000}"/>
    <cellStyle name="Moneda 8 5 2 3" xfId="2636" xr:uid="{00000000-0005-0000-0000-00004B0A0000}"/>
    <cellStyle name="Moneda 8 5 2 3 2" xfId="2637" xr:uid="{00000000-0005-0000-0000-00004C0A0000}"/>
    <cellStyle name="Moneda 8 5 2 4" xfId="2638" xr:uid="{00000000-0005-0000-0000-00004D0A0000}"/>
    <cellStyle name="Moneda 8 5 2 4 2" xfId="2639" xr:uid="{00000000-0005-0000-0000-00004E0A0000}"/>
    <cellStyle name="Moneda 8 5 2 5" xfId="2640" xr:uid="{00000000-0005-0000-0000-00004F0A0000}"/>
    <cellStyle name="Moneda 8 5 2 5 2" xfId="2641" xr:uid="{00000000-0005-0000-0000-0000500A0000}"/>
    <cellStyle name="Moneda 8 5 2 6" xfId="2642" xr:uid="{00000000-0005-0000-0000-0000510A0000}"/>
    <cellStyle name="Moneda 8 5 3" xfId="2643" xr:uid="{00000000-0005-0000-0000-0000520A0000}"/>
    <cellStyle name="Moneda 8 5 3 2" xfId="2644" xr:uid="{00000000-0005-0000-0000-0000530A0000}"/>
    <cellStyle name="Moneda 8 5 3 2 2" xfId="2645" xr:uid="{00000000-0005-0000-0000-0000540A0000}"/>
    <cellStyle name="Moneda 8 5 3 3" xfId="2646" xr:uid="{00000000-0005-0000-0000-0000550A0000}"/>
    <cellStyle name="Moneda 8 5 3 3 2" xfId="2647" xr:uid="{00000000-0005-0000-0000-0000560A0000}"/>
    <cellStyle name="Moneda 8 5 3 4" xfId="2648" xr:uid="{00000000-0005-0000-0000-0000570A0000}"/>
    <cellStyle name="Moneda 8 5 3 4 2" xfId="2649" xr:uid="{00000000-0005-0000-0000-0000580A0000}"/>
    <cellStyle name="Moneda 8 5 3 5" xfId="2650" xr:uid="{00000000-0005-0000-0000-0000590A0000}"/>
    <cellStyle name="Moneda 8 5 4" xfId="2651" xr:uid="{00000000-0005-0000-0000-00005A0A0000}"/>
    <cellStyle name="Moneda 8 5 4 2" xfId="2652" xr:uid="{00000000-0005-0000-0000-00005B0A0000}"/>
    <cellStyle name="Moneda 8 5 5" xfId="2653" xr:uid="{00000000-0005-0000-0000-00005C0A0000}"/>
    <cellStyle name="Moneda 8 5 5 2" xfId="2654" xr:uid="{00000000-0005-0000-0000-00005D0A0000}"/>
    <cellStyle name="Moneda 8 5 6" xfId="2655" xr:uid="{00000000-0005-0000-0000-00005E0A0000}"/>
    <cellStyle name="Moneda 8 5 6 2" xfId="2656" xr:uid="{00000000-0005-0000-0000-00005F0A0000}"/>
    <cellStyle name="Moneda 8 5 7" xfId="2657" xr:uid="{00000000-0005-0000-0000-0000600A0000}"/>
    <cellStyle name="Moneda 8 6" xfId="2658" xr:uid="{00000000-0005-0000-0000-0000610A0000}"/>
    <cellStyle name="Moneda 8 6 2" xfId="2659" xr:uid="{00000000-0005-0000-0000-0000620A0000}"/>
    <cellStyle name="Moneda 8 6 2 2" xfId="2660" xr:uid="{00000000-0005-0000-0000-0000630A0000}"/>
    <cellStyle name="Moneda 8 6 2 2 2" xfId="2661" xr:uid="{00000000-0005-0000-0000-0000640A0000}"/>
    <cellStyle name="Moneda 8 6 2 3" xfId="2662" xr:uid="{00000000-0005-0000-0000-0000650A0000}"/>
    <cellStyle name="Moneda 8 6 2 3 2" xfId="2663" xr:uid="{00000000-0005-0000-0000-0000660A0000}"/>
    <cellStyle name="Moneda 8 6 2 4" xfId="2664" xr:uid="{00000000-0005-0000-0000-0000670A0000}"/>
    <cellStyle name="Moneda 8 6 2 4 2" xfId="2665" xr:uid="{00000000-0005-0000-0000-0000680A0000}"/>
    <cellStyle name="Moneda 8 6 2 5" xfId="2666" xr:uid="{00000000-0005-0000-0000-0000690A0000}"/>
    <cellStyle name="Moneda 8 6 3" xfId="2667" xr:uid="{00000000-0005-0000-0000-00006A0A0000}"/>
    <cellStyle name="Moneda 8 6 3 2" xfId="2668" xr:uid="{00000000-0005-0000-0000-00006B0A0000}"/>
    <cellStyle name="Moneda 8 6 4" xfId="2669" xr:uid="{00000000-0005-0000-0000-00006C0A0000}"/>
    <cellStyle name="Moneda 8 6 4 2" xfId="2670" xr:uid="{00000000-0005-0000-0000-00006D0A0000}"/>
    <cellStyle name="Moneda 8 6 5" xfId="2671" xr:uid="{00000000-0005-0000-0000-00006E0A0000}"/>
    <cellStyle name="Moneda 8 6 5 2" xfId="2672" xr:uid="{00000000-0005-0000-0000-00006F0A0000}"/>
    <cellStyle name="Moneda 8 6 6" xfId="2673" xr:uid="{00000000-0005-0000-0000-0000700A0000}"/>
    <cellStyle name="Moneda 8 7" xfId="2674" xr:uid="{00000000-0005-0000-0000-0000710A0000}"/>
    <cellStyle name="Moneda 8 7 2" xfId="2675" xr:uid="{00000000-0005-0000-0000-0000720A0000}"/>
    <cellStyle name="Moneda 8 7 2 2" xfId="2676" xr:uid="{00000000-0005-0000-0000-0000730A0000}"/>
    <cellStyle name="Moneda 8 7 3" xfId="2677" xr:uid="{00000000-0005-0000-0000-0000740A0000}"/>
    <cellStyle name="Moneda 8 7 3 2" xfId="2678" xr:uid="{00000000-0005-0000-0000-0000750A0000}"/>
    <cellStyle name="Moneda 8 7 4" xfId="2679" xr:uid="{00000000-0005-0000-0000-0000760A0000}"/>
    <cellStyle name="Moneda 8 7 4 2" xfId="2680" xr:uid="{00000000-0005-0000-0000-0000770A0000}"/>
    <cellStyle name="Moneda 8 7 5" xfId="2681" xr:uid="{00000000-0005-0000-0000-0000780A0000}"/>
    <cellStyle name="Moneda 8 8" xfId="2682" xr:uid="{00000000-0005-0000-0000-0000790A0000}"/>
    <cellStyle name="Moneda 8 8 2" xfId="2683" xr:uid="{00000000-0005-0000-0000-00007A0A0000}"/>
    <cellStyle name="Moneda 8 8 2 2" xfId="2684" xr:uid="{00000000-0005-0000-0000-00007B0A0000}"/>
    <cellStyle name="Moneda 8 8 3" xfId="2685" xr:uid="{00000000-0005-0000-0000-00007C0A0000}"/>
    <cellStyle name="Moneda 8 8 3 2" xfId="2686" xr:uid="{00000000-0005-0000-0000-00007D0A0000}"/>
    <cellStyle name="Moneda 8 8 4" xfId="2687" xr:uid="{00000000-0005-0000-0000-00007E0A0000}"/>
    <cellStyle name="Moneda 8 8 4 2" xfId="2688" xr:uid="{00000000-0005-0000-0000-00007F0A0000}"/>
    <cellStyle name="Moneda 8 8 5" xfId="2689" xr:uid="{00000000-0005-0000-0000-0000800A0000}"/>
    <cellStyle name="Moneda 8 9" xfId="2690" xr:uid="{00000000-0005-0000-0000-0000810A0000}"/>
    <cellStyle name="Moneda 8 9 2" xfId="2691" xr:uid="{00000000-0005-0000-0000-0000820A0000}"/>
    <cellStyle name="Moneda 9" xfId="2692" xr:uid="{00000000-0005-0000-0000-0000830A0000}"/>
    <cellStyle name="Moneda 9 10" xfId="2693" xr:uid="{00000000-0005-0000-0000-0000840A0000}"/>
    <cellStyle name="Moneda 9 11" xfId="2694" xr:uid="{00000000-0005-0000-0000-0000850A0000}"/>
    <cellStyle name="Moneda 9 2" xfId="2695" xr:uid="{00000000-0005-0000-0000-0000860A0000}"/>
    <cellStyle name="Moneda 9 2 2" xfId="2696" xr:uid="{00000000-0005-0000-0000-0000870A0000}"/>
    <cellStyle name="Moneda 9 2 2 2" xfId="2697" xr:uid="{00000000-0005-0000-0000-0000880A0000}"/>
    <cellStyle name="Moneda 9 2 2 2 2" xfId="2698" xr:uid="{00000000-0005-0000-0000-0000890A0000}"/>
    <cellStyle name="Moneda 9 2 2 2 2 2" xfId="2699" xr:uid="{00000000-0005-0000-0000-00008A0A0000}"/>
    <cellStyle name="Moneda 9 2 2 2 3" xfId="2700" xr:uid="{00000000-0005-0000-0000-00008B0A0000}"/>
    <cellStyle name="Moneda 9 2 2 2 3 2" xfId="2701" xr:uid="{00000000-0005-0000-0000-00008C0A0000}"/>
    <cellStyle name="Moneda 9 2 2 2 4" xfId="2702" xr:uid="{00000000-0005-0000-0000-00008D0A0000}"/>
    <cellStyle name="Moneda 9 2 2 2 4 2" xfId="2703" xr:uid="{00000000-0005-0000-0000-00008E0A0000}"/>
    <cellStyle name="Moneda 9 2 2 2 5" xfId="2704" xr:uid="{00000000-0005-0000-0000-00008F0A0000}"/>
    <cellStyle name="Moneda 9 2 2 3" xfId="2705" xr:uid="{00000000-0005-0000-0000-0000900A0000}"/>
    <cellStyle name="Moneda 9 2 2 3 2" xfId="2706" xr:uid="{00000000-0005-0000-0000-0000910A0000}"/>
    <cellStyle name="Moneda 9 2 2 4" xfId="2707" xr:uid="{00000000-0005-0000-0000-0000920A0000}"/>
    <cellStyle name="Moneda 9 2 2 4 2" xfId="2708" xr:uid="{00000000-0005-0000-0000-0000930A0000}"/>
    <cellStyle name="Moneda 9 2 2 5" xfId="2709" xr:uid="{00000000-0005-0000-0000-0000940A0000}"/>
    <cellStyle name="Moneda 9 2 2 5 2" xfId="2710" xr:uid="{00000000-0005-0000-0000-0000950A0000}"/>
    <cellStyle name="Moneda 9 2 2 6" xfId="2711" xr:uid="{00000000-0005-0000-0000-0000960A0000}"/>
    <cellStyle name="Moneda 9 2 3" xfId="2712" xr:uid="{00000000-0005-0000-0000-0000970A0000}"/>
    <cellStyle name="Moneda 9 2 3 2" xfId="2713" xr:uid="{00000000-0005-0000-0000-0000980A0000}"/>
    <cellStyle name="Moneda 9 2 3 2 2" xfId="2714" xr:uid="{00000000-0005-0000-0000-0000990A0000}"/>
    <cellStyle name="Moneda 9 2 3 3" xfId="2715" xr:uid="{00000000-0005-0000-0000-00009A0A0000}"/>
    <cellStyle name="Moneda 9 2 3 3 2" xfId="2716" xr:uid="{00000000-0005-0000-0000-00009B0A0000}"/>
    <cellStyle name="Moneda 9 2 3 4" xfId="2717" xr:uid="{00000000-0005-0000-0000-00009C0A0000}"/>
    <cellStyle name="Moneda 9 2 3 4 2" xfId="2718" xr:uid="{00000000-0005-0000-0000-00009D0A0000}"/>
    <cellStyle name="Moneda 9 2 3 5" xfId="2719" xr:uid="{00000000-0005-0000-0000-00009E0A0000}"/>
    <cellStyle name="Moneda 9 2 4" xfId="2720" xr:uid="{00000000-0005-0000-0000-00009F0A0000}"/>
    <cellStyle name="Moneda 9 2 4 2" xfId="2721" xr:uid="{00000000-0005-0000-0000-0000A00A0000}"/>
    <cellStyle name="Moneda 9 2 5" xfId="2722" xr:uid="{00000000-0005-0000-0000-0000A10A0000}"/>
    <cellStyle name="Moneda 9 2 5 2" xfId="2723" xr:uid="{00000000-0005-0000-0000-0000A20A0000}"/>
    <cellStyle name="Moneda 9 2 6" xfId="2724" xr:uid="{00000000-0005-0000-0000-0000A30A0000}"/>
    <cellStyle name="Moneda 9 2 6 2" xfId="2725" xr:uid="{00000000-0005-0000-0000-0000A40A0000}"/>
    <cellStyle name="Moneda 9 2 7" xfId="2726" xr:uid="{00000000-0005-0000-0000-0000A50A0000}"/>
    <cellStyle name="Moneda 9 2 8" xfId="2727" xr:uid="{00000000-0005-0000-0000-0000A60A0000}"/>
    <cellStyle name="Moneda 9 3" xfId="2728" xr:uid="{00000000-0005-0000-0000-0000A70A0000}"/>
    <cellStyle name="Moneda 9 3 2" xfId="2729" xr:uid="{00000000-0005-0000-0000-0000A80A0000}"/>
    <cellStyle name="Moneda 9 3 2 2" xfId="2730" xr:uid="{00000000-0005-0000-0000-0000A90A0000}"/>
    <cellStyle name="Moneda 9 3 2 2 2" xfId="2731" xr:uid="{00000000-0005-0000-0000-0000AA0A0000}"/>
    <cellStyle name="Moneda 9 3 2 2 2 2" xfId="2732" xr:uid="{00000000-0005-0000-0000-0000AB0A0000}"/>
    <cellStyle name="Moneda 9 3 2 2 3" xfId="2733" xr:uid="{00000000-0005-0000-0000-0000AC0A0000}"/>
    <cellStyle name="Moneda 9 3 2 2 3 2" xfId="2734" xr:uid="{00000000-0005-0000-0000-0000AD0A0000}"/>
    <cellStyle name="Moneda 9 3 2 2 4" xfId="2735" xr:uid="{00000000-0005-0000-0000-0000AE0A0000}"/>
    <cellStyle name="Moneda 9 3 2 2 4 2" xfId="2736" xr:uid="{00000000-0005-0000-0000-0000AF0A0000}"/>
    <cellStyle name="Moneda 9 3 2 2 5" xfId="2737" xr:uid="{00000000-0005-0000-0000-0000B00A0000}"/>
    <cellStyle name="Moneda 9 3 2 3" xfId="2738" xr:uid="{00000000-0005-0000-0000-0000B10A0000}"/>
    <cellStyle name="Moneda 9 3 2 3 2" xfId="2739" xr:uid="{00000000-0005-0000-0000-0000B20A0000}"/>
    <cellStyle name="Moneda 9 3 2 4" xfId="2740" xr:uid="{00000000-0005-0000-0000-0000B30A0000}"/>
    <cellStyle name="Moneda 9 3 2 4 2" xfId="2741" xr:uid="{00000000-0005-0000-0000-0000B40A0000}"/>
    <cellStyle name="Moneda 9 3 2 5" xfId="2742" xr:uid="{00000000-0005-0000-0000-0000B50A0000}"/>
    <cellStyle name="Moneda 9 3 2 5 2" xfId="2743" xr:uid="{00000000-0005-0000-0000-0000B60A0000}"/>
    <cellStyle name="Moneda 9 3 2 6" xfId="2744" xr:uid="{00000000-0005-0000-0000-0000B70A0000}"/>
    <cellStyle name="Moneda 9 3 3" xfId="2745" xr:uid="{00000000-0005-0000-0000-0000B80A0000}"/>
    <cellStyle name="Moneda 9 3 3 2" xfId="2746" xr:uid="{00000000-0005-0000-0000-0000B90A0000}"/>
    <cellStyle name="Moneda 9 3 3 2 2" xfId="2747" xr:uid="{00000000-0005-0000-0000-0000BA0A0000}"/>
    <cellStyle name="Moneda 9 3 3 3" xfId="2748" xr:uid="{00000000-0005-0000-0000-0000BB0A0000}"/>
    <cellStyle name="Moneda 9 3 3 3 2" xfId="2749" xr:uid="{00000000-0005-0000-0000-0000BC0A0000}"/>
    <cellStyle name="Moneda 9 3 3 4" xfId="2750" xr:uid="{00000000-0005-0000-0000-0000BD0A0000}"/>
    <cellStyle name="Moneda 9 3 3 4 2" xfId="2751" xr:uid="{00000000-0005-0000-0000-0000BE0A0000}"/>
    <cellStyle name="Moneda 9 3 3 5" xfId="2752" xr:uid="{00000000-0005-0000-0000-0000BF0A0000}"/>
    <cellStyle name="Moneda 9 3 4" xfId="2753" xr:uid="{00000000-0005-0000-0000-0000C00A0000}"/>
    <cellStyle name="Moneda 9 3 4 2" xfId="2754" xr:uid="{00000000-0005-0000-0000-0000C10A0000}"/>
    <cellStyle name="Moneda 9 3 5" xfId="2755" xr:uid="{00000000-0005-0000-0000-0000C20A0000}"/>
    <cellStyle name="Moneda 9 3 5 2" xfId="2756" xr:uid="{00000000-0005-0000-0000-0000C30A0000}"/>
    <cellStyle name="Moneda 9 3 6" xfId="2757" xr:uid="{00000000-0005-0000-0000-0000C40A0000}"/>
    <cellStyle name="Moneda 9 3 6 2" xfId="2758" xr:uid="{00000000-0005-0000-0000-0000C50A0000}"/>
    <cellStyle name="Moneda 9 3 7" xfId="2759" xr:uid="{00000000-0005-0000-0000-0000C60A0000}"/>
    <cellStyle name="Moneda 9 4" xfId="2760" xr:uid="{00000000-0005-0000-0000-0000C70A0000}"/>
    <cellStyle name="Moneda 9 4 2" xfId="2761" xr:uid="{00000000-0005-0000-0000-0000C80A0000}"/>
    <cellStyle name="Moneda 9 4 2 2" xfId="2762" xr:uid="{00000000-0005-0000-0000-0000C90A0000}"/>
    <cellStyle name="Moneda 9 4 2 2 2" xfId="2763" xr:uid="{00000000-0005-0000-0000-0000CA0A0000}"/>
    <cellStyle name="Moneda 9 4 2 2 2 2" xfId="2764" xr:uid="{00000000-0005-0000-0000-0000CB0A0000}"/>
    <cellStyle name="Moneda 9 4 2 2 3" xfId="2765" xr:uid="{00000000-0005-0000-0000-0000CC0A0000}"/>
    <cellStyle name="Moneda 9 4 2 2 3 2" xfId="2766" xr:uid="{00000000-0005-0000-0000-0000CD0A0000}"/>
    <cellStyle name="Moneda 9 4 2 2 4" xfId="2767" xr:uid="{00000000-0005-0000-0000-0000CE0A0000}"/>
    <cellStyle name="Moneda 9 4 2 2 4 2" xfId="2768" xr:uid="{00000000-0005-0000-0000-0000CF0A0000}"/>
    <cellStyle name="Moneda 9 4 2 2 5" xfId="2769" xr:uid="{00000000-0005-0000-0000-0000D00A0000}"/>
    <cellStyle name="Moneda 9 4 2 3" xfId="2770" xr:uid="{00000000-0005-0000-0000-0000D10A0000}"/>
    <cellStyle name="Moneda 9 4 2 3 2" xfId="2771" xr:uid="{00000000-0005-0000-0000-0000D20A0000}"/>
    <cellStyle name="Moneda 9 4 2 4" xfId="2772" xr:uid="{00000000-0005-0000-0000-0000D30A0000}"/>
    <cellStyle name="Moneda 9 4 2 4 2" xfId="2773" xr:uid="{00000000-0005-0000-0000-0000D40A0000}"/>
    <cellStyle name="Moneda 9 4 2 5" xfId="2774" xr:uid="{00000000-0005-0000-0000-0000D50A0000}"/>
    <cellStyle name="Moneda 9 4 2 5 2" xfId="2775" xr:uid="{00000000-0005-0000-0000-0000D60A0000}"/>
    <cellStyle name="Moneda 9 4 2 6" xfId="2776" xr:uid="{00000000-0005-0000-0000-0000D70A0000}"/>
    <cellStyle name="Moneda 9 4 3" xfId="2777" xr:uid="{00000000-0005-0000-0000-0000D80A0000}"/>
    <cellStyle name="Moneda 9 4 3 2" xfId="2778" xr:uid="{00000000-0005-0000-0000-0000D90A0000}"/>
    <cellStyle name="Moneda 9 4 3 2 2" xfId="2779" xr:uid="{00000000-0005-0000-0000-0000DA0A0000}"/>
    <cellStyle name="Moneda 9 4 3 3" xfId="2780" xr:uid="{00000000-0005-0000-0000-0000DB0A0000}"/>
    <cellStyle name="Moneda 9 4 3 3 2" xfId="2781" xr:uid="{00000000-0005-0000-0000-0000DC0A0000}"/>
    <cellStyle name="Moneda 9 4 3 4" xfId="2782" xr:uid="{00000000-0005-0000-0000-0000DD0A0000}"/>
    <cellStyle name="Moneda 9 4 3 4 2" xfId="2783" xr:uid="{00000000-0005-0000-0000-0000DE0A0000}"/>
    <cellStyle name="Moneda 9 4 3 5" xfId="2784" xr:uid="{00000000-0005-0000-0000-0000DF0A0000}"/>
    <cellStyle name="Moneda 9 4 4" xfId="2785" xr:uid="{00000000-0005-0000-0000-0000E00A0000}"/>
    <cellStyle name="Moneda 9 4 4 2" xfId="2786" xr:uid="{00000000-0005-0000-0000-0000E10A0000}"/>
    <cellStyle name="Moneda 9 4 5" xfId="2787" xr:uid="{00000000-0005-0000-0000-0000E20A0000}"/>
    <cellStyle name="Moneda 9 4 5 2" xfId="2788" xr:uid="{00000000-0005-0000-0000-0000E30A0000}"/>
    <cellStyle name="Moneda 9 4 6" xfId="2789" xr:uid="{00000000-0005-0000-0000-0000E40A0000}"/>
    <cellStyle name="Moneda 9 4 6 2" xfId="2790" xr:uid="{00000000-0005-0000-0000-0000E50A0000}"/>
    <cellStyle name="Moneda 9 4 7" xfId="2791" xr:uid="{00000000-0005-0000-0000-0000E60A0000}"/>
    <cellStyle name="Moneda 9 5" xfId="2792" xr:uid="{00000000-0005-0000-0000-0000E70A0000}"/>
    <cellStyle name="Moneda 9 5 2" xfId="2793" xr:uid="{00000000-0005-0000-0000-0000E80A0000}"/>
    <cellStyle name="Moneda 9 5 2 2" xfId="2794" xr:uid="{00000000-0005-0000-0000-0000E90A0000}"/>
    <cellStyle name="Moneda 9 5 2 2 2" xfId="2795" xr:uid="{00000000-0005-0000-0000-0000EA0A0000}"/>
    <cellStyle name="Moneda 9 5 2 3" xfId="2796" xr:uid="{00000000-0005-0000-0000-0000EB0A0000}"/>
    <cellStyle name="Moneda 9 5 2 3 2" xfId="2797" xr:uid="{00000000-0005-0000-0000-0000EC0A0000}"/>
    <cellStyle name="Moneda 9 5 2 4" xfId="2798" xr:uid="{00000000-0005-0000-0000-0000ED0A0000}"/>
    <cellStyle name="Moneda 9 5 2 4 2" xfId="2799" xr:uid="{00000000-0005-0000-0000-0000EE0A0000}"/>
    <cellStyle name="Moneda 9 5 2 5" xfId="2800" xr:uid="{00000000-0005-0000-0000-0000EF0A0000}"/>
    <cellStyle name="Moneda 9 5 3" xfId="2801" xr:uid="{00000000-0005-0000-0000-0000F00A0000}"/>
    <cellStyle name="Moneda 9 5 3 2" xfId="2802" xr:uid="{00000000-0005-0000-0000-0000F10A0000}"/>
    <cellStyle name="Moneda 9 5 4" xfId="2803" xr:uid="{00000000-0005-0000-0000-0000F20A0000}"/>
    <cellStyle name="Moneda 9 5 4 2" xfId="2804" xr:uid="{00000000-0005-0000-0000-0000F30A0000}"/>
    <cellStyle name="Moneda 9 5 5" xfId="2805" xr:uid="{00000000-0005-0000-0000-0000F40A0000}"/>
    <cellStyle name="Moneda 9 5 5 2" xfId="2806" xr:uid="{00000000-0005-0000-0000-0000F50A0000}"/>
    <cellStyle name="Moneda 9 5 6" xfId="2807" xr:uid="{00000000-0005-0000-0000-0000F60A0000}"/>
    <cellStyle name="Moneda 9 6" xfId="2808" xr:uid="{00000000-0005-0000-0000-0000F70A0000}"/>
    <cellStyle name="Moneda 9 6 2" xfId="2809" xr:uid="{00000000-0005-0000-0000-0000F80A0000}"/>
    <cellStyle name="Moneda 9 6 2 2" xfId="2810" xr:uid="{00000000-0005-0000-0000-0000F90A0000}"/>
    <cellStyle name="Moneda 9 6 3" xfId="2811" xr:uid="{00000000-0005-0000-0000-0000FA0A0000}"/>
    <cellStyle name="Moneda 9 6 3 2" xfId="2812" xr:uid="{00000000-0005-0000-0000-0000FB0A0000}"/>
    <cellStyle name="Moneda 9 6 4" xfId="2813" xr:uid="{00000000-0005-0000-0000-0000FC0A0000}"/>
    <cellStyle name="Moneda 9 6 4 2" xfId="2814" xr:uid="{00000000-0005-0000-0000-0000FD0A0000}"/>
    <cellStyle name="Moneda 9 6 5" xfId="2815" xr:uid="{00000000-0005-0000-0000-0000FE0A0000}"/>
    <cellStyle name="Moneda 9 7" xfId="2816" xr:uid="{00000000-0005-0000-0000-0000FF0A0000}"/>
    <cellStyle name="Moneda 9 7 2" xfId="2817" xr:uid="{00000000-0005-0000-0000-0000000B0000}"/>
    <cellStyle name="Moneda 9 8" xfId="2818" xr:uid="{00000000-0005-0000-0000-0000010B0000}"/>
    <cellStyle name="Moneda 9 8 2" xfId="2819" xr:uid="{00000000-0005-0000-0000-0000020B0000}"/>
    <cellStyle name="Moneda 9 9" xfId="2820" xr:uid="{00000000-0005-0000-0000-0000030B0000}"/>
    <cellStyle name="Moneda 9 9 2" xfId="2821" xr:uid="{00000000-0005-0000-0000-0000040B0000}"/>
    <cellStyle name="Moneda_Hoja1" xfId="2869" xr:uid="{00000000-0005-0000-0000-0000050B0000}"/>
    <cellStyle name="Neutral 2" xfId="2822" xr:uid="{00000000-0005-0000-0000-0000060B0000}"/>
    <cellStyle name="Normal" xfId="0" builtinId="0" customBuiltin="1"/>
    <cellStyle name="Normal 2" xfId="2823" xr:uid="{00000000-0005-0000-0000-0000080B0000}"/>
    <cellStyle name="Normal 2 10" xfId="2824" xr:uid="{00000000-0005-0000-0000-0000090B0000}"/>
    <cellStyle name="Normal 2 2" xfId="2825" xr:uid="{00000000-0005-0000-0000-00000A0B0000}"/>
    <cellStyle name="Normal 2 2 2" xfId="2826" xr:uid="{00000000-0005-0000-0000-00000B0B0000}"/>
    <cellStyle name="Normal 2 3" xfId="2827" xr:uid="{00000000-0005-0000-0000-00000C0B0000}"/>
    <cellStyle name="Normal 2 3 2" xfId="2828" xr:uid="{00000000-0005-0000-0000-00000D0B0000}"/>
    <cellStyle name="Normal 2 4" xfId="2829" xr:uid="{00000000-0005-0000-0000-00000E0B0000}"/>
    <cellStyle name="Normal 3" xfId="2830" xr:uid="{00000000-0005-0000-0000-00000F0B0000}"/>
    <cellStyle name="Normal 3 2" xfId="2831" xr:uid="{00000000-0005-0000-0000-0000100B0000}"/>
    <cellStyle name="Normal 3 2 2" xfId="2832" xr:uid="{00000000-0005-0000-0000-0000110B0000}"/>
    <cellStyle name="Normal 3 2 2 2" xfId="2833" xr:uid="{00000000-0005-0000-0000-0000120B0000}"/>
    <cellStyle name="Normal 3 2 3" xfId="2834" xr:uid="{00000000-0005-0000-0000-0000130B0000}"/>
    <cellStyle name="Normal 3 3" xfId="2835" xr:uid="{00000000-0005-0000-0000-0000140B0000}"/>
    <cellStyle name="Normal 3 4" xfId="2836" xr:uid="{00000000-0005-0000-0000-0000150B0000}"/>
    <cellStyle name="Normal 3 5" xfId="2837" xr:uid="{00000000-0005-0000-0000-0000160B0000}"/>
    <cellStyle name="Normal 3_CADENA DE VALOR" xfId="2838" xr:uid="{00000000-0005-0000-0000-0000170B0000}"/>
    <cellStyle name="Normal 4" xfId="2839" xr:uid="{00000000-0005-0000-0000-0000180B0000}"/>
    <cellStyle name="Normal 4 2" xfId="2840" xr:uid="{00000000-0005-0000-0000-0000190B0000}"/>
    <cellStyle name="Normal 5" xfId="2841" xr:uid="{00000000-0005-0000-0000-00001A0B0000}"/>
    <cellStyle name="Normal 6 2" xfId="2842" xr:uid="{00000000-0005-0000-0000-00001B0B0000}"/>
    <cellStyle name="Normal 7" xfId="2843" xr:uid="{00000000-0005-0000-0000-00001C0B0000}"/>
    <cellStyle name="Normal_CADENA DE VALOR" xfId="2844" xr:uid="{00000000-0005-0000-0000-00001D0B0000}"/>
    <cellStyle name="Numeric" xfId="2845" xr:uid="{00000000-0005-0000-0000-00001E0B0000}"/>
    <cellStyle name="NumericWithBorder" xfId="2846" xr:uid="{00000000-0005-0000-0000-00001F0B0000}"/>
    <cellStyle name="NumericWithBorder 2" xfId="2847" xr:uid="{00000000-0005-0000-0000-0000200B0000}"/>
    <cellStyle name="NumericWithBorder 2 2" xfId="2848" xr:uid="{00000000-0005-0000-0000-0000210B0000}"/>
    <cellStyle name="NumericWithBorder 2 3" xfId="2849" xr:uid="{00000000-0005-0000-0000-0000220B0000}"/>
    <cellStyle name="NumericWithBorder 2 4" xfId="2850" xr:uid="{00000000-0005-0000-0000-0000230B0000}"/>
    <cellStyle name="NumericWithBorder 3" xfId="2851" xr:uid="{00000000-0005-0000-0000-0000240B0000}"/>
    <cellStyle name="NumericWithBorder 4" xfId="2852" xr:uid="{00000000-0005-0000-0000-0000250B0000}"/>
    <cellStyle name="NumericWithBorder 5" xfId="2853" xr:uid="{00000000-0005-0000-0000-0000260B0000}"/>
    <cellStyle name="Percent" xfId="2854" xr:uid="{00000000-0005-0000-0000-0000270B0000}"/>
    <cellStyle name="Percent 2" xfId="2855" xr:uid="{00000000-0005-0000-0000-0000280B0000}"/>
    <cellStyle name="Percent 2 2" xfId="2856" xr:uid="{00000000-0005-0000-0000-0000290B0000}"/>
    <cellStyle name="Porcentaje" xfId="2857" builtinId="5" customBuiltin="1"/>
    <cellStyle name="Porcentaje 2" xfId="2858" xr:uid="{00000000-0005-0000-0000-00002B0B0000}"/>
    <cellStyle name="Porcentaje 2 2" xfId="2859" xr:uid="{00000000-0005-0000-0000-00002C0B0000}"/>
    <cellStyle name="Porcentaje 3" xfId="2860" xr:uid="{00000000-0005-0000-0000-00002D0B0000}"/>
    <cellStyle name="Porcentaje 3 2" xfId="2861" xr:uid="{00000000-0005-0000-0000-00002E0B0000}"/>
    <cellStyle name="Porcentaje 4" xfId="2862" xr:uid="{00000000-0005-0000-0000-00002F0B0000}"/>
    <cellStyle name="Porcentual 2" xfId="2863" xr:uid="{00000000-0005-0000-0000-0000300B0000}"/>
    <cellStyle name="Porcentual 2 2" xfId="2864" xr:uid="{00000000-0005-0000-0000-0000310B0000}"/>
    <cellStyle name="Porcentual 2 2 2" xfId="2865" xr:uid="{00000000-0005-0000-0000-0000320B0000}"/>
    <cellStyle name="Porcentual 2 3" xfId="2866" xr:uid="{00000000-0005-0000-0000-0000330B0000}"/>
    <cellStyle name="Porcentual 2 3 2" xfId="2867" xr:uid="{00000000-0005-0000-0000-0000340B0000}"/>
    <cellStyle name="Porcentual 3" xfId="2868" xr:uid="{00000000-0005-0000-0000-0000350B0000}"/>
  </cellStyles>
  <dxfs count="0"/>
  <tableStyles count="0" defaultTableStyle="TableStyleMedium2" defaultPivotStyle="PivotStyleLight16"/>
  <colors>
    <mruColors>
      <color rgb="FF00FF00"/>
      <color rgb="FFFFCCCC"/>
      <color rgb="FF66FFFF"/>
      <color rgb="FFFF33CC"/>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142875</xdr:rowOff>
    </xdr:from>
    <xdr:to>
      <xdr:col>5</xdr:col>
      <xdr:colOff>28575</xdr:colOff>
      <xdr:row>3</xdr:row>
      <xdr:rowOff>228600</xdr:rowOff>
    </xdr:to>
    <xdr:pic>
      <xdr:nvPicPr>
        <xdr:cNvPr id="1081" name="Imagen 3">
          <a:extLst>
            <a:ext uri="{FF2B5EF4-FFF2-40B4-BE49-F238E27FC236}">
              <a16:creationId xmlns:a16="http://schemas.microsoft.com/office/drawing/2014/main" id="{8CBE1357-CC6F-4E75-A4A9-2E5AB577C5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40576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266701</xdr:colOff>
      <xdr:row>0</xdr:row>
      <xdr:rowOff>209550</xdr:rowOff>
    </xdr:from>
    <xdr:to>
      <xdr:col>2</xdr:col>
      <xdr:colOff>626302</xdr:colOff>
      <xdr:row>1</xdr:row>
      <xdr:rowOff>581025</xdr:rowOff>
    </xdr:to>
    <xdr:pic>
      <xdr:nvPicPr>
        <xdr:cNvPr id="2306" name="Imagen 3">
          <a:extLst>
            <a:ext uri="{FF2B5EF4-FFF2-40B4-BE49-F238E27FC236}">
              <a16:creationId xmlns:a16="http://schemas.microsoft.com/office/drawing/2014/main" id="{D4522EB9-F26B-4BC1-BD02-336ACD805C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1" y="209550"/>
          <a:ext cx="1103334" cy="854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2</xdr:col>
      <xdr:colOff>972811</xdr:colOff>
      <xdr:row>2</xdr:row>
      <xdr:rowOff>323850</xdr:rowOff>
    </xdr:to>
    <xdr:pic>
      <xdr:nvPicPr>
        <xdr:cNvPr id="3135" name="Imagen 2">
          <a:extLst>
            <a:ext uri="{FF2B5EF4-FFF2-40B4-BE49-F238E27FC236}">
              <a16:creationId xmlns:a16="http://schemas.microsoft.com/office/drawing/2014/main" id="{B7423D2D-3B7E-49E0-837D-AC1DEB68FD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2941544"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3676</xdr:colOff>
      <xdr:row>0</xdr:row>
      <xdr:rowOff>276225</xdr:rowOff>
    </xdr:from>
    <xdr:to>
      <xdr:col>2</xdr:col>
      <xdr:colOff>370203</xdr:colOff>
      <xdr:row>2</xdr:row>
      <xdr:rowOff>181054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38150" y="276225"/>
          <a:ext cx="1617245" cy="907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231672</xdr:colOff>
      <xdr:row>0</xdr:row>
      <xdr:rowOff>207092</xdr:rowOff>
    </xdr:from>
    <xdr:to>
      <xdr:col>1</xdr:col>
      <xdr:colOff>2073991</xdr:colOff>
      <xdr:row>2</xdr:row>
      <xdr:rowOff>199718</xdr:rowOff>
    </xdr:to>
    <xdr:pic>
      <xdr:nvPicPr>
        <xdr:cNvPr id="2" name="Imagen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72" y="207092"/>
          <a:ext cx="2933085" cy="6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1114425</xdr:colOff>
      <xdr:row>3</xdr:row>
      <xdr:rowOff>47625</xdr:rowOff>
    </xdr:to>
    <xdr:pic>
      <xdr:nvPicPr>
        <xdr:cNvPr id="6436" name="Imagen 1">
          <a:extLst>
            <a:ext uri="{FF2B5EF4-FFF2-40B4-BE49-F238E27FC236}">
              <a16:creationId xmlns:a16="http://schemas.microsoft.com/office/drawing/2014/main" id="{3B452FBD-28A0-4C66-97C1-DA68188F83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1336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R/Documents/SRHS%202020/SEGPLAN%202021/7789%20MAYO%202021/FORMATO%20NUEVO%20DEL%20PLAN%20DE%20ACCI&#211;N%207789%20FORMUL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7789"/>
      <sheetName val="SPI"/>
      <sheetName val="SPI_77891"/>
      <sheetName val="SPI_7789"/>
    </sheetNames>
    <sheetDataSet>
      <sheetData sheetId="0"/>
      <sheetData sheetId="1">
        <row r="31">
          <cell r="AC31">
            <v>0</v>
          </cell>
          <cell r="AE31">
            <v>1.4E-2</v>
          </cell>
          <cell r="AG31">
            <v>0.01</v>
          </cell>
          <cell r="AI31">
            <v>0.02</v>
          </cell>
          <cell r="AK31">
            <v>0.01</v>
          </cell>
        </row>
        <row r="32">
          <cell r="AC32">
            <v>0</v>
          </cell>
          <cell r="AE32">
            <v>224010000</v>
          </cell>
          <cell r="AG32">
            <v>381603000</v>
          </cell>
          <cell r="AI32">
            <v>72560000</v>
          </cell>
          <cell r="AK32">
            <v>38080000</v>
          </cell>
        </row>
        <row r="34">
          <cell r="AC34">
            <v>0</v>
          </cell>
          <cell r="AE34">
            <v>0</v>
          </cell>
          <cell r="AG34">
            <v>0</v>
          </cell>
          <cell r="AI34">
            <v>0</v>
          </cell>
          <cell r="AK34">
            <v>0</v>
          </cell>
        </row>
        <row r="35">
          <cell r="AC35">
            <v>52606533</v>
          </cell>
          <cell r="AE35">
            <v>93212912.670000017</v>
          </cell>
          <cell r="AG35">
            <v>58157720.329999983</v>
          </cell>
          <cell r="AI35">
            <v>6547334</v>
          </cell>
          <cell r="AK35">
            <v>5153333</v>
          </cell>
        </row>
        <row r="36">
          <cell r="AC36">
            <v>0</v>
          </cell>
          <cell r="AE36">
            <v>1.4E-2</v>
          </cell>
          <cell r="AG36">
            <v>0.01</v>
          </cell>
          <cell r="AI36">
            <v>0.02</v>
          </cell>
          <cell r="AK36">
            <v>0.01</v>
          </cell>
        </row>
        <row r="37">
          <cell r="AC37">
            <v>52606533</v>
          </cell>
          <cell r="AE37">
            <v>317222912.67000002</v>
          </cell>
          <cell r="AG37">
            <v>439760720.32999998</v>
          </cell>
          <cell r="AI37">
            <v>79107334</v>
          </cell>
          <cell r="AK37">
            <v>43233333</v>
          </cell>
        </row>
      </sheetData>
      <sheetData sheetId="2"/>
      <sheetData sheetId="3"/>
      <sheetData sheetId="4"/>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Diana Patricia Galindo R" id="{7056DB74-7AA1-4954-92A0-2377677D9573}" userId="382a170c9eafa4ee"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21" dT="2022-01-07T17:58:30.23" personId="{7056DB74-7AA1-4954-92A0-2377677D9573}" id="{F2A252FB-6787-4224-8CA0-746D0DA5BC46}">
    <text>Por qué no se alcanzó el 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spi.dnp.gov.co/RegistroTerritorio/ProyectoInformacionIndicadoresGestion.aspx?proyecto=2020110010245&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45&amp;vigencia=2020&amp;periodo=10&amp;id=img_Registro%20y%20Seguimiento&amp;Consulta=&amp;Seleccionado=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tabSelected="1" zoomScale="51" zoomScaleNormal="51" workbookViewId="0">
      <selection activeCell="F12" sqref="F12"/>
    </sheetView>
  </sheetViews>
  <sheetFormatPr baseColWidth="10" defaultColWidth="10.85546875" defaultRowHeight="15" x14ac:dyDescent="0.25"/>
  <cols>
    <col min="1" max="1" width="10.42578125" style="1" customWidth="1"/>
    <col min="2" max="2" width="7.28515625"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8.7109375" style="1" customWidth="1"/>
    <col min="9" max="9" width="16.28515625" style="69" customWidth="1"/>
    <col min="10" max="10" width="19.7109375" style="69" hidden="1" customWidth="1"/>
    <col min="11" max="24" width="10.7109375" style="69" hidden="1" customWidth="1"/>
    <col min="25" max="25" width="15" style="69" hidden="1" customWidth="1"/>
    <col min="26" max="26" width="16.42578125" style="69" hidden="1" customWidth="1"/>
    <col min="27" max="27" width="17.28515625" style="69" hidden="1" customWidth="1"/>
    <col min="28" max="28" width="15" style="69" customWidth="1"/>
    <col min="29" max="29" width="15.42578125" style="69" customWidth="1"/>
    <col min="30" max="30" width="15.7109375" style="69" customWidth="1"/>
    <col min="31" max="54" width="10.7109375" style="69" customWidth="1"/>
    <col min="55" max="55" width="16" style="69" bestFit="1" customWidth="1"/>
    <col min="56" max="56" width="14.42578125" style="69" bestFit="1" customWidth="1"/>
    <col min="57" max="57" width="15" style="69" bestFit="1" customWidth="1"/>
    <col min="58" max="60" width="19" style="69" customWidth="1"/>
    <col min="61" max="89" width="19" style="69" hidden="1" customWidth="1"/>
    <col min="90" max="90" width="19" style="69" customWidth="1"/>
    <col min="91" max="119" width="19" style="69" hidden="1" customWidth="1"/>
    <col min="120" max="120" width="19" style="69" customWidth="1"/>
    <col min="121" max="149" width="19" style="69" hidden="1" customWidth="1"/>
    <col min="150" max="151" width="19" style="1" customWidth="1"/>
    <col min="152" max="152" width="20.85546875" style="1" customWidth="1"/>
    <col min="153" max="153" width="21.42578125" style="1" customWidth="1"/>
    <col min="154" max="154" width="18.42578125" style="1" customWidth="1"/>
    <col min="155" max="155" width="123" style="1" customWidth="1"/>
    <col min="156" max="156" width="55.85546875" style="1" customWidth="1"/>
    <col min="157" max="157" width="28" style="1" customWidth="1"/>
    <col min="158" max="158" width="50.28515625" style="1" customWidth="1"/>
    <col min="159" max="159" width="23.42578125" style="1" customWidth="1"/>
    <col min="160" max="160" width="10.85546875" style="1" customWidth="1"/>
    <col min="161" max="16384" width="10.85546875" style="1"/>
  </cols>
  <sheetData>
    <row r="1" spans="1:159" ht="15.75" thickBot="1" x14ac:dyDescent="0.3">
      <c r="C1" s="2"/>
      <c r="D1" s="2"/>
      <c r="E1" s="2"/>
      <c r="F1" s="2"/>
      <c r="G1" s="2"/>
      <c r="H1" s="2"/>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2"/>
      <c r="EU1" s="2"/>
      <c r="EV1" s="2"/>
      <c r="EW1" s="2"/>
      <c r="EX1" s="2"/>
      <c r="EY1" s="2"/>
      <c r="EZ1" s="2"/>
      <c r="FA1" s="2"/>
      <c r="FB1" s="2"/>
      <c r="FC1" s="2"/>
    </row>
    <row r="2" spans="1:159" s="4" customFormat="1" ht="38.25" thickBot="1" x14ac:dyDescent="0.55000000000000004">
      <c r="A2" s="824"/>
      <c r="B2" s="824"/>
      <c r="C2" s="824"/>
      <c r="D2" s="824"/>
      <c r="E2" s="824"/>
      <c r="F2" s="824"/>
      <c r="G2" s="825" t="s">
        <v>0</v>
      </c>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825"/>
      <c r="AW2" s="825"/>
      <c r="AX2" s="825"/>
      <c r="AY2" s="825"/>
      <c r="AZ2" s="825"/>
      <c r="BA2" s="825"/>
      <c r="BB2" s="825"/>
      <c r="BC2" s="825"/>
      <c r="BD2" s="825"/>
      <c r="BE2" s="825"/>
      <c r="BF2" s="825"/>
      <c r="BG2" s="825"/>
      <c r="BH2" s="825"/>
      <c r="BI2" s="825"/>
      <c r="BJ2" s="825"/>
      <c r="BK2" s="825"/>
      <c r="BL2" s="825"/>
      <c r="BM2" s="825"/>
      <c r="BN2" s="825"/>
      <c r="BO2" s="825"/>
      <c r="BP2" s="825"/>
      <c r="BQ2" s="825"/>
      <c r="BR2" s="825"/>
      <c r="BS2" s="825"/>
      <c r="BT2" s="825"/>
      <c r="BU2" s="825"/>
      <c r="BV2" s="825"/>
      <c r="BW2" s="825"/>
      <c r="BX2" s="825"/>
      <c r="BY2" s="825"/>
      <c r="BZ2" s="825"/>
      <c r="CA2" s="825"/>
      <c r="CB2" s="825"/>
      <c r="CC2" s="825"/>
      <c r="CD2" s="825"/>
      <c r="CE2" s="825"/>
      <c r="CF2" s="825"/>
      <c r="CG2" s="825"/>
      <c r="CH2" s="825"/>
      <c r="CI2" s="825"/>
      <c r="CJ2" s="825"/>
      <c r="CK2" s="825"/>
      <c r="CL2" s="825"/>
      <c r="CM2" s="825"/>
      <c r="CN2" s="825"/>
      <c r="CO2" s="825"/>
      <c r="CP2" s="825"/>
      <c r="CQ2" s="825"/>
      <c r="CR2" s="825"/>
      <c r="CS2" s="825"/>
      <c r="CT2" s="825"/>
      <c r="CU2" s="825"/>
      <c r="CV2" s="825"/>
      <c r="CW2" s="825"/>
      <c r="CX2" s="825"/>
      <c r="CY2" s="825"/>
      <c r="CZ2" s="825"/>
      <c r="DA2" s="825"/>
      <c r="DB2" s="825"/>
      <c r="DC2" s="825"/>
      <c r="DD2" s="825"/>
      <c r="DE2" s="825"/>
      <c r="DF2" s="825"/>
      <c r="DG2" s="825"/>
      <c r="DH2" s="825"/>
      <c r="DI2" s="825"/>
      <c r="DJ2" s="825"/>
      <c r="DK2" s="825"/>
      <c r="DL2" s="825"/>
      <c r="DM2" s="825"/>
      <c r="DN2" s="825"/>
      <c r="DO2" s="825"/>
      <c r="DP2" s="825"/>
      <c r="DQ2" s="825"/>
      <c r="DR2" s="825"/>
      <c r="DS2" s="825"/>
      <c r="DT2" s="825"/>
      <c r="DU2" s="825"/>
      <c r="DV2" s="825"/>
      <c r="DW2" s="825"/>
      <c r="DX2" s="825"/>
      <c r="DY2" s="825"/>
      <c r="DZ2" s="825"/>
      <c r="EA2" s="825"/>
      <c r="EB2" s="825"/>
      <c r="EC2" s="825"/>
      <c r="ED2" s="825"/>
      <c r="EE2" s="825"/>
      <c r="EF2" s="825"/>
      <c r="EG2" s="825"/>
      <c r="EH2" s="825"/>
      <c r="EI2" s="825"/>
      <c r="EJ2" s="825"/>
      <c r="EK2" s="825"/>
      <c r="EL2" s="825"/>
      <c r="EM2" s="825"/>
      <c r="EN2" s="825"/>
      <c r="EO2" s="825"/>
      <c r="EP2" s="825"/>
      <c r="EQ2" s="825"/>
      <c r="ER2" s="825"/>
      <c r="ES2" s="825"/>
      <c r="ET2" s="825"/>
      <c r="EU2" s="825"/>
      <c r="EV2" s="825"/>
      <c r="EW2" s="825"/>
      <c r="EX2" s="825"/>
      <c r="EY2" s="825"/>
      <c r="EZ2" s="825"/>
      <c r="FA2" s="825"/>
      <c r="FB2" s="825"/>
      <c r="FC2" s="825"/>
    </row>
    <row r="3" spans="1:159" s="4" customFormat="1" ht="60" customHeight="1" thickBot="1" x14ac:dyDescent="0.65">
      <c r="A3" s="824"/>
      <c r="B3" s="824"/>
      <c r="C3" s="824"/>
      <c r="D3" s="824"/>
      <c r="E3" s="824"/>
      <c r="F3" s="824"/>
      <c r="G3" s="826" t="s">
        <v>1</v>
      </c>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6"/>
      <c r="AS3" s="826"/>
      <c r="AT3" s="826"/>
      <c r="AU3" s="826"/>
      <c r="AV3" s="826"/>
      <c r="AW3" s="826"/>
      <c r="AX3" s="826"/>
      <c r="AY3" s="826"/>
      <c r="AZ3" s="826"/>
      <c r="BA3" s="826"/>
      <c r="BB3" s="826"/>
      <c r="BC3" s="826"/>
      <c r="BD3" s="826"/>
      <c r="BE3" s="826"/>
      <c r="BF3" s="826"/>
      <c r="BG3" s="826"/>
      <c r="BH3" s="826"/>
      <c r="BI3" s="826"/>
      <c r="BJ3" s="826"/>
      <c r="BK3" s="826"/>
      <c r="BL3" s="826"/>
      <c r="BM3" s="826"/>
      <c r="BN3" s="826"/>
      <c r="BO3" s="826"/>
      <c r="BP3" s="826"/>
      <c r="BQ3" s="826"/>
      <c r="BR3" s="826"/>
      <c r="BS3" s="826"/>
      <c r="BT3" s="826"/>
      <c r="BU3" s="826"/>
      <c r="BV3" s="826"/>
      <c r="BW3" s="826"/>
      <c r="BX3" s="826"/>
      <c r="BY3" s="826"/>
      <c r="BZ3" s="826"/>
      <c r="CA3" s="826"/>
      <c r="CB3" s="826"/>
      <c r="CC3" s="826"/>
      <c r="CD3" s="826"/>
      <c r="CE3" s="826"/>
      <c r="CF3" s="826"/>
      <c r="CG3" s="826"/>
      <c r="CH3" s="826"/>
      <c r="CI3" s="826"/>
      <c r="CJ3" s="826"/>
      <c r="CK3" s="826"/>
      <c r="CL3" s="826"/>
      <c r="CM3" s="826"/>
      <c r="CN3" s="826"/>
      <c r="CO3" s="826"/>
      <c r="CP3" s="826"/>
      <c r="CQ3" s="826"/>
      <c r="CR3" s="826"/>
      <c r="CS3" s="826"/>
      <c r="CT3" s="826"/>
      <c r="CU3" s="826"/>
      <c r="CV3" s="826"/>
      <c r="CW3" s="826"/>
      <c r="CX3" s="826"/>
      <c r="CY3" s="826"/>
      <c r="CZ3" s="826"/>
      <c r="DA3" s="826"/>
      <c r="DB3" s="826"/>
      <c r="DC3" s="826"/>
      <c r="DD3" s="826"/>
      <c r="DE3" s="826"/>
      <c r="DF3" s="826"/>
      <c r="DG3" s="826"/>
      <c r="DH3" s="826"/>
      <c r="DI3" s="826"/>
      <c r="DJ3" s="826"/>
      <c r="DK3" s="826"/>
      <c r="DL3" s="826"/>
      <c r="DM3" s="826"/>
      <c r="DN3" s="826"/>
      <c r="DO3" s="826"/>
      <c r="DP3" s="826"/>
      <c r="DQ3" s="826"/>
      <c r="DR3" s="826"/>
      <c r="DS3" s="826"/>
      <c r="DT3" s="826"/>
      <c r="DU3" s="826"/>
      <c r="DV3" s="826"/>
      <c r="DW3" s="826"/>
      <c r="DX3" s="826"/>
      <c r="DY3" s="826"/>
      <c r="DZ3" s="826"/>
      <c r="EA3" s="826"/>
      <c r="EB3" s="826"/>
      <c r="EC3" s="826"/>
      <c r="ED3" s="826"/>
      <c r="EE3" s="826"/>
      <c r="EF3" s="826"/>
      <c r="EG3" s="826"/>
      <c r="EH3" s="826"/>
      <c r="EI3" s="826"/>
      <c r="EJ3" s="826"/>
      <c r="EK3" s="826"/>
      <c r="EL3" s="826"/>
      <c r="EM3" s="826"/>
      <c r="EN3" s="826"/>
      <c r="EO3" s="826"/>
      <c r="EP3" s="826"/>
      <c r="EQ3" s="826"/>
      <c r="ER3" s="826"/>
      <c r="ES3" s="826"/>
      <c r="ET3" s="826"/>
      <c r="EU3" s="826"/>
      <c r="EV3" s="826"/>
      <c r="EW3" s="826"/>
      <c r="EX3" s="826"/>
      <c r="EY3" s="826"/>
      <c r="EZ3" s="826"/>
      <c r="FA3" s="826"/>
      <c r="FB3" s="826"/>
      <c r="FC3" s="826"/>
    </row>
    <row r="4" spans="1:159" s="5" customFormat="1" ht="27" thickBot="1" x14ac:dyDescent="0.45">
      <c r="A4" s="824"/>
      <c r="B4" s="824"/>
      <c r="C4" s="824"/>
      <c r="D4" s="824"/>
      <c r="E4" s="824"/>
      <c r="F4" s="824"/>
      <c r="G4" s="827" t="s">
        <v>2</v>
      </c>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827"/>
      <c r="AM4" s="827"/>
      <c r="AN4" s="827"/>
      <c r="AO4" s="827"/>
      <c r="AP4" s="827"/>
      <c r="AQ4" s="827"/>
      <c r="AR4" s="827"/>
      <c r="AS4" s="827"/>
      <c r="AT4" s="827"/>
      <c r="AU4" s="827"/>
      <c r="AV4" s="827"/>
      <c r="AW4" s="827"/>
      <c r="AX4" s="827"/>
      <c r="AY4" s="827"/>
      <c r="AZ4" s="827"/>
      <c r="BA4" s="827"/>
      <c r="BB4" s="827"/>
      <c r="BC4" s="827"/>
      <c r="BD4" s="827"/>
      <c r="BE4" s="827"/>
      <c r="BF4" s="827"/>
      <c r="BG4" s="827"/>
      <c r="BH4" s="827"/>
      <c r="BI4" s="827"/>
      <c r="BJ4" s="827"/>
      <c r="BK4" s="827"/>
      <c r="BL4" s="827"/>
      <c r="BM4" s="827"/>
      <c r="BN4" s="827"/>
      <c r="BO4" s="827"/>
      <c r="BP4" s="827"/>
      <c r="BQ4" s="827"/>
      <c r="BR4" s="827"/>
      <c r="BS4" s="827"/>
      <c r="BT4" s="827"/>
      <c r="BU4" s="827"/>
      <c r="BV4" s="827"/>
      <c r="BW4" s="827"/>
      <c r="BX4" s="827"/>
      <c r="BY4" s="827"/>
      <c r="BZ4" s="827"/>
      <c r="CA4" s="827"/>
      <c r="CB4" s="827"/>
      <c r="CC4" s="827"/>
      <c r="CD4" s="827"/>
      <c r="CE4" s="827"/>
      <c r="CF4" s="827"/>
      <c r="CG4" s="827"/>
      <c r="CH4" s="827"/>
      <c r="CI4" s="827"/>
      <c r="CJ4" s="827"/>
      <c r="CK4" s="827"/>
      <c r="CL4" s="827"/>
      <c r="CM4" s="827"/>
      <c r="CN4" s="827"/>
      <c r="CO4" s="827"/>
      <c r="CP4" s="827"/>
      <c r="CQ4" s="827"/>
      <c r="CR4" s="827"/>
      <c r="CS4" s="827"/>
      <c r="CT4" s="827"/>
      <c r="CU4" s="827"/>
      <c r="CV4" s="827"/>
      <c r="CW4" s="827"/>
      <c r="CX4" s="827"/>
      <c r="CY4" s="827"/>
      <c r="CZ4" s="827"/>
      <c r="DA4" s="827"/>
      <c r="DB4" s="827"/>
      <c r="DC4" s="827"/>
      <c r="DD4" s="827"/>
      <c r="DE4" s="827"/>
      <c r="DF4" s="827"/>
      <c r="DG4" s="827"/>
      <c r="DH4" s="827"/>
      <c r="DI4" s="827"/>
      <c r="DJ4" s="827"/>
      <c r="DK4" s="827"/>
      <c r="DL4" s="827"/>
      <c r="DM4" s="827"/>
      <c r="DN4" s="827"/>
      <c r="DO4" s="827"/>
      <c r="DP4" s="827"/>
      <c r="DQ4" s="827"/>
      <c r="DR4" s="827"/>
      <c r="DS4" s="827"/>
      <c r="DT4" s="827"/>
      <c r="DU4" s="827"/>
      <c r="DV4" s="827"/>
      <c r="DW4" s="827"/>
      <c r="DX4" s="827"/>
      <c r="DY4" s="827"/>
      <c r="DZ4" s="827"/>
      <c r="EA4" s="827"/>
      <c r="EB4" s="827"/>
      <c r="EC4" s="827"/>
      <c r="ED4" s="827"/>
      <c r="EE4" s="827"/>
      <c r="EF4" s="827"/>
      <c r="EG4" s="827"/>
      <c r="EH4" s="827"/>
      <c r="EI4" s="827"/>
      <c r="EJ4" s="827"/>
      <c r="EK4" s="827"/>
      <c r="EL4" s="827"/>
      <c r="EM4" s="827"/>
      <c r="EN4" s="827"/>
      <c r="EO4" s="827"/>
      <c r="EP4" s="827"/>
      <c r="EQ4" s="827"/>
      <c r="ER4" s="827"/>
      <c r="ES4" s="827"/>
      <c r="ET4" s="828" t="s">
        <v>3</v>
      </c>
      <c r="EU4" s="828"/>
      <c r="EV4" s="828"/>
      <c r="EW4" s="828"/>
      <c r="EX4" s="828"/>
      <c r="EY4" s="828"/>
      <c r="EZ4" s="828"/>
      <c r="FA4" s="828"/>
      <c r="FB4" s="828"/>
      <c r="FC4" s="828"/>
    </row>
    <row r="5" spans="1:159" ht="25.5" customHeight="1" thickBot="1" x14ac:dyDescent="0.3">
      <c r="A5" s="821" t="s">
        <v>4</v>
      </c>
      <c r="B5" s="821"/>
      <c r="C5" s="821"/>
      <c r="D5" s="821"/>
      <c r="E5" s="821"/>
      <c r="F5" s="821"/>
      <c r="G5" s="822" t="s">
        <v>5</v>
      </c>
      <c r="H5" s="822"/>
      <c r="I5" s="822"/>
      <c r="J5" s="822"/>
      <c r="K5" s="822"/>
      <c r="L5" s="822"/>
      <c r="M5" s="822"/>
      <c r="N5" s="822"/>
      <c r="O5" s="822"/>
      <c r="P5" s="822"/>
      <c r="Q5" s="822"/>
      <c r="R5" s="822"/>
      <c r="S5" s="822"/>
      <c r="T5" s="822"/>
      <c r="U5" s="822"/>
      <c r="V5" s="822"/>
      <c r="W5" s="822"/>
      <c r="X5" s="822"/>
      <c r="Y5" s="822"/>
      <c r="Z5" s="822"/>
      <c r="AA5" s="822"/>
      <c r="AB5" s="822"/>
      <c r="AC5" s="822"/>
      <c r="AD5" s="822"/>
      <c r="AE5" s="822"/>
      <c r="AF5" s="822"/>
      <c r="AG5" s="822"/>
      <c r="AH5" s="822"/>
      <c r="AI5" s="822"/>
      <c r="AJ5" s="822"/>
      <c r="AK5" s="822"/>
      <c r="AL5" s="822"/>
      <c r="AM5" s="822"/>
      <c r="AN5" s="822"/>
      <c r="AO5" s="822"/>
      <c r="AP5" s="822"/>
      <c r="AQ5" s="822"/>
      <c r="AR5" s="822"/>
      <c r="AS5" s="822"/>
      <c r="AT5" s="822"/>
      <c r="AU5" s="822"/>
      <c r="AV5" s="822"/>
      <c r="AW5" s="822"/>
      <c r="AX5" s="822"/>
      <c r="AY5" s="822"/>
      <c r="AZ5" s="822"/>
      <c r="BA5" s="822"/>
      <c r="BB5" s="822"/>
      <c r="BC5" s="822"/>
      <c r="BD5" s="822"/>
      <c r="BE5" s="822"/>
      <c r="BF5" s="822"/>
      <c r="BG5" s="822"/>
      <c r="BH5" s="822"/>
      <c r="BI5" s="822"/>
      <c r="BJ5" s="822"/>
      <c r="BK5" s="822"/>
      <c r="BL5" s="822"/>
      <c r="BM5" s="822"/>
      <c r="BN5" s="822"/>
      <c r="BO5" s="822"/>
      <c r="BP5" s="822"/>
      <c r="BQ5" s="822"/>
      <c r="BR5" s="822"/>
      <c r="BS5" s="822"/>
      <c r="BT5" s="822"/>
      <c r="BU5" s="822"/>
      <c r="BV5" s="822"/>
      <c r="BW5" s="822"/>
      <c r="BX5" s="822"/>
      <c r="BY5" s="822"/>
      <c r="BZ5" s="822"/>
      <c r="CA5" s="822"/>
      <c r="CB5" s="822"/>
      <c r="CC5" s="822"/>
      <c r="CD5" s="822"/>
      <c r="CE5" s="822"/>
      <c r="CF5" s="822"/>
      <c r="CG5" s="822"/>
      <c r="CH5" s="822"/>
      <c r="CI5" s="822"/>
      <c r="CJ5" s="822"/>
      <c r="CK5" s="822"/>
      <c r="CL5" s="822"/>
      <c r="CM5" s="822"/>
      <c r="CN5" s="822"/>
      <c r="CO5" s="822"/>
      <c r="CP5" s="822"/>
      <c r="CQ5" s="822"/>
      <c r="CR5" s="822"/>
      <c r="CS5" s="822"/>
      <c r="CT5" s="822"/>
      <c r="CU5" s="822"/>
      <c r="CV5" s="822"/>
      <c r="CW5" s="822"/>
      <c r="CX5" s="822"/>
      <c r="CY5" s="822"/>
      <c r="CZ5" s="822"/>
      <c r="DA5" s="822"/>
      <c r="DB5" s="822"/>
      <c r="DC5" s="822"/>
      <c r="DD5" s="822"/>
      <c r="DE5" s="822"/>
      <c r="DF5" s="822"/>
      <c r="DG5" s="822"/>
      <c r="DH5" s="822"/>
      <c r="DI5" s="822"/>
      <c r="DJ5" s="822"/>
      <c r="DK5" s="822"/>
      <c r="DL5" s="822"/>
      <c r="DM5" s="822"/>
      <c r="DN5" s="822"/>
      <c r="DO5" s="822"/>
      <c r="DP5" s="822"/>
      <c r="DQ5" s="822"/>
      <c r="DR5" s="822"/>
      <c r="DS5" s="822"/>
      <c r="DT5" s="822"/>
      <c r="DU5" s="822"/>
      <c r="DV5" s="822"/>
      <c r="DW5" s="822"/>
      <c r="DX5" s="822"/>
      <c r="DY5" s="822"/>
      <c r="DZ5" s="822"/>
      <c r="EA5" s="822"/>
      <c r="EB5" s="822"/>
      <c r="EC5" s="822"/>
      <c r="ED5" s="822"/>
      <c r="EE5" s="822"/>
      <c r="EF5" s="822"/>
      <c r="EG5" s="822"/>
      <c r="EH5" s="822"/>
      <c r="EI5" s="822"/>
      <c r="EJ5" s="822"/>
      <c r="EK5" s="822"/>
      <c r="EL5" s="822"/>
      <c r="EM5" s="822"/>
      <c r="EN5" s="822"/>
      <c r="EO5" s="822"/>
      <c r="EP5" s="822"/>
      <c r="EQ5" s="822"/>
      <c r="ER5" s="822"/>
      <c r="ES5" s="822"/>
      <c r="ET5" s="822"/>
      <c r="EU5" s="822"/>
      <c r="EV5" s="822"/>
      <c r="EW5" s="822"/>
      <c r="EX5" s="822"/>
      <c r="EY5" s="822"/>
      <c r="EZ5" s="822"/>
      <c r="FA5" s="822"/>
      <c r="FB5" s="822"/>
      <c r="FC5" s="822"/>
    </row>
    <row r="6" spans="1:159" ht="28.5" customHeight="1" thickBot="1" x14ac:dyDescent="0.3">
      <c r="A6" s="821" t="s">
        <v>6</v>
      </c>
      <c r="B6" s="821"/>
      <c r="C6" s="821"/>
      <c r="D6" s="821"/>
      <c r="E6" s="821"/>
      <c r="F6" s="821"/>
      <c r="G6" s="822" t="s">
        <v>7</v>
      </c>
      <c r="H6" s="822"/>
      <c r="I6" s="822"/>
      <c r="J6" s="822"/>
      <c r="K6" s="822"/>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2"/>
      <c r="AZ6" s="822"/>
      <c r="BA6" s="822"/>
      <c r="BB6" s="822"/>
      <c r="BC6" s="822"/>
      <c r="BD6" s="822"/>
      <c r="BE6" s="822"/>
      <c r="BF6" s="822"/>
      <c r="BG6" s="822"/>
      <c r="BH6" s="822"/>
      <c r="BI6" s="822"/>
      <c r="BJ6" s="822"/>
      <c r="BK6" s="822"/>
      <c r="BL6" s="822"/>
      <c r="BM6" s="822"/>
      <c r="BN6" s="822"/>
      <c r="BO6" s="822"/>
      <c r="BP6" s="822"/>
      <c r="BQ6" s="822"/>
      <c r="BR6" s="822"/>
      <c r="BS6" s="822"/>
      <c r="BT6" s="822"/>
      <c r="BU6" s="822"/>
      <c r="BV6" s="822"/>
      <c r="BW6" s="822"/>
      <c r="BX6" s="822"/>
      <c r="BY6" s="822"/>
      <c r="BZ6" s="822"/>
      <c r="CA6" s="822"/>
      <c r="CB6" s="822"/>
      <c r="CC6" s="822"/>
      <c r="CD6" s="822"/>
      <c r="CE6" s="822"/>
      <c r="CF6" s="822"/>
      <c r="CG6" s="822"/>
      <c r="CH6" s="822"/>
      <c r="CI6" s="822"/>
      <c r="CJ6" s="822"/>
      <c r="CK6" s="822"/>
      <c r="CL6" s="822"/>
      <c r="CM6" s="822"/>
      <c r="CN6" s="822"/>
      <c r="CO6" s="822"/>
      <c r="CP6" s="822"/>
      <c r="CQ6" s="822"/>
      <c r="CR6" s="822"/>
      <c r="CS6" s="822"/>
      <c r="CT6" s="822"/>
      <c r="CU6" s="822"/>
      <c r="CV6" s="822"/>
      <c r="CW6" s="822"/>
      <c r="CX6" s="822"/>
      <c r="CY6" s="822"/>
      <c r="CZ6" s="822"/>
      <c r="DA6" s="822"/>
      <c r="DB6" s="822"/>
      <c r="DC6" s="822"/>
      <c r="DD6" s="822"/>
      <c r="DE6" s="822"/>
      <c r="DF6" s="822"/>
      <c r="DG6" s="822"/>
      <c r="DH6" s="822"/>
      <c r="DI6" s="822"/>
      <c r="DJ6" s="822"/>
      <c r="DK6" s="822"/>
      <c r="DL6" s="822"/>
      <c r="DM6" s="822"/>
      <c r="DN6" s="822"/>
      <c r="DO6" s="822"/>
      <c r="DP6" s="822"/>
      <c r="DQ6" s="822"/>
      <c r="DR6" s="822"/>
      <c r="DS6" s="822"/>
      <c r="DT6" s="822"/>
      <c r="DU6" s="822"/>
      <c r="DV6" s="822"/>
      <c r="DW6" s="822"/>
      <c r="DX6" s="822"/>
      <c r="DY6" s="822"/>
      <c r="DZ6" s="822"/>
      <c r="EA6" s="822"/>
      <c r="EB6" s="822"/>
      <c r="EC6" s="822"/>
      <c r="ED6" s="822"/>
      <c r="EE6" s="822"/>
      <c r="EF6" s="822"/>
      <c r="EG6" s="822"/>
      <c r="EH6" s="822"/>
      <c r="EI6" s="822"/>
      <c r="EJ6" s="822"/>
      <c r="EK6" s="822"/>
      <c r="EL6" s="822"/>
      <c r="EM6" s="822"/>
      <c r="EN6" s="822"/>
      <c r="EO6" s="822"/>
      <c r="EP6" s="822"/>
      <c r="EQ6" s="822"/>
      <c r="ER6" s="822"/>
      <c r="ES6" s="822"/>
      <c r="ET6" s="822"/>
      <c r="EU6" s="822"/>
      <c r="EV6" s="822"/>
      <c r="EW6" s="822"/>
      <c r="EX6" s="822"/>
      <c r="EY6" s="822"/>
      <c r="EZ6" s="822"/>
      <c r="FA6" s="822"/>
      <c r="FB6" s="822"/>
      <c r="FC6" s="822"/>
    </row>
    <row r="7" spans="1:159" ht="28.5" customHeight="1" thickBot="1" x14ac:dyDescent="0.3">
      <c r="A7" s="821" t="s">
        <v>8</v>
      </c>
      <c r="B7" s="821"/>
      <c r="C7" s="821"/>
      <c r="D7" s="821"/>
      <c r="E7" s="821"/>
      <c r="F7" s="821"/>
      <c r="G7" s="822" t="s">
        <v>9</v>
      </c>
      <c r="H7" s="822"/>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2"/>
      <c r="AL7" s="822"/>
      <c r="AM7" s="822"/>
      <c r="AN7" s="822"/>
      <c r="AO7" s="822"/>
      <c r="AP7" s="822"/>
      <c r="AQ7" s="822"/>
      <c r="AR7" s="822"/>
      <c r="AS7" s="822"/>
      <c r="AT7" s="822"/>
      <c r="AU7" s="822"/>
      <c r="AV7" s="822"/>
      <c r="AW7" s="822"/>
      <c r="AX7" s="822"/>
      <c r="AY7" s="822"/>
      <c r="AZ7" s="822"/>
      <c r="BA7" s="822"/>
      <c r="BB7" s="822"/>
      <c r="BC7" s="822"/>
      <c r="BD7" s="822"/>
      <c r="BE7" s="822"/>
      <c r="BF7" s="822"/>
      <c r="BG7" s="822"/>
      <c r="BH7" s="822"/>
      <c r="BI7" s="822"/>
      <c r="BJ7" s="822"/>
      <c r="BK7" s="822"/>
      <c r="BL7" s="822"/>
      <c r="BM7" s="822"/>
      <c r="BN7" s="822"/>
      <c r="BO7" s="822"/>
      <c r="BP7" s="822"/>
      <c r="BQ7" s="822"/>
      <c r="BR7" s="822"/>
      <c r="BS7" s="822"/>
      <c r="BT7" s="822"/>
      <c r="BU7" s="822"/>
      <c r="BV7" s="822"/>
      <c r="BW7" s="822"/>
      <c r="BX7" s="822"/>
      <c r="BY7" s="822"/>
      <c r="BZ7" s="822"/>
      <c r="CA7" s="822"/>
      <c r="CB7" s="822"/>
      <c r="CC7" s="822"/>
      <c r="CD7" s="822"/>
      <c r="CE7" s="822"/>
      <c r="CF7" s="822"/>
      <c r="CG7" s="822"/>
      <c r="CH7" s="822"/>
      <c r="CI7" s="822"/>
      <c r="CJ7" s="822"/>
      <c r="CK7" s="822"/>
      <c r="CL7" s="822"/>
      <c r="CM7" s="822"/>
      <c r="CN7" s="822"/>
      <c r="CO7" s="822"/>
      <c r="CP7" s="822"/>
      <c r="CQ7" s="822"/>
      <c r="CR7" s="822"/>
      <c r="CS7" s="822"/>
      <c r="CT7" s="822"/>
      <c r="CU7" s="822"/>
      <c r="CV7" s="822"/>
      <c r="CW7" s="822"/>
      <c r="CX7" s="822"/>
      <c r="CY7" s="822"/>
      <c r="CZ7" s="822"/>
      <c r="DA7" s="822"/>
      <c r="DB7" s="822"/>
      <c r="DC7" s="822"/>
      <c r="DD7" s="822"/>
      <c r="DE7" s="822"/>
      <c r="DF7" s="822"/>
      <c r="DG7" s="822"/>
      <c r="DH7" s="822"/>
      <c r="DI7" s="822"/>
      <c r="DJ7" s="822"/>
      <c r="DK7" s="822"/>
      <c r="DL7" s="822"/>
      <c r="DM7" s="822"/>
      <c r="DN7" s="822"/>
      <c r="DO7" s="822"/>
      <c r="DP7" s="822"/>
      <c r="DQ7" s="822"/>
      <c r="DR7" s="822"/>
      <c r="DS7" s="822"/>
      <c r="DT7" s="822"/>
      <c r="DU7" s="822"/>
      <c r="DV7" s="822"/>
      <c r="DW7" s="822"/>
      <c r="DX7" s="822"/>
      <c r="DY7" s="822"/>
      <c r="DZ7" s="822"/>
      <c r="EA7" s="822"/>
      <c r="EB7" s="822"/>
      <c r="EC7" s="822"/>
      <c r="ED7" s="822"/>
      <c r="EE7" s="822"/>
      <c r="EF7" s="822"/>
      <c r="EG7" s="822"/>
      <c r="EH7" s="822"/>
      <c r="EI7" s="822"/>
      <c r="EJ7" s="822"/>
      <c r="EK7" s="822"/>
      <c r="EL7" s="822"/>
      <c r="EM7" s="822"/>
      <c r="EN7" s="822"/>
      <c r="EO7" s="822"/>
      <c r="EP7" s="822"/>
      <c r="EQ7" s="822"/>
      <c r="ER7" s="822"/>
      <c r="ES7" s="822"/>
      <c r="ET7" s="822"/>
      <c r="EU7" s="822"/>
      <c r="EV7" s="822"/>
      <c r="EW7" s="822"/>
      <c r="EX7" s="822"/>
      <c r="EY7" s="822"/>
      <c r="EZ7" s="822"/>
      <c r="FA7" s="822"/>
      <c r="FB7" s="822"/>
      <c r="FC7" s="822"/>
    </row>
    <row r="8" spans="1:159" ht="30" customHeight="1" thickBot="1" x14ac:dyDescent="0.3">
      <c r="A8" s="823" t="s">
        <v>10</v>
      </c>
      <c r="B8" s="823"/>
      <c r="C8" s="823"/>
      <c r="D8" s="823"/>
      <c r="E8" s="823"/>
      <c r="F8" s="823"/>
      <c r="G8" s="822" t="s">
        <v>11</v>
      </c>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2"/>
      <c r="AM8" s="822"/>
      <c r="AN8" s="822"/>
      <c r="AO8" s="822"/>
      <c r="AP8" s="822"/>
      <c r="AQ8" s="822"/>
      <c r="AR8" s="822"/>
      <c r="AS8" s="822"/>
      <c r="AT8" s="822"/>
      <c r="AU8" s="822"/>
      <c r="AV8" s="822"/>
      <c r="AW8" s="822"/>
      <c r="AX8" s="822"/>
      <c r="AY8" s="822"/>
      <c r="AZ8" s="822"/>
      <c r="BA8" s="822"/>
      <c r="BB8" s="822"/>
      <c r="BC8" s="822"/>
      <c r="BD8" s="822"/>
      <c r="BE8" s="822"/>
      <c r="BF8" s="822"/>
      <c r="BG8" s="822"/>
      <c r="BH8" s="822"/>
      <c r="BI8" s="822"/>
      <c r="BJ8" s="822"/>
      <c r="BK8" s="822"/>
      <c r="BL8" s="822"/>
      <c r="BM8" s="822"/>
      <c r="BN8" s="822"/>
      <c r="BO8" s="822"/>
      <c r="BP8" s="822"/>
      <c r="BQ8" s="822"/>
      <c r="BR8" s="822"/>
      <c r="BS8" s="822"/>
      <c r="BT8" s="822"/>
      <c r="BU8" s="822"/>
      <c r="BV8" s="822"/>
      <c r="BW8" s="822"/>
      <c r="BX8" s="822"/>
      <c r="BY8" s="822"/>
      <c r="BZ8" s="822"/>
      <c r="CA8" s="822"/>
      <c r="CB8" s="822"/>
      <c r="CC8" s="822"/>
      <c r="CD8" s="822"/>
      <c r="CE8" s="822"/>
      <c r="CF8" s="822"/>
      <c r="CG8" s="822"/>
      <c r="CH8" s="822"/>
      <c r="CI8" s="822"/>
      <c r="CJ8" s="822"/>
      <c r="CK8" s="822"/>
      <c r="CL8" s="822"/>
      <c r="CM8" s="822"/>
      <c r="CN8" s="822"/>
      <c r="CO8" s="822"/>
      <c r="CP8" s="822"/>
      <c r="CQ8" s="822"/>
      <c r="CR8" s="822"/>
      <c r="CS8" s="822"/>
      <c r="CT8" s="822"/>
      <c r="CU8" s="822"/>
      <c r="CV8" s="822"/>
      <c r="CW8" s="822"/>
      <c r="CX8" s="822"/>
      <c r="CY8" s="822"/>
      <c r="CZ8" s="822"/>
      <c r="DA8" s="822"/>
      <c r="DB8" s="822"/>
      <c r="DC8" s="822"/>
      <c r="DD8" s="822"/>
      <c r="DE8" s="822"/>
      <c r="DF8" s="822"/>
      <c r="DG8" s="822"/>
      <c r="DH8" s="822"/>
      <c r="DI8" s="822"/>
      <c r="DJ8" s="822"/>
      <c r="DK8" s="822"/>
      <c r="DL8" s="822"/>
      <c r="DM8" s="822"/>
      <c r="DN8" s="822"/>
      <c r="DO8" s="822"/>
      <c r="DP8" s="822"/>
      <c r="DQ8" s="822"/>
      <c r="DR8" s="822"/>
      <c r="DS8" s="822"/>
      <c r="DT8" s="822"/>
      <c r="DU8" s="822"/>
      <c r="DV8" s="822"/>
      <c r="DW8" s="822"/>
      <c r="DX8" s="822"/>
      <c r="DY8" s="822"/>
      <c r="DZ8" s="822"/>
      <c r="EA8" s="822"/>
      <c r="EB8" s="822"/>
      <c r="EC8" s="822"/>
      <c r="ED8" s="822"/>
      <c r="EE8" s="822"/>
      <c r="EF8" s="822"/>
      <c r="EG8" s="822"/>
      <c r="EH8" s="822"/>
      <c r="EI8" s="822"/>
      <c r="EJ8" s="822"/>
      <c r="EK8" s="822"/>
      <c r="EL8" s="822"/>
      <c r="EM8" s="822"/>
      <c r="EN8" s="822"/>
      <c r="EO8" s="822"/>
      <c r="EP8" s="822"/>
      <c r="EQ8" s="822"/>
      <c r="ER8" s="822"/>
      <c r="ES8" s="822"/>
      <c r="ET8" s="822"/>
      <c r="EU8" s="822"/>
      <c r="EV8" s="822"/>
      <c r="EW8" s="822"/>
      <c r="EX8" s="822"/>
      <c r="EY8" s="822"/>
      <c r="EZ8" s="822"/>
      <c r="FA8" s="822"/>
      <c r="FB8" s="822"/>
      <c r="FC8" s="822"/>
    </row>
    <row r="9" spans="1:159" ht="18.75" thickBot="1" x14ac:dyDescent="0.3">
      <c r="A9" s="6"/>
      <c r="B9" s="7"/>
      <c r="C9" s="7"/>
      <c r="D9" s="7"/>
      <c r="E9" s="7"/>
      <c r="F9" s="7"/>
      <c r="G9" s="8"/>
      <c r="H9" s="8"/>
      <c r="I9" s="8"/>
      <c r="J9" s="8"/>
      <c r="K9" s="8"/>
      <c r="L9" s="8"/>
      <c r="M9" s="8"/>
      <c r="N9" s="8"/>
      <c r="O9" s="8"/>
      <c r="P9" s="8"/>
      <c r="Q9" s="8"/>
      <c r="R9" s="8"/>
      <c r="S9" s="8"/>
      <c r="T9" s="8"/>
      <c r="U9" s="9"/>
      <c r="V9" s="8"/>
      <c r="W9" s="8"/>
      <c r="X9" s="8"/>
      <c r="Y9" s="9"/>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row>
    <row r="10" spans="1:159" s="10" customFormat="1" ht="36" customHeight="1" thickBot="1" x14ac:dyDescent="0.25">
      <c r="A10" s="817" t="s">
        <v>12</v>
      </c>
      <c r="B10" s="817"/>
      <c r="C10" s="817"/>
      <c r="D10" s="817"/>
      <c r="E10" s="817"/>
      <c r="F10" s="817"/>
      <c r="G10" s="817"/>
      <c r="H10" s="817"/>
      <c r="I10" s="817"/>
      <c r="J10" s="817" t="s">
        <v>13</v>
      </c>
      <c r="K10" s="817"/>
      <c r="L10" s="817"/>
      <c r="M10" s="817"/>
      <c r="N10" s="817"/>
      <c r="O10" s="817"/>
      <c r="P10" s="817"/>
      <c r="Q10" s="817"/>
      <c r="R10" s="817"/>
      <c r="S10" s="817"/>
      <c r="T10" s="817"/>
      <c r="U10" s="817"/>
      <c r="V10" s="817"/>
      <c r="W10" s="817"/>
      <c r="X10" s="817"/>
      <c r="Y10" s="817"/>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7"/>
      <c r="AV10" s="817"/>
      <c r="AW10" s="817"/>
      <c r="AX10" s="817"/>
      <c r="AY10" s="817"/>
      <c r="AZ10" s="817"/>
      <c r="BA10" s="817"/>
      <c r="BB10" s="817"/>
      <c r="BC10" s="817"/>
      <c r="BD10" s="817"/>
      <c r="BE10" s="817"/>
      <c r="BF10" s="817"/>
      <c r="BG10" s="817"/>
      <c r="BH10" s="817"/>
      <c r="BI10" s="817"/>
      <c r="BJ10" s="817"/>
      <c r="BK10" s="817"/>
      <c r="BL10" s="817"/>
      <c r="BM10" s="817"/>
      <c r="BN10" s="817"/>
      <c r="BO10" s="817"/>
      <c r="BP10" s="817"/>
      <c r="BQ10" s="817"/>
      <c r="BR10" s="817"/>
      <c r="BS10" s="817"/>
      <c r="BT10" s="817"/>
      <c r="BU10" s="817"/>
      <c r="BV10" s="817"/>
      <c r="BW10" s="817"/>
      <c r="BX10" s="817"/>
      <c r="BY10" s="817"/>
      <c r="BZ10" s="817"/>
      <c r="CA10" s="817"/>
      <c r="CB10" s="817"/>
      <c r="CC10" s="817"/>
      <c r="CD10" s="817"/>
      <c r="CE10" s="817"/>
      <c r="CF10" s="817"/>
      <c r="CG10" s="817"/>
      <c r="CH10" s="817"/>
      <c r="CI10" s="817"/>
      <c r="CJ10" s="817"/>
      <c r="CK10" s="817"/>
      <c r="CL10" s="817"/>
      <c r="CM10" s="817"/>
      <c r="CN10" s="817"/>
      <c r="CO10" s="817"/>
      <c r="CP10" s="817"/>
      <c r="CQ10" s="817"/>
      <c r="CR10" s="817"/>
      <c r="CS10" s="817"/>
      <c r="CT10" s="817"/>
      <c r="CU10" s="817"/>
      <c r="CV10" s="817"/>
      <c r="CW10" s="817"/>
      <c r="CX10" s="817"/>
      <c r="CY10" s="817"/>
      <c r="CZ10" s="817"/>
      <c r="DA10" s="817"/>
      <c r="DB10" s="817"/>
      <c r="DC10" s="817"/>
      <c r="DD10" s="817"/>
      <c r="DE10" s="817"/>
      <c r="DF10" s="817"/>
      <c r="DG10" s="817"/>
      <c r="DH10" s="817"/>
      <c r="DI10" s="817"/>
      <c r="DJ10" s="817"/>
      <c r="DK10" s="817"/>
      <c r="DL10" s="817"/>
      <c r="DM10" s="817"/>
      <c r="DN10" s="817"/>
      <c r="DO10" s="817"/>
      <c r="DP10" s="817"/>
      <c r="DQ10" s="817"/>
      <c r="DR10" s="817"/>
      <c r="DS10" s="817"/>
      <c r="DT10" s="817"/>
      <c r="DU10" s="817"/>
      <c r="DV10" s="817"/>
      <c r="DW10" s="817"/>
      <c r="DX10" s="817"/>
      <c r="DY10" s="817"/>
      <c r="DZ10" s="817"/>
      <c r="EA10" s="817"/>
      <c r="EB10" s="817"/>
      <c r="EC10" s="817"/>
      <c r="ED10" s="817"/>
      <c r="EE10" s="817"/>
      <c r="EF10" s="817"/>
      <c r="EG10" s="817"/>
      <c r="EH10" s="817"/>
      <c r="EI10" s="817"/>
      <c r="EJ10" s="817"/>
      <c r="EK10" s="817"/>
      <c r="EL10" s="817"/>
      <c r="EM10" s="817"/>
      <c r="EN10" s="817"/>
      <c r="EO10" s="817"/>
      <c r="EP10" s="817"/>
      <c r="EQ10" s="817"/>
      <c r="ER10" s="817"/>
      <c r="ES10" s="817"/>
      <c r="ET10" s="818" t="s">
        <v>14</v>
      </c>
      <c r="EU10" s="818" t="s">
        <v>15</v>
      </c>
      <c r="EV10" s="818" t="s">
        <v>16</v>
      </c>
      <c r="EW10" s="818" t="s">
        <v>17</v>
      </c>
      <c r="EX10" s="818" t="s">
        <v>18</v>
      </c>
      <c r="EY10" s="819" t="s">
        <v>19</v>
      </c>
      <c r="EZ10" s="820" t="s">
        <v>20</v>
      </c>
      <c r="FA10" s="820" t="s">
        <v>21</v>
      </c>
      <c r="FB10" s="820" t="s">
        <v>22</v>
      </c>
      <c r="FC10" s="816" t="s">
        <v>23</v>
      </c>
    </row>
    <row r="11" spans="1:159" s="10" customFormat="1" ht="24.75" customHeight="1" thickBot="1" x14ac:dyDescent="0.25">
      <c r="A11" s="817" t="s">
        <v>24</v>
      </c>
      <c r="B11" s="817"/>
      <c r="C11" s="817"/>
      <c r="D11" s="817"/>
      <c r="E11" s="817"/>
      <c r="F11" s="817"/>
      <c r="G11" s="817"/>
      <c r="H11" s="817"/>
      <c r="I11" s="817"/>
      <c r="J11" s="811" t="s">
        <v>25</v>
      </c>
      <c r="K11" s="811"/>
      <c r="L11" s="811"/>
      <c r="M11" s="811"/>
      <c r="N11" s="811"/>
      <c r="O11" s="811"/>
      <c r="P11" s="811"/>
      <c r="Q11" s="811"/>
      <c r="R11" s="811"/>
      <c r="S11" s="811"/>
      <c r="T11" s="811"/>
      <c r="U11" s="811"/>
      <c r="V11" s="811"/>
      <c r="W11" s="811"/>
      <c r="X11" s="811"/>
      <c r="Y11" s="811"/>
      <c r="Z11" s="811"/>
      <c r="AA11" s="811"/>
      <c r="AB11" s="811"/>
      <c r="AC11" s="811"/>
      <c r="AD11" s="811" t="s">
        <v>26</v>
      </c>
      <c r="AE11" s="811"/>
      <c r="AF11" s="811"/>
      <c r="AG11" s="811"/>
      <c r="AH11" s="811"/>
      <c r="AI11" s="811"/>
      <c r="AJ11" s="811"/>
      <c r="AK11" s="811"/>
      <c r="AL11" s="811"/>
      <c r="AM11" s="811"/>
      <c r="AN11" s="811"/>
      <c r="AO11" s="811"/>
      <c r="AP11" s="811"/>
      <c r="AQ11" s="811"/>
      <c r="AR11" s="811"/>
      <c r="AS11" s="811"/>
      <c r="AT11" s="811"/>
      <c r="AU11" s="811"/>
      <c r="AV11" s="811"/>
      <c r="AW11" s="811"/>
      <c r="AX11" s="811"/>
      <c r="AY11" s="811"/>
      <c r="AZ11" s="811"/>
      <c r="BA11" s="811"/>
      <c r="BB11" s="811"/>
      <c r="BC11" s="811"/>
      <c r="BD11" s="811"/>
      <c r="BE11" s="811"/>
      <c r="BF11" s="811"/>
      <c r="BG11" s="811"/>
      <c r="BH11" s="811" t="s">
        <v>27</v>
      </c>
      <c r="BI11" s="811"/>
      <c r="BJ11" s="811"/>
      <c r="BK11" s="811"/>
      <c r="BL11" s="811"/>
      <c r="BM11" s="811"/>
      <c r="BN11" s="811"/>
      <c r="BO11" s="811"/>
      <c r="BP11" s="811"/>
      <c r="BQ11" s="811"/>
      <c r="BR11" s="811"/>
      <c r="BS11" s="811"/>
      <c r="BT11" s="811"/>
      <c r="BU11" s="811"/>
      <c r="BV11" s="811"/>
      <c r="BW11" s="811"/>
      <c r="BX11" s="811"/>
      <c r="BY11" s="811"/>
      <c r="BZ11" s="811"/>
      <c r="CA11" s="811"/>
      <c r="CB11" s="811"/>
      <c r="CC11" s="811"/>
      <c r="CD11" s="811"/>
      <c r="CE11" s="811"/>
      <c r="CF11" s="811"/>
      <c r="CG11" s="811"/>
      <c r="CH11" s="811"/>
      <c r="CI11" s="811"/>
      <c r="CJ11" s="811"/>
      <c r="CK11" s="811"/>
      <c r="CL11" s="811" t="s">
        <v>28</v>
      </c>
      <c r="CM11" s="811"/>
      <c r="CN11" s="811"/>
      <c r="CO11" s="811"/>
      <c r="CP11" s="811"/>
      <c r="CQ11" s="811"/>
      <c r="CR11" s="811"/>
      <c r="CS11" s="811"/>
      <c r="CT11" s="811"/>
      <c r="CU11" s="811"/>
      <c r="CV11" s="811"/>
      <c r="CW11" s="811"/>
      <c r="CX11" s="811"/>
      <c r="CY11" s="811"/>
      <c r="CZ11" s="811"/>
      <c r="DA11" s="811"/>
      <c r="DB11" s="811"/>
      <c r="DC11" s="811"/>
      <c r="DD11" s="811"/>
      <c r="DE11" s="811"/>
      <c r="DF11" s="811"/>
      <c r="DG11" s="811"/>
      <c r="DH11" s="811"/>
      <c r="DI11" s="811"/>
      <c r="DJ11" s="811"/>
      <c r="DK11" s="811"/>
      <c r="DL11" s="811"/>
      <c r="DM11" s="811"/>
      <c r="DN11" s="811"/>
      <c r="DO11" s="811"/>
      <c r="DP11" s="811" t="s">
        <v>29</v>
      </c>
      <c r="DQ11" s="811"/>
      <c r="DR11" s="811"/>
      <c r="DS11" s="811"/>
      <c r="DT11" s="811"/>
      <c r="DU11" s="811"/>
      <c r="DV11" s="811"/>
      <c r="DW11" s="811"/>
      <c r="DX11" s="811"/>
      <c r="DY11" s="811"/>
      <c r="DZ11" s="811"/>
      <c r="EA11" s="811"/>
      <c r="EB11" s="811"/>
      <c r="EC11" s="811"/>
      <c r="ED11" s="811"/>
      <c r="EE11" s="811"/>
      <c r="EF11" s="811"/>
      <c r="EG11" s="811"/>
      <c r="EH11" s="811"/>
      <c r="EI11" s="811"/>
      <c r="EJ11" s="811"/>
      <c r="EK11" s="811"/>
      <c r="EL11" s="811"/>
      <c r="EM11" s="811"/>
      <c r="EN11" s="811"/>
      <c r="EO11" s="811"/>
      <c r="EP11" s="811"/>
      <c r="EQ11" s="811"/>
      <c r="ER11" s="811"/>
      <c r="ES11" s="811"/>
      <c r="ET11" s="818"/>
      <c r="EU11" s="818"/>
      <c r="EV11" s="818"/>
      <c r="EW11" s="818"/>
      <c r="EX11" s="818"/>
      <c r="EY11" s="819"/>
      <c r="EZ11" s="820"/>
      <c r="FA11" s="820"/>
      <c r="FB11" s="820"/>
      <c r="FC11" s="816"/>
    </row>
    <row r="12" spans="1:159" s="10" customFormat="1" ht="150" customHeight="1" thickBot="1" x14ac:dyDescent="0.25">
      <c r="A12" s="11" t="s">
        <v>30</v>
      </c>
      <c r="B12" s="11" t="s">
        <v>31</v>
      </c>
      <c r="C12" s="12" t="s">
        <v>32</v>
      </c>
      <c r="D12" s="12" t="s">
        <v>33</v>
      </c>
      <c r="E12" s="12" t="s">
        <v>34</v>
      </c>
      <c r="F12" s="12" t="s">
        <v>35</v>
      </c>
      <c r="G12" s="12" t="s">
        <v>36</v>
      </c>
      <c r="H12" s="12" t="s">
        <v>37</v>
      </c>
      <c r="I12" s="13" t="s">
        <v>38</v>
      </c>
      <c r="J12" s="14" t="s">
        <v>39</v>
      </c>
      <c r="K12" s="15" t="s">
        <v>40</v>
      </c>
      <c r="L12" s="16" t="s">
        <v>41</v>
      </c>
      <c r="M12" s="15" t="s">
        <v>42</v>
      </c>
      <c r="N12" s="16" t="s">
        <v>43</v>
      </c>
      <c r="O12" s="15" t="s">
        <v>44</v>
      </c>
      <c r="P12" s="16" t="s">
        <v>45</v>
      </c>
      <c r="Q12" s="15" t="s">
        <v>46</v>
      </c>
      <c r="R12" s="16" t="s">
        <v>47</v>
      </c>
      <c r="S12" s="15" t="s">
        <v>48</v>
      </c>
      <c r="T12" s="16" t="s">
        <v>49</v>
      </c>
      <c r="U12" s="15" t="s">
        <v>50</v>
      </c>
      <c r="V12" s="16" t="s">
        <v>51</v>
      </c>
      <c r="W12" s="15" t="s">
        <v>52</v>
      </c>
      <c r="X12" s="17" t="s">
        <v>53</v>
      </c>
      <c r="Y12" s="18" t="s">
        <v>54</v>
      </c>
      <c r="Z12" s="19" t="s">
        <v>55</v>
      </c>
      <c r="AA12" s="20" t="s">
        <v>56</v>
      </c>
      <c r="AB12" s="21" t="s">
        <v>57</v>
      </c>
      <c r="AC12" s="20" t="s">
        <v>58</v>
      </c>
      <c r="AD12" s="14" t="s">
        <v>39</v>
      </c>
      <c r="AE12" s="15" t="s">
        <v>59</v>
      </c>
      <c r="AF12" s="16" t="s">
        <v>60</v>
      </c>
      <c r="AG12" s="15" t="s">
        <v>61</v>
      </c>
      <c r="AH12" s="16" t="s">
        <v>62</v>
      </c>
      <c r="AI12" s="15" t="s">
        <v>63</v>
      </c>
      <c r="AJ12" s="16" t="s">
        <v>64</v>
      </c>
      <c r="AK12" s="15" t="s">
        <v>65</v>
      </c>
      <c r="AL12" s="16" t="s">
        <v>66</v>
      </c>
      <c r="AM12" s="15" t="s">
        <v>67</v>
      </c>
      <c r="AN12" s="16" t="s">
        <v>68</v>
      </c>
      <c r="AO12" s="15" t="s">
        <v>40</v>
      </c>
      <c r="AP12" s="16" t="s">
        <v>41</v>
      </c>
      <c r="AQ12" s="15" t="s">
        <v>42</v>
      </c>
      <c r="AR12" s="16" t="s">
        <v>43</v>
      </c>
      <c r="AS12" s="15" t="s">
        <v>44</v>
      </c>
      <c r="AT12" s="16" t="s">
        <v>45</v>
      </c>
      <c r="AU12" s="15" t="s">
        <v>46</v>
      </c>
      <c r="AV12" s="16" t="s">
        <v>47</v>
      </c>
      <c r="AW12" s="15" t="s">
        <v>48</v>
      </c>
      <c r="AX12" s="16" t="s">
        <v>49</v>
      </c>
      <c r="AY12" s="15" t="s">
        <v>50</v>
      </c>
      <c r="AZ12" s="16" t="s">
        <v>51</v>
      </c>
      <c r="BA12" s="15" t="s">
        <v>52</v>
      </c>
      <c r="BB12" s="17" t="s">
        <v>53</v>
      </c>
      <c r="BC12" s="18" t="s">
        <v>54</v>
      </c>
      <c r="BD12" s="22" t="s">
        <v>69</v>
      </c>
      <c r="BE12" s="20" t="s">
        <v>70</v>
      </c>
      <c r="BF12" s="21" t="s">
        <v>71</v>
      </c>
      <c r="BG12" s="20" t="s">
        <v>72</v>
      </c>
      <c r="BH12" s="14" t="s">
        <v>39</v>
      </c>
      <c r="BI12" s="15" t="s">
        <v>59</v>
      </c>
      <c r="BJ12" s="16" t="s">
        <v>60</v>
      </c>
      <c r="BK12" s="15" t="s">
        <v>61</v>
      </c>
      <c r="BL12" s="16" t="s">
        <v>62</v>
      </c>
      <c r="BM12" s="15" t="s">
        <v>63</v>
      </c>
      <c r="BN12" s="16" t="s">
        <v>64</v>
      </c>
      <c r="BO12" s="15" t="s">
        <v>65</v>
      </c>
      <c r="BP12" s="16" t="s">
        <v>66</v>
      </c>
      <c r="BQ12" s="15" t="s">
        <v>67</v>
      </c>
      <c r="BR12" s="16" t="s">
        <v>68</v>
      </c>
      <c r="BS12" s="15" t="s">
        <v>40</v>
      </c>
      <c r="BT12" s="16" t="s">
        <v>41</v>
      </c>
      <c r="BU12" s="15" t="s">
        <v>42</v>
      </c>
      <c r="BV12" s="16" t="s">
        <v>43</v>
      </c>
      <c r="BW12" s="15" t="s">
        <v>44</v>
      </c>
      <c r="BX12" s="16" t="s">
        <v>45</v>
      </c>
      <c r="BY12" s="15" t="s">
        <v>46</v>
      </c>
      <c r="BZ12" s="16" t="s">
        <v>47</v>
      </c>
      <c r="CA12" s="15" t="s">
        <v>48</v>
      </c>
      <c r="CB12" s="16" t="s">
        <v>49</v>
      </c>
      <c r="CC12" s="15" t="s">
        <v>50</v>
      </c>
      <c r="CD12" s="16" t="s">
        <v>51</v>
      </c>
      <c r="CE12" s="15" t="s">
        <v>52</v>
      </c>
      <c r="CF12" s="17" t="s">
        <v>53</v>
      </c>
      <c r="CG12" s="18" t="s">
        <v>54</v>
      </c>
      <c r="CH12" s="21" t="s">
        <v>73</v>
      </c>
      <c r="CI12" s="20" t="s">
        <v>74</v>
      </c>
      <c r="CJ12" s="21" t="s">
        <v>75</v>
      </c>
      <c r="CK12" s="20" t="s">
        <v>76</v>
      </c>
      <c r="CL12" s="23" t="s">
        <v>39</v>
      </c>
      <c r="CM12" s="15" t="s">
        <v>59</v>
      </c>
      <c r="CN12" s="16" t="s">
        <v>60</v>
      </c>
      <c r="CO12" s="15" t="s">
        <v>61</v>
      </c>
      <c r="CP12" s="16" t="s">
        <v>62</v>
      </c>
      <c r="CQ12" s="15" t="s">
        <v>63</v>
      </c>
      <c r="CR12" s="16" t="s">
        <v>64</v>
      </c>
      <c r="CS12" s="15" t="s">
        <v>65</v>
      </c>
      <c r="CT12" s="16" t="s">
        <v>66</v>
      </c>
      <c r="CU12" s="15" t="s">
        <v>67</v>
      </c>
      <c r="CV12" s="16" t="s">
        <v>68</v>
      </c>
      <c r="CW12" s="15" t="s">
        <v>40</v>
      </c>
      <c r="CX12" s="16" t="s">
        <v>41</v>
      </c>
      <c r="CY12" s="15" t="s">
        <v>42</v>
      </c>
      <c r="CZ12" s="16" t="s">
        <v>43</v>
      </c>
      <c r="DA12" s="15" t="s">
        <v>44</v>
      </c>
      <c r="DB12" s="16" t="s">
        <v>45</v>
      </c>
      <c r="DC12" s="15" t="s">
        <v>46</v>
      </c>
      <c r="DD12" s="16" t="s">
        <v>47</v>
      </c>
      <c r="DE12" s="15" t="s">
        <v>48</v>
      </c>
      <c r="DF12" s="16" t="s">
        <v>49</v>
      </c>
      <c r="DG12" s="15" t="s">
        <v>50</v>
      </c>
      <c r="DH12" s="16" t="s">
        <v>51</v>
      </c>
      <c r="DI12" s="15" t="s">
        <v>52</v>
      </c>
      <c r="DJ12" s="17" t="s">
        <v>53</v>
      </c>
      <c r="DK12" s="18" t="s">
        <v>54</v>
      </c>
      <c r="DL12" s="24" t="s">
        <v>77</v>
      </c>
      <c r="DM12" s="25" t="s">
        <v>78</v>
      </c>
      <c r="DN12" s="26" t="s">
        <v>79</v>
      </c>
      <c r="DO12" s="25" t="s">
        <v>80</v>
      </c>
      <c r="DP12" s="23" t="s">
        <v>39</v>
      </c>
      <c r="DQ12" s="15" t="s">
        <v>59</v>
      </c>
      <c r="DR12" s="16" t="s">
        <v>60</v>
      </c>
      <c r="DS12" s="15" t="s">
        <v>61</v>
      </c>
      <c r="DT12" s="16" t="s">
        <v>62</v>
      </c>
      <c r="DU12" s="15" t="s">
        <v>63</v>
      </c>
      <c r="DV12" s="16" t="s">
        <v>64</v>
      </c>
      <c r="DW12" s="15" t="s">
        <v>65</v>
      </c>
      <c r="DX12" s="16" t="s">
        <v>66</v>
      </c>
      <c r="DY12" s="15" t="s">
        <v>67</v>
      </c>
      <c r="DZ12" s="16" t="s">
        <v>68</v>
      </c>
      <c r="EA12" s="15" t="s">
        <v>40</v>
      </c>
      <c r="EB12" s="16" t="s">
        <v>41</v>
      </c>
      <c r="EC12" s="15" t="s">
        <v>42</v>
      </c>
      <c r="ED12" s="16" t="s">
        <v>43</v>
      </c>
      <c r="EE12" s="15" t="s">
        <v>44</v>
      </c>
      <c r="EF12" s="16" t="s">
        <v>45</v>
      </c>
      <c r="EG12" s="15" t="s">
        <v>46</v>
      </c>
      <c r="EH12" s="16" t="s">
        <v>47</v>
      </c>
      <c r="EI12" s="15" t="s">
        <v>48</v>
      </c>
      <c r="EJ12" s="16" t="s">
        <v>49</v>
      </c>
      <c r="EK12" s="15" t="s">
        <v>50</v>
      </c>
      <c r="EL12" s="16" t="s">
        <v>51</v>
      </c>
      <c r="EM12" s="15" t="s">
        <v>52</v>
      </c>
      <c r="EN12" s="17" t="s">
        <v>53</v>
      </c>
      <c r="EO12" s="18" t="s">
        <v>54</v>
      </c>
      <c r="EP12" s="24" t="s">
        <v>81</v>
      </c>
      <c r="EQ12" s="25" t="s">
        <v>82</v>
      </c>
      <c r="ER12" s="26" t="s">
        <v>83</v>
      </c>
      <c r="ES12" s="27" t="s">
        <v>84</v>
      </c>
      <c r="ET12" s="818"/>
      <c r="EU12" s="818"/>
      <c r="EV12" s="818"/>
      <c r="EW12" s="818"/>
      <c r="EX12" s="818"/>
      <c r="EY12" s="819"/>
      <c r="EZ12" s="820"/>
      <c r="FA12" s="820"/>
      <c r="FB12" s="820"/>
      <c r="FC12" s="816"/>
    </row>
    <row r="13" spans="1:159" s="42" customFormat="1" ht="360" customHeight="1" x14ac:dyDescent="0.2">
      <c r="A13" s="28">
        <v>2</v>
      </c>
      <c r="B13" s="29">
        <v>36</v>
      </c>
      <c r="C13" s="30">
        <v>274</v>
      </c>
      <c r="D13" s="29" t="s">
        <v>85</v>
      </c>
      <c r="E13" s="30">
        <v>291</v>
      </c>
      <c r="F13" s="31" t="s">
        <v>86</v>
      </c>
      <c r="G13" s="30" t="s">
        <v>87</v>
      </c>
      <c r="H13" s="30" t="s">
        <v>88</v>
      </c>
      <c r="I13" s="32">
        <v>1</v>
      </c>
      <c r="J13" s="32">
        <v>0.13</v>
      </c>
      <c r="K13" s="33">
        <v>0</v>
      </c>
      <c r="L13" s="33">
        <v>0</v>
      </c>
      <c r="M13" s="33">
        <v>0</v>
      </c>
      <c r="N13" s="33">
        <v>0</v>
      </c>
      <c r="O13" s="34">
        <v>0.04</v>
      </c>
      <c r="P13" s="34">
        <v>0.04</v>
      </c>
      <c r="Q13" s="34">
        <v>0.01</v>
      </c>
      <c r="R13" s="34">
        <v>0.01</v>
      </c>
      <c r="S13" s="34">
        <v>2.8000000000000001E-2</v>
      </c>
      <c r="T13" s="34">
        <v>2.8000000000000001E-2</v>
      </c>
      <c r="U13" s="33">
        <v>2.1999999999999999E-2</v>
      </c>
      <c r="V13" s="34">
        <v>2.1999999999999999E-2</v>
      </c>
      <c r="W13" s="33">
        <v>0.03</v>
      </c>
      <c r="X13" s="35">
        <v>0.02</v>
      </c>
      <c r="Y13" s="36">
        <f>K13+M13+O13+Q13+S13+U13+W13</f>
        <v>0.13</v>
      </c>
      <c r="Z13" s="37">
        <f>K13+M13+O13+Q13+S13+U13+W13</f>
        <v>0.13</v>
      </c>
      <c r="AA13" s="38">
        <f>L13+N13+P13+R13+T13+V13+X13</f>
        <v>0.12000000000000001</v>
      </c>
      <c r="AB13" s="38">
        <f>Z13</f>
        <v>0.13</v>
      </c>
      <c r="AC13" s="39">
        <f>AA13</f>
        <v>0.12000000000000001</v>
      </c>
      <c r="AD13" s="39">
        <v>0.26</v>
      </c>
      <c r="AE13" s="33">
        <v>0.02</v>
      </c>
      <c r="AF13" s="33">
        <v>0.02</v>
      </c>
      <c r="AG13" s="33">
        <v>0.02</v>
      </c>
      <c r="AH13" s="33">
        <v>0.02</v>
      </c>
      <c r="AI13" s="33">
        <v>0.01</v>
      </c>
      <c r="AJ13" s="33">
        <v>0.01</v>
      </c>
      <c r="AK13" s="33">
        <v>0.02</v>
      </c>
      <c r="AL13" s="33">
        <v>0.02</v>
      </c>
      <c r="AM13" s="33">
        <v>0.01</v>
      </c>
      <c r="AN13" s="33">
        <v>0.01</v>
      </c>
      <c r="AO13" s="33">
        <v>0.02</v>
      </c>
      <c r="AP13" s="33">
        <v>0.02</v>
      </c>
      <c r="AQ13" s="33">
        <v>0.02</v>
      </c>
      <c r="AR13" s="33">
        <v>0.02</v>
      </c>
      <c r="AS13" s="33">
        <v>0.02</v>
      </c>
      <c r="AT13" s="33">
        <v>0.02</v>
      </c>
      <c r="AU13" s="33">
        <v>0.02</v>
      </c>
      <c r="AV13" s="40">
        <v>0.02</v>
      </c>
      <c r="AW13" s="40">
        <v>0.02</v>
      </c>
      <c r="AX13" s="40">
        <v>0.02</v>
      </c>
      <c r="AY13" s="40">
        <v>0.03</v>
      </c>
      <c r="AZ13" s="40">
        <v>0.04</v>
      </c>
      <c r="BA13" s="40">
        <v>0.05</v>
      </c>
      <c r="BB13" s="40">
        <v>3.9E-2</v>
      </c>
      <c r="BC13" s="1118">
        <f>AE13+AG13+AI13+AK13+AM13+AO13+AQ13+AS13+AU13+AW13+AY13+BA13</f>
        <v>0.26</v>
      </c>
      <c r="BD13" s="1118">
        <f>AE13+AG13+AI13+AK13+AM13+AO13+AQ13+AS13+AU13+AW13+AY13+BA13</f>
        <v>0.26</v>
      </c>
      <c r="BE13" s="1118">
        <f>AF13+AH13+AJ13+AL13+AN13+AP13+AR13+AT13+AV13+AX13+AZ13+BB13</f>
        <v>0.25900000000000001</v>
      </c>
      <c r="BF13" s="1118">
        <f>AE13+AG13+AI13+AK13+AM13+AO13+AQ13+AS13+AU13+AW13+AY13+BA13</f>
        <v>0.26</v>
      </c>
      <c r="BG13" s="50">
        <v>0.25</v>
      </c>
      <c r="BH13" s="50">
        <v>0.25</v>
      </c>
      <c r="BI13" s="1114"/>
      <c r="BJ13" s="1114"/>
      <c r="BK13" s="1114"/>
      <c r="BL13" s="38"/>
      <c r="BM13" s="1114"/>
      <c r="BN13" s="1114"/>
      <c r="BO13" s="1114"/>
      <c r="BP13" s="1114"/>
      <c r="BQ13" s="1114"/>
      <c r="BR13" s="1114"/>
      <c r="BS13" s="1114"/>
      <c r="BT13" s="1114"/>
      <c r="BU13" s="1114"/>
      <c r="BV13" s="1114"/>
      <c r="BW13" s="1114"/>
      <c r="BX13" s="1114"/>
      <c r="BY13" s="1114"/>
      <c r="BZ13" s="1114"/>
      <c r="CA13" s="1114"/>
      <c r="CB13" s="1114"/>
      <c r="CC13" s="1114"/>
      <c r="CD13" s="1114"/>
      <c r="CE13" s="1114"/>
      <c r="CF13" s="1114"/>
      <c r="CG13" s="1114"/>
      <c r="CH13" s="1114"/>
      <c r="CI13" s="1114"/>
      <c r="CJ13" s="1114"/>
      <c r="CK13" s="1119"/>
      <c r="CL13" s="50">
        <v>0.25</v>
      </c>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v>0.12</v>
      </c>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1120">
        <f>BB13/BA13</f>
        <v>0.77999999999999992</v>
      </c>
      <c r="EU13" s="1120">
        <f>BE13/BD13</f>
        <v>0.99615384615384617</v>
      </c>
      <c r="EV13" s="1121">
        <f>BG13/BF13</f>
        <v>0.96153846153846145</v>
      </c>
      <c r="EW13" s="1121">
        <f>(BE13+AC13)/(AB13+BD13)</f>
        <v>0.97179487179487178</v>
      </c>
      <c r="EX13" s="1121">
        <f>(BG13+AC13)/I13</f>
        <v>0.37</v>
      </c>
      <c r="EY13" s="1122" t="s">
        <v>722</v>
      </c>
      <c r="EZ13" s="1123" t="s">
        <v>723</v>
      </c>
      <c r="FA13" s="1123" t="s">
        <v>547</v>
      </c>
      <c r="FB13" s="1123" t="s">
        <v>91</v>
      </c>
      <c r="FC13" s="1123" t="s">
        <v>92</v>
      </c>
    </row>
    <row r="14" spans="1:159" s="42" customFormat="1" ht="237.75" customHeight="1" x14ac:dyDescent="0.2">
      <c r="A14" s="28">
        <v>2</v>
      </c>
      <c r="B14" s="29">
        <v>36</v>
      </c>
      <c r="C14" s="30">
        <v>274</v>
      </c>
      <c r="D14" s="29" t="s">
        <v>85</v>
      </c>
      <c r="E14" s="1124">
        <v>645</v>
      </c>
      <c r="F14" s="29" t="s">
        <v>93</v>
      </c>
      <c r="G14" s="1124" t="s">
        <v>94</v>
      </c>
      <c r="H14" s="1124" t="s">
        <v>95</v>
      </c>
      <c r="I14" s="32">
        <v>41</v>
      </c>
      <c r="J14" s="32">
        <v>26</v>
      </c>
      <c r="K14" s="44">
        <v>0</v>
      </c>
      <c r="L14" s="44">
        <v>0</v>
      </c>
      <c r="M14" s="44">
        <v>0</v>
      </c>
      <c r="N14" s="44">
        <v>0</v>
      </c>
      <c r="O14" s="44">
        <v>0</v>
      </c>
      <c r="P14" s="44">
        <v>0</v>
      </c>
      <c r="Q14" s="45">
        <v>0.04</v>
      </c>
      <c r="R14" s="44">
        <v>0</v>
      </c>
      <c r="S14" s="44">
        <v>0</v>
      </c>
      <c r="T14" s="44">
        <v>0</v>
      </c>
      <c r="U14" s="44">
        <v>0</v>
      </c>
      <c r="V14" s="44">
        <v>0</v>
      </c>
      <c r="W14" s="37">
        <v>26</v>
      </c>
      <c r="X14" s="46">
        <v>26.95</v>
      </c>
      <c r="Y14" s="47">
        <f>K14+M14+O14+Q14+S14+U14+W14</f>
        <v>26.04</v>
      </c>
      <c r="Z14" s="37">
        <f>K14+M14+O14+Q14+S14+U14+W14</f>
        <v>26.04</v>
      </c>
      <c r="AA14" s="38">
        <f>L14+N14+P14+R14+T14+V14+X14</f>
        <v>26.95</v>
      </c>
      <c r="AB14" s="37">
        <f>Z14</f>
        <v>26.04</v>
      </c>
      <c r="AC14" s="38">
        <f>AA14</f>
        <v>26.95</v>
      </c>
      <c r="AD14" s="33">
        <v>3.05</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40">
        <v>3.05</v>
      </c>
      <c r="BB14" s="40">
        <v>0</v>
      </c>
      <c r="BC14" s="50">
        <f>BA14</f>
        <v>3.05</v>
      </c>
      <c r="BD14" s="50">
        <f>AE14+AG14+AI14+AK14+AM14+AO14+AQ14+AS14+AU14+AW14+AY14+BA14</f>
        <v>3.05</v>
      </c>
      <c r="BE14" s="50">
        <f>AF14+AH14+AJ14+AL14+AN14+AP14+AR14+AT14+AV14+AX14+AZ14+BB14</f>
        <v>0</v>
      </c>
      <c r="BF14" s="50">
        <f>BC14+AC14</f>
        <v>30</v>
      </c>
      <c r="BG14" s="50">
        <f>BE14+X14</f>
        <v>26.95</v>
      </c>
      <c r="BH14" s="50">
        <v>34</v>
      </c>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9"/>
      <c r="CK14" s="48"/>
      <c r="CL14" s="50">
        <v>38</v>
      </c>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v>41</v>
      </c>
      <c r="DQ14" s="50"/>
      <c r="DR14" s="50"/>
      <c r="DS14" s="50"/>
      <c r="DT14" s="50"/>
      <c r="DU14" s="50"/>
      <c r="DV14" s="50"/>
      <c r="DW14" s="50"/>
      <c r="DX14" s="50"/>
      <c r="DY14" s="50"/>
      <c r="DZ14" s="50"/>
      <c r="EA14" s="50"/>
      <c r="EB14" s="50"/>
      <c r="EC14" s="50"/>
      <c r="ED14" s="50"/>
      <c r="EE14" s="50"/>
      <c r="EF14" s="50"/>
      <c r="EG14" s="50"/>
      <c r="EH14" s="50"/>
      <c r="EI14" s="48"/>
      <c r="EJ14" s="48"/>
      <c r="EK14" s="48"/>
      <c r="EL14" s="48"/>
      <c r="EM14" s="48"/>
      <c r="EN14" s="48"/>
      <c r="EO14" s="48"/>
      <c r="EP14" s="48"/>
      <c r="EQ14" s="48"/>
      <c r="ER14" s="48"/>
      <c r="ES14" s="48"/>
      <c r="ET14" s="1120">
        <f>BB14/BA14</f>
        <v>0</v>
      </c>
      <c r="EU14" s="1120">
        <v>0</v>
      </c>
      <c r="EV14" s="1121">
        <f>BG14/BF14</f>
        <v>0.89833333333333332</v>
      </c>
      <c r="EW14" s="1121">
        <f>(BE14+AC14)/(AB14+BD14)</f>
        <v>0.92643520110003441</v>
      </c>
      <c r="EX14" s="1121">
        <f>BG14/I14</f>
        <v>0.65731707317073174</v>
      </c>
      <c r="EY14" s="1115" t="s">
        <v>565</v>
      </c>
      <c r="EZ14" s="1116" t="s">
        <v>724</v>
      </c>
      <c r="FA14" s="1117" t="s">
        <v>725</v>
      </c>
      <c r="FB14" s="1123" t="s">
        <v>96</v>
      </c>
      <c r="FC14" s="1123" t="s">
        <v>97</v>
      </c>
    </row>
    <row r="15" spans="1:159" s="54" customFormat="1" ht="66.75" customHeight="1" x14ac:dyDescent="0.25">
      <c r="A15" s="51"/>
      <c r="B15" s="51"/>
      <c r="C15" s="52"/>
      <c r="D15" s="53"/>
      <c r="F15" s="55"/>
      <c r="G15" s="56"/>
      <c r="H15" s="57"/>
      <c r="I15" s="52"/>
      <c r="J15" s="52"/>
      <c r="K15" s="52"/>
      <c r="L15" s="52"/>
      <c r="M15" s="52"/>
      <c r="N15" s="52"/>
      <c r="O15" s="52"/>
      <c r="P15" s="52"/>
      <c r="Q15" s="52"/>
      <c r="R15" s="52"/>
      <c r="S15" s="52"/>
      <c r="T15" s="52"/>
      <c r="U15" s="52"/>
      <c r="V15" s="58"/>
      <c r="W15" s="52"/>
      <c r="X15" s="58"/>
      <c r="Y15" s="52"/>
      <c r="Z15" s="52"/>
      <c r="AA15" s="52"/>
      <c r="AB15" s="52"/>
      <c r="AC15" s="58"/>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9"/>
      <c r="BD15" s="59"/>
      <c r="BE15" s="59"/>
      <c r="BF15" s="59"/>
      <c r="BG15" s="58"/>
      <c r="BH15" s="60"/>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61"/>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61"/>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62"/>
      <c r="EU15" s="62"/>
      <c r="EV15" s="63"/>
      <c r="EW15" s="64"/>
      <c r="EX15" s="64"/>
      <c r="EY15" s="65"/>
      <c r="EZ15" s="66"/>
      <c r="FA15" s="66"/>
      <c r="FB15" s="67"/>
      <c r="FC15" s="66"/>
    </row>
    <row r="16" spans="1:159" ht="26.25" x14ac:dyDescent="0.4">
      <c r="D16" s="68" t="s">
        <v>98</v>
      </c>
      <c r="Y16" s="70"/>
      <c r="Z16" s="71"/>
      <c r="AA16" s="72"/>
      <c r="AC16" s="71"/>
      <c r="AV16" s="73"/>
      <c r="AW16" s="73"/>
      <c r="AX16" s="73"/>
      <c r="AY16" s="73"/>
      <c r="AZ16" s="73"/>
      <c r="BA16" s="73"/>
      <c r="BB16" s="73"/>
      <c r="BC16" s="73"/>
      <c r="BD16" s="73"/>
      <c r="BE16" s="73"/>
      <c r="BF16" s="73"/>
      <c r="BG16" s="73"/>
    </row>
    <row r="17" spans="4:158" customFormat="1" ht="44.25" customHeight="1" x14ac:dyDescent="0.25">
      <c r="D17" s="74" t="s">
        <v>99</v>
      </c>
      <c r="E17" s="812" t="s">
        <v>100</v>
      </c>
      <c r="F17" s="812"/>
      <c r="G17" s="812"/>
      <c r="H17" s="812"/>
      <c r="I17" s="812"/>
      <c r="J17" s="812"/>
      <c r="K17" s="813" t="s">
        <v>101</v>
      </c>
      <c r="L17" s="813"/>
      <c r="M17" s="813"/>
      <c r="N17" s="813"/>
      <c r="O17" s="813"/>
      <c r="P17" s="813"/>
      <c r="Q17" s="813"/>
      <c r="R17" s="813"/>
      <c r="S17" s="813"/>
      <c r="T17" s="75"/>
      <c r="U17" s="75"/>
      <c r="V17" s="75"/>
      <c r="W17" s="75"/>
      <c r="X17" s="75"/>
      <c r="Y17" s="75"/>
      <c r="Z17" s="76"/>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FB17" s="77"/>
    </row>
    <row r="18" spans="4:158" customFormat="1" ht="22.5" customHeight="1" x14ac:dyDescent="0.25">
      <c r="D18" s="43">
        <v>13</v>
      </c>
      <c r="E18" s="809" t="s">
        <v>102</v>
      </c>
      <c r="F18" s="809"/>
      <c r="G18" s="809"/>
      <c r="H18" s="809"/>
      <c r="I18" s="809"/>
      <c r="J18" s="809"/>
      <c r="K18" s="814" t="s">
        <v>103</v>
      </c>
      <c r="L18" s="814"/>
      <c r="M18" s="814"/>
      <c r="N18" s="814"/>
      <c r="O18" s="814"/>
      <c r="P18" s="814"/>
      <c r="Q18" s="814"/>
      <c r="R18" s="814"/>
      <c r="S18" s="814"/>
      <c r="T18" s="75"/>
      <c r="U18" s="75"/>
      <c r="V18" s="75"/>
      <c r="W18" s="75"/>
      <c r="X18" s="75"/>
      <c r="Y18" s="815"/>
      <c r="Z18" s="815"/>
      <c r="AA18" s="815"/>
      <c r="AB18" s="815"/>
      <c r="AC18" s="815"/>
      <c r="AD18" s="815"/>
      <c r="AE18" s="815"/>
      <c r="AF18" s="815"/>
      <c r="AG18" s="815"/>
      <c r="AH18" s="815"/>
      <c r="AI18" s="815"/>
      <c r="AJ18" s="815"/>
      <c r="AK18" s="815"/>
      <c r="AL18" s="815"/>
      <c r="AM18" s="815"/>
      <c r="AN18" s="815"/>
      <c r="AO18" s="815"/>
      <c r="AP18" s="815"/>
      <c r="AQ18" s="815"/>
      <c r="AR18" s="815"/>
      <c r="AS18" s="815"/>
      <c r="AT18" s="815"/>
      <c r="AU18" s="815"/>
      <c r="AV18" s="815"/>
      <c r="AW18" s="815"/>
      <c r="AX18" s="815"/>
      <c r="AY18" s="815"/>
      <c r="AZ18" s="815"/>
      <c r="BA18" s="815"/>
      <c r="BB18" s="815"/>
      <c r="BC18" s="815"/>
      <c r="BD18" s="815"/>
      <c r="BE18" s="815"/>
      <c r="BF18" s="815"/>
      <c r="BG18" s="81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row>
    <row r="19" spans="4:158" customFormat="1" ht="26.25" customHeight="1" x14ac:dyDescent="0.25">
      <c r="D19" s="43">
        <v>14</v>
      </c>
      <c r="E19" s="809" t="s">
        <v>104</v>
      </c>
      <c r="F19" s="809"/>
      <c r="G19" s="809"/>
      <c r="H19" s="809"/>
      <c r="I19" s="809"/>
      <c r="J19" s="809"/>
      <c r="K19" s="810"/>
      <c r="L19" s="810"/>
      <c r="M19" s="810"/>
      <c r="N19" s="810"/>
      <c r="O19" s="810"/>
      <c r="P19" s="810"/>
      <c r="Q19" s="810"/>
      <c r="R19" s="810"/>
      <c r="S19" s="810"/>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row>
    <row r="21" spans="4:158" x14ac:dyDescent="0.25">
      <c r="AV21" s="71"/>
      <c r="AW21" s="71"/>
      <c r="AX21" s="71"/>
      <c r="AY21" s="71"/>
      <c r="AZ21" s="71"/>
      <c r="BA21" s="71"/>
      <c r="BB21" s="71"/>
      <c r="BC21" s="71"/>
      <c r="BD21" s="71"/>
      <c r="BE21" s="71"/>
      <c r="BF21" s="71"/>
      <c r="BG21" s="71"/>
    </row>
    <row r="25" spans="4:158" x14ac:dyDescent="0.25">
      <c r="AC25" s="73"/>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1">
    <dataValidation type="list" allowBlank="1" showInputMessage="1" showErrorMessage="1" sqref="H13:H14" xr:uid="{00000000-0002-0000-0000-000000000000}">
      <formula1>"suma,personas"</formula1>
    </dataValidation>
  </dataValidations>
  <printOptions horizontalCentered="1" verticalCentered="1"/>
  <pageMargins left="0" right="0" top="0.55118110236220508" bottom="0" header="0.31496062992126012" footer="0"/>
  <pageSetup scale="20" fitToWidth="0" fitToHeight="0"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60"/>
  <sheetViews>
    <sheetView zoomScale="73" zoomScaleNormal="73" workbookViewId="0">
      <selection activeCell="B10" sqref="B10:B16"/>
    </sheetView>
  </sheetViews>
  <sheetFormatPr baseColWidth="10" defaultColWidth="10.85546875" defaultRowHeight="15.75" x14ac:dyDescent="0.25"/>
  <cols>
    <col min="1" max="1" width="12.42578125" style="1" customWidth="1"/>
    <col min="2" max="2" width="11.140625" style="1" customWidth="1"/>
    <col min="3" max="3" width="23.140625" style="1" customWidth="1"/>
    <col min="4" max="4" width="10.140625" style="146" customWidth="1"/>
    <col min="5" max="5" width="10.28515625" style="146" customWidth="1"/>
    <col min="6" max="6" width="15" style="147" customWidth="1"/>
    <col min="7" max="7" width="23.28515625" style="148" customWidth="1"/>
    <col min="8" max="10" width="11.85546875" style="148" hidden="1" customWidth="1"/>
    <col min="11" max="22" width="18.140625" style="148" hidden="1" customWidth="1"/>
    <col min="23" max="23" width="17.42578125" style="148" hidden="1" customWidth="1"/>
    <col min="24" max="25" width="22" style="148" hidden="1" customWidth="1"/>
    <col min="26" max="26" width="22" style="148" customWidth="1"/>
    <col min="27" max="45" width="21.42578125" style="148" customWidth="1"/>
    <col min="46" max="53" width="20" style="148" customWidth="1"/>
    <col min="54" max="54" width="30.42578125" style="148" customWidth="1"/>
    <col min="55" max="55" width="25.85546875" style="148" customWidth="1"/>
    <col min="56" max="56" width="25.140625" style="148" customWidth="1"/>
    <col min="57" max="57" width="23.85546875" style="148" customWidth="1"/>
    <col min="58" max="58" width="22.7109375" style="148" customWidth="1"/>
    <col min="59" max="87" width="21.7109375" style="148" hidden="1" customWidth="1"/>
    <col min="88" max="88" width="25.42578125" style="148" customWidth="1"/>
    <col min="89" max="117" width="21.7109375" style="148" hidden="1" customWidth="1"/>
    <col min="118" max="118" width="23.42578125" style="148" customWidth="1"/>
    <col min="119" max="147" width="21.7109375" style="148" hidden="1" customWidth="1"/>
    <col min="148" max="148" width="15.42578125" style="69" customWidth="1"/>
    <col min="149" max="149" width="13.140625" style="69" customWidth="1"/>
    <col min="150" max="150" width="18" style="1" customWidth="1"/>
    <col min="151" max="151" width="19.85546875" style="1" customWidth="1"/>
    <col min="152" max="152" width="17.42578125" style="1" customWidth="1"/>
    <col min="153" max="153" width="39.5703125" style="1" customWidth="1"/>
    <col min="154" max="154" width="15.5703125" style="1" customWidth="1"/>
    <col min="155" max="155" width="21.28515625" style="1" customWidth="1"/>
    <col min="156" max="156" width="43.42578125" style="1" customWidth="1"/>
    <col min="157" max="157" width="39" style="1" customWidth="1"/>
    <col min="158" max="158" width="16.5703125" style="1" customWidth="1"/>
    <col min="159" max="159" width="10.85546875" style="1" customWidth="1"/>
    <col min="160" max="16384" width="10.85546875" style="1"/>
  </cols>
  <sheetData>
    <row r="1" spans="1:159" s="4" customFormat="1" ht="38.25" thickBot="1" x14ac:dyDescent="0.55000000000000004">
      <c r="A1" s="824"/>
      <c r="B1" s="824"/>
      <c r="C1" s="824"/>
      <c r="D1" s="824"/>
      <c r="E1" s="824"/>
      <c r="F1" s="825" t="s">
        <v>0</v>
      </c>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K1" s="825"/>
      <c r="AL1" s="825"/>
      <c r="AM1" s="825"/>
      <c r="AN1" s="825"/>
      <c r="AO1" s="825"/>
      <c r="AP1" s="825"/>
      <c r="AQ1" s="825"/>
      <c r="AR1" s="825"/>
      <c r="AS1" s="825"/>
      <c r="AT1" s="825"/>
      <c r="AU1" s="825"/>
      <c r="AV1" s="825"/>
      <c r="AW1" s="825"/>
      <c r="AX1" s="825"/>
      <c r="AY1" s="825"/>
      <c r="AZ1" s="825"/>
      <c r="BA1" s="825"/>
      <c r="BB1" s="825"/>
      <c r="BC1" s="825"/>
      <c r="BD1" s="825"/>
      <c r="BE1" s="825"/>
      <c r="BF1" s="825"/>
      <c r="BG1" s="825"/>
      <c r="BH1" s="825"/>
      <c r="BI1" s="825"/>
      <c r="BJ1" s="825"/>
      <c r="BK1" s="825"/>
      <c r="BL1" s="825"/>
      <c r="BM1" s="825"/>
      <c r="BN1" s="825"/>
      <c r="BO1" s="825"/>
      <c r="BP1" s="825"/>
      <c r="BQ1" s="825"/>
      <c r="BR1" s="825"/>
      <c r="BS1" s="825"/>
      <c r="BT1" s="825"/>
      <c r="BU1" s="825"/>
      <c r="BV1" s="825"/>
      <c r="BW1" s="825"/>
      <c r="BX1" s="825"/>
      <c r="BY1" s="825"/>
      <c r="BZ1" s="825"/>
      <c r="CA1" s="825"/>
      <c r="CB1" s="825"/>
      <c r="CC1" s="825"/>
      <c r="CD1" s="825"/>
      <c r="CE1" s="825"/>
      <c r="CF1" s="825"/>
      <c r="CG1" s="825"/>
      <c r="CH1" s="825"/>
      <c r="CI1" s="825"/>
      <c r="CJ1" s="825"/>
      <c r="CK1" s="825"/>
      <c r="CL1" s="825"/>
      <c r="CM1" s="825"/>
      <c r="CN1" s="825"/>
      <c r="CO1" s="825"/>
      <c r="CP1" s="825"/>
      <c r="CQ1" s="825"/>
      <c r="CR1" s="825"/>
      <c r="CS1" s="825"/>
      <c r="CT1" s="825"/>
      <c r="CU1" s="825"/>
      <c r="CV1" s="825"/>
      <c r="CW1" s="825"/>
      <c r="CX1" s="825"/>
      <c r="CY1" s="825"/>
      <c r="CZ1" s="825"/>
      <c r="DA1" s="825"/>
      <c r="DB1" s="825"/>
      <c r="DC1" s="825"/>
      <c r="DD1" s="825"/>
      <c r="DE1" s="825"/>
      <c r="DF1" s="825"/>
      <c r="DG1" s="825"/>
      <c r="DH1" s="825"/>
      <c r="DI1" s="825"/>
      <c r="DJ1" s="825"/>
      <c r="DK1" s="825"/>
      <c r="DL1" s="825"/>
      <c r="DM1" s="825"/>
      <c r="DN1" s="825"/>
      <c r="DO1" s="825"/>
      <c r="DP1" s="825"/>
      <c r="DQ1" s="825"/>
      <c r="DR1" s="825"/>
      <c r="DS1" s="825"/>
      <c r="DT1" s="825"/>
      <c r="DU1" s="825"/>
      <c r="DV1" s="825"/>
      <c r="DW1" s="825"/>
      <c r="DX1" s="825"/>
      <c r="DY1" s="825"/>
      <c r="DZ1" s="825"/>
      <c r="EA1" s="825"/>
      <c r="EB1" s="825"/>
      <c r="EC1" s="825"/>
      <c r="ED1" s="825"/>
      <c r="EE1" s="825"/>
      <c r="EF1" s="825"/>
      <c r="EG1" s="825"/>
      <c r="EH1" s="825"/>
      <c r="EI1" s="825"/>
      <c r="EJ1" s="825"/>
      <c r="EK1" s="825"/>
      <c r="EL1" s="825"/>
      <c r="EM1" s="825"/>
      <c r="EN1" s="825"/>
      <c r="EO1" s="825"/>
      <c r="EP1" s="825"/>
      <c r="EQ1" s="825"/>
      <c r="ER1" s="825"/>
      <c r="ES1" s="825"/>
      <c r="ET1" s="825"/>
      <c r="EU1" s="825"/>
      <c r="EV1" s="825"/>
      <c r="EW1" s="825"/>
      <c r="EX1" s="825"/>
      <c r="EY1" s="825"/>
      <c r="EZ1" s="825"/>
      <c r="FA1" s="825"/>
    </row>
    <row r="2" spans="1:159" s="4" customFormat="1" ht="67.5" customHeight="1" thickBot="1" x14ac:dyDescent="0.55000000000000004">
      <c r="A2" s="824"/>
      <c r="B2" s="824"/>
      <c r="C2" s="824"/>
      <c r="D2" s="824"/>
      <c r="E2" s="824"/>
      <c r="F2" s="849" t="s">
        <v>105</v>
      </c>
      <c r="G2" s="849"/>
      <c r="H2" s="849"/>
      <c r="I2" s="849"/>
      <c r="J2" s="849"/>
      <c r="K2" s="849"/>
      <c r="L2" s="849"/>
      <c r="M2" s="849"/>
      <c r="N2" s="849"/>
      <c r="O2" s="849"/>
      <c r="P2" s="849"/>
      <c r="Q2" s="849"/>
      <c r="R2" s="849"/>
      <c r="S2" s="849"/>
      <c r="T2" s="849"/>
      <c r="U2" s="849"/>
      <c r="V2" s="849"/>
      <c r="W2" s="849"/>
      <c r="X2" s="849"/>
      <c r="Y2" s="849"/>
      <c r="Z2" s="849"/>
      <c r="AA2" s="849"/>
      <c r="AB2" s="849"/>
      <c r="AC2" s="849"/>
      <c r="AD2" s="849"/>
      <c r="AE2" s="849"/>
      <c r="AF2" s="849"/>
      <c r="AG2" s="849"/>
      <c r="AH2" s="849"/>
      <c r="AI2" s="849"/>
      <c r="AJ2" s="849"/>
      <c r="AK2" s="849"/>
      <c r="AL2" s="849"/>
      <c r="AM2" s="849"/>
      <c r="AN2" s="849"/>
      <c r="AO2" s="849"/>
      <c r="AP2" s="849"/>
      <c r="AQ2" s="849"/>
      <c r="AR2" s="849"/>
      <c r="AS2" s="849"/>
      <c r="AT2" s="849"/>
      <c r="AU2" s="849"/>
      <c r="AV2" s="849"/>
      <c r="AW2" s="849"/>
      <c r="AX2" s="849"/>
      <c r="AY2" s="849"/>
      <c r="AZ2" s="849"/>
      <c r="BA2" s="849"/>
      <c r="BB2" s="849"/>
      <c r="BC2" s="849"/>
      <c r="BD2" s="849"/>
      <c r="BE2" s="849"/>
      <c r="BF2" s="849"/>
      <c r="BG2" s="849"/>
      <c r="BH2" s="849"/>
      <c r="BI2" s="849"/>
      <c r="BJ2" s="849"/>
      <c r="BK2" s="849"/>
      <c r="BL2" s="849"/>
      <c r="BM2" s="849"/>
      <c r="BN2" s="849"/>
      <c r="BO2" s="849"/>
      <c r="BP2" s="849"/>
      <c r="BQ2" s="849"/>
      <c r="BR2" s="849"/>
      <c r="BS2" s="849"/>
      <c r="BT2" s="849"/>
      <c r="BU2" s="849"/>
      <c r="BV2" s="849"/>
      <c r="BW2" s="849"/>
      <c r="BX2" s="849"/>
      <c r="BY2" s="849"/>
      <c r="BZ2" s="849"/>
      <c r="CA2" s="849"/>
      <c r="CB2" s="849"/>
      <c r="CC2" s="849"/>
      <c r="CD2" s="849"/>
      <c r="CE2" s="849"/>
      <c r="CF2" s="849"/>
      <c r="CG2" s="849"/>
      <c r="CH2" s="849"/>
      <c r="CI2" s="849"/>
      <c r="CJ2" s="849"/>
      <c r="CK2" s="849"/>
      <c r="CL2" s="849"/>
      <c r="CM2" s="849"/>
      <c r="CN2" s="849"/>
      <c r="CO2" s="849"/>
      <c r="CP2" s="849"/>
      <c r="CQ2" s="849"/>
      <c r="CR2" s="849"/>
      <c r="CS2" s="849"/>
      <c r="CT2" s="849"/>
      <c r="CU2" s="849"/>
      <c r="CV2" s="849"/>
      <c r="CW2" s="849"/>
      <c r="CX2" s="849"/>
      <c r="CY2" s="849"/>
      <c r="CZ2" s="849"/>
      <c r="DA2" s="849"/>
      <c r="DB2" s="849"/>
      <c r="DC2" s="849"/>
      <c r="DD2" s="849"/>
      <c r="DE2" s="849"/>
      <c r="DF2" s="849"/>
      <c r="DG2" s="849"/>
      <c r="DH2" s="849"/>
      <c r="DI2" s="849"/>
      <c r="DJ2" s="849"/>
      <c r="DK2" s="849"/>
      <c r="DL2" s="849"/>
      <c r="DM2" s="849"/>
      <c r="DN2" s="849"/>
      <c r="DO2" s="849"/>
      <c r="DP2" s="849"/>
      <c r="DQ2" s="849"/>
      <c r="DR2" s="849"/>
      <c r="DS2" s="849"/>
      <c r="DT2" s="849"/>
      <c r="DU2" s="849"/>
      <c r="DV2" s="849"/>
      <c r="DW2" s="849"/>
      <c r="DX2" s="849"/>
      <c r="DY2" s="849"/>
      <c r="DZ2" s="849"/>
      <c r="EA2" s="849"/>
      <c r="EB2" s="849"/>
      <c r="EC2" s="849"/>
      <c r="ED2" s="849"/>
      <c r="EE2" s="849"/>
      <c r="EF2" s="849"/>
      <c r="EG2" s="849"/>
      <c r="EH2" s="849"/>
      <c r="EI2" s="849"/>
      <c r="EJ2" s="849"/>
      <c r="EK2" s="849"/>
      <c r="EL2" s="849"/>
      <c r="EM2" s="849"/>
      <c r="EN2" s="849"/>
      <c r="EO2" s="849"/>
      <c r="EP2" s="849"/>
      <c r="EQ2" s="849"/>
      <c r="ER2" s="849"/>
      <c r="ES2" s="849"/>
      <c r="ET2" s="849"/>
      <c r="EU2" s="849"/>
      <c r="EV2" s="849"/>
      <c r="EW2" s="849"/>
      <c r="EX2" s="849"/>
      <c r="EY2" s="849"/>
      <c r="EZ2" s="849"/>
      <c r="FA2" s="849"/>
    </row>
    <row r="3" spans="1:159" s="5" customFormat="1" ht="27" thickBot="1" x14ac:dyDescent="0.45">
      <c r="A3" s="824"/>
      <c r="B3" s="824"/>
      <c r="C3" s="824"/>
      <c r="D3" s="824"/>
      <c r="E3" s="824"/>
      <c r="F3" s="850" t="s">
        <v>2</v>
      </c>
      <c r="G3" s="850"/>
      <c r="H3" s="850"/>
      <c r="I3" s="850"/>
      <c r="J3" s="850"/>
      <c r="K3" s="850"/>
      <c r="L3" s="850"/>
      <c r="M3" s="850"/>
      <c r="N3" s="850"/>
      <c r="O3" s="850"/>
      <c r="P3" s="850"/>
      <c r="Q3" s="850"/>
      <c r="R3" s="850"/>
      <c r="S3" s="850"/>
      <c r="T3" s="850"/>
      <c r="U3" s="850"/>
      <c r="V3" s="850"/>
      <c r="W3" s="850"/>
      <c r="X3" s="850"/>
      <c r="Y3" s="850"/>
      <c r="Z3" s="850"/>
      <c r="AA3" s="850"/>
      <c r="AB3" s="850"/>
      <c r="AC3" s="850"/>
      <c r="AD3" s="850"/>
      <c r="AE3" s="850"/>
      <c r="AF3" s="850"/>
      <c r="AG3" s="850"/>
      <c r="AH3" s="850"/>
      <c r="AI3" s="850"/>
      <c r="AJ3" s="850"/>
      <c r="AK3" s="850"/>
      <c r="AL3" s="850"/>
      <c r="AM3" s="850"/>
      <c r="AN3" s="850"/>
      <c r="AO3" s="850"/>
      <c r="AP3" s="850"/>
      <c r="AQ3" s="850"/>
      <c r="AR3" s="850"/>
      <c r="AS3" s="850"/>
      <c r="AT3" s="850"/>
      <c r="AU3" s="850"/>
      <c r="AV3" s="850"/>
      <c r="AW3" s="850"/>
      <c r="AX3" s="850"/>
      <c r="AY3" s="850"/>
      <c r="AZ3" s="850"/>
      <c r="BA3" s="850"/>
      <c r="BB3" s="850"/>
      <c r="BC3" s="850"/>
      <c r="BD3" s="850"/>
      <c r="BE3" s="850"/>
      <c r="BF3" s="850"/>
      <c r="BG3" s="850"/>
      <c r="BH3" s="850"/>
      <c r="BI3" s="850"/>
      <c r="BJ3" s="850"/>
      <c r="BK3" s="850"/>
      <c r="BL3" s="850"/>
      <c r="BM3" s="850"/>
      <c r="BN3" s="850"/>
      <c r="BO3" s="850"/>
      <c r="BP3" s="850"/>
      <c r="BQ3" s="850"/>
      <c r="BR3" s="850"/>
      <c r="BS3" s="850"/>
      <c r="BT3" s="850"/>
      <c r="BU3" s="850"/>
      <c r="BV3" s="850"/>
      <c r="BW3" s="850"/>
      <c r="BX3" s="850"/>
      <c r="BY3" s="850"/>
      <c r="BZ3" s="850"/>
      <c r="CA3" s="850"/>
      <c r="CB3" s="850"/>
      <c r="CC3" s="850"/>
      <c r="CD3" s="850"/>
      <c r="CE3" s="850"/>
      <c r="CF3" s="850"/>
      <c r="CG3" s="850"/>
      <c r="CH3" s="850"/>
      <c r="CI3" s="850"/>
      <c r="CJ3" s="850"/>
      <c r="CK3" s="850"/>
      <c r="CL3" s="850"/>
      <c r="CM3" s="850"/>
      <c r="CN3" s="850"/>
      <c r="CO3" s="850"/>
      <c r="CP3" s="850"/>
      <c r="CQ3" s="850"/>
      <c r="CR3" s="850"/>
      <c r="CS3" s="850"/>
      <c r="CT3" s="850"/>
      <c r="CU3" s="850"/>
      <c r="CV3" s="850"/>
      <c r="CW3" s="850"/>
      <c r="CX3" s="850"/>
      <c r="CY3" s="850"/>
      <c r="CZ3" s="850"/>
      <c r="DA3" s="850"/>
      <c r="DB3" s="850"/>
      <c r="DC3" s="850"/>
      <c r="DD3" s="850"/>
      <c r="DE3" s="850"/>
      <c r="DF3" s="850"/>
      <c r="DG3" s="850"/>
      <c r="DH3" s="850"/>
      <c r="DI3" s="850"/>
      <c r="DJ3" s="850"/>
      <c r="DK3" s="850"/>
      <c r="DL3" s="850"/>
      <c r="DM3" s="850"/>
      <c r="DN3" s="850"/>
      <c r="DO3" s="850"/>
      <c r="DP3" s="850"/>
      <c r="DQ3" s="850"/>
      <c r="DR3" s="850"/>
      <c r="DS3" s="850"/>
      <c r="DT3" s="850"/>
      <c r="DU3" s="850"/>
      <c r="DV3" s="850"/>
      <c r="DW3" s="850"/>
      <c r="DX3" s="850"/>
      <c r="DY3" s="850"/>
      <c r="DZ3" s="850"/>
      <c r="EA3" s="850"/>
      <c r="EB3" s="850"/>
      <c r="EC3" s="850"/>
      <c r="ED3" s="850"/>
      <c r="EE3" s="850"/>
      <c r="EF3" s="850"/>
      <c r="EG3" s="850"/>
      <c r="EH3" s="850"/>
      <c r="EI3" s="850"/>
      <c r="EJ3" s="850"/>
      <c r="EK3" s="850"/>
      <c r="EL3" s="850"/>
      <c r="EM3" s="850"/>
      <c r="EN3" s="850"/>
      <c r="EO3" s="850"/>
      <c r="EP3" s="850"/>
      <c r="EQ3" s="850"/>
      <c r="ER3" s="851" t="s">
        <v>106</v>
      </c>
      <c r="ES3" s="851"/>
      <c r="ET3" s="851"/>
      <c r="EU3" s="851"/>
      <c r="EV3" s="851"/>
      <c r="EW3" s="851"/>
      <c r="EX3" s="851"/>
      <c r="EY3" s="851"/>
      <c r="EZ3" s="851"/>
      <c r="FA3" s="851"/>
    </row>
    <row r="4" spans="1:159" ht="18.75" thickBot="1" x14ac:dyDescent="0.3">
      <c r="A4" s="848" t="s">
        <v>4</v>
      </c>
      <c r="B4" s="848"/>
      <c r="C4" s="848"/>
      <c r="D4" s="848"/>
      <c r="E4" s="848"/>
      <c r="F4" s="822" t="s">
        <v>5</v>
      </c>
      <c r="G4" s="822"/>
      <c r="H4" s="822"/>
      <c r="I4" s="822"/>
      <c r="J4" s="822"/>
      <c r="K4" s="822"/>
      <c r="L4" s="822"/>
      <c r="M4" s="822"/>
      <c r="N4" s="822"/>
      <c r="O4" s="822"/>
      <c r="P4" s="822"/>
      <c r="Q4" s="822"/>
      <c r="R4" s="822"/>
      <c r="S4" s="822"/>
      <c r="T4" s="822"/>
      <c r="U4" s="822"/>
      <c r="V4" s="822"/>
      <c r="W4" s="822"/>
      <c r="X4" s="822"/>
      <c r="Y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c r="AW4" s="822"/>
      <c r="AX4" s="822"/>
      <c r="AY4" s="822"/>
      <c r="AZ4" s="822"/>
      <c r="BA4" s="822"/>
      <c r="BB4" s="822"/>
      <c r="BC4" s="822"/>
      <c r="BD4" s="822"/>
      <c r="BE4" s="822"/>
      <c r="BF4" s="822"/>
      <c r="BG4" s="822"/>
      <c r="BH4" s="822"/>
      <c r="BI4" s="822"/>
      <c r="BJ4" s="822"/>
      <c r="BK4" s="822"/>
      <c r="BL4" s="822"/>
      <c r="BM4" s="822"/>
      <c r="BN4" s="822"/>
      <c r="BO4" s="822"/>
      <c r="BP4" s="822"/>
      <c r="BQ4" s="822"/>
      <c r="BR4" s="822"/>
      <c r="BS4" s="822"/>
      <c r="BT4" s="822"/>
      <c r="BU4" s="822"/>
      <c r="BV4" s="822"/>
      <c r="BW4" s="822"/>
      <c r="BX4" s="822"/>
      <c r="BY4" s="822"/>
      <c r="BZ4" s="822"/>
      <c r="CA4" s="822"/>
      <c r="CB4" s="822"/>
      <c r="CC4" s="822"/>
      <c r="CD4" s="822"/>
      <c r="CE4" s="822"/>
      <c r="CF4" s="822"/>
      <c r="CG4" s="822"/>
      <c r="CH4" s="822"/>
      <c r="CI4" s="822"/>
      <c r="CJ4" s="822"/>
      <c r="CK4" s="822"/>
      <c r="CL4" s="822"/>
      <c r="CM4" s="822"/>
      <c r="CN4" s="822"/>
      <c r="CO4" s="822"/>
      <c r="CP4" s="822"/>
      <c r="CQ4" s="822"/>
      <c r="CR4" s="822"/>
      <c r="CS4" s="822"/>
      <c r="CT4" s="822"/>
      <c r="CU4" s="822"/>
      <c r="CV4" s="822"/>
      <c r="CW4" s="822"/>
      <c r="CX4" s="822"/>
      <c r="CY4" s="822"/>
      <c r="CZ4" s="822"/>
      <c r="DA4" s="822"/>
      <c r="DB4" s="822"/>
      <c r="DC4" s="822"/>
      <c r="DD4" s="822"/>
      <c r="DE4" s="822"/>
      <c r="DF4" s="822"/>
      <c r="DG4" s="822"/>
      <c r="DH4" s="822"/>
      <c r="DI4" s="822"/>
      <c r="DJ4" s="822"/>
      <c r="DK4" s="822"/>
      <c r="DL4" s="822"/>
      <c r="DM4" s="822"/>
      <c r="DN4" s="822"/>
      <c r="DO4" s="822"/>
      <c r="DP4" s="822"/>
      <c r="DQ4" s="822"/>
      <c r="DR4" s="822"/>
      <c r="DS4" s="822"/>
      <c r="DT4" s="822"/>
      <c r="DU4" s="822"/>
      <c r="DV4" s="822"/>
      <c r="DW4" s="822"/>
      <c r="DX4" s="822"/>
      <c r="DY4" s="822"/>
      <c r="DZ4" s="822"/>
      <c r="EA4" s="822"/>
      <c r="EB4" s="822"/>
      <c r="EC4" s="822"/>
      <c r="ED4" s="822"/>
      <c r="EE4" s="822"/>
      <c r="EF4" s="822"/>
      <c r="EG4" s="822"/>
      <c r="EH4" s="822"/>
      <c r="EI4" s="822"/>
      <c r="EJ4" s="822"/>
      <c r="EK4" s="822"/>
      <c r="EL4" s="822"/>
      <c r="EM4" s="822"/>
      <c r="EN4" s="822"/>
      <c r="EO4" s="822"/>
      <c r="EP4" s="822"/>
      <c r="EQ4" s="822"/>
      <c r="ER4" s="822"/>
      <c r="ES4" s="822"/>
      <c r="ET4" s="822"/>
      <c r="EU4" s="822"/>
      <c r="EV4" s="822"/>
      <c r="EW4" s="822"/>
      <c r="EX4" s="822"/>
      <c r="EY4" s="822"/>
      <c r="EZ4" s="822"/>
      <c r="FA4" s="822"/>
    </row>
    <row r="5" spans="1:159" ht="18.75" thickBot="1" x14ac:dyDescent="0.3">
      <c r="A5" s="848" t="s">
        <v>6</v>
      </c>
      <c r="B5" s="848"/>
      <c r="C5" s="848"/>
      <c r="D5" s="848"/>
      <c r="E5" s="848"/>
      <c r="F5" s="822" t="s">
        <v>7</v>
      </c>
      <c r="G5" s="822"/>
      <c r="H5" s="822"/>
      <c r="I5" s="822"/>
      <c r="J5" s="822"/>
      <c r="K5" s="822"/>
      <c r="L5" s="822"/>
      <c r="M5" s="822"/>
      <c r="N5" s="822"/>
      <c r="O5" s="822"/>
      <c r="P5" s="822"/>
      <c r="Q5" s="822"/>
      <c r="R5" s="822"/>
      <c r="S5" s="822"/>
      <c r="T5" s="822"/>
      <c r="U5" s="822"/>
      <c r="V5" s="822"/>
      <c r="W5" s="822"/>
      <c r="X5" s="822"/>
      <c r="Y5" s="822"/>
      <c r="Z5" s="822"/>
      <c r="AA5" s="822"/>
      <c r="AB5" s="822"/>
      <c r="AC5" s="822"/>
      <c r="AD5" s="822"/>
      <c r="AE5" s="822"/>
      <c r="AF5" s="822"/>
      <c r="AG5" s="822"/>
      <c r="AH5" s="822"/>
      <c r="AI5" s="822"/>
      <c r="AJ5" s="822"/>
      <c r="AK5" s="822"/>
      <c r="AL5" s="822"/>
      <c r="AM5" s="822"/>
      <c r="AN5" s="822"/>
      <c r="AO5" s="822"/>
      <c r="AP5" s="822"/>
      <c r="AQ5" s="822"/>
      <c r="AR5" s="822"/>
      <c r="AS5" s="822"/>
      <c r="AT5" s="822"/>
      <c r="AU5" s="822"/>
      <c r="AV5" s="822"/>
      <c r="AW5" s="822"/>
      <c r="AX5" s="822"/>
      <c r="AY5" s="822"/>
      <c r="AZ5" s="822"/>
      <c r="BA5" s="822"/>
      <c r="BB5" s="822"/>
      <c r="BC5" s="822"/>
      <c r="BD5" s="822"/>
      <c r="BE5" s="822"/>
      <c r="BF5" s="822"/>
      <c r="BG5" s="822"/>
      <c r="BH5" s="822"/>
      <c r="BI5" s="822"/>
      <c r="BJ5" s="822"/>
      <c r="BK5" s="822"/>
      <c r="BL5" s="822"/>
      <c r="BM5" s="822"/>
      <c r="BN5" s="822"/>
      <c r="BO5" s="822"/>
      <c r="BP5" s="822"/>
      <c r="BQ5" s="822"/>
      <c r="BR5" s="822"/>
      <c r="BS5" s="822"/>
      <c r="BT5" s="822"/>
      <c r="BU5" s="822"/>
      <c r="BV5" s="822"/>
      <c r="BW5" s="822"/>
      <c r="BX5" s="822"/>
      <c r="BY5" s="822"/>
      <c r="BZ5" s="822"/>
      <c r="CA5" s="822"/>
      <c r="CB5" s="822"/>
      <c r="CC5" s="822"/>
      <c r="CD5" s="822"/>
      <c r="CE5" s="822"/>
      <c r="CF5" s="822"/>
      <c r="CG5" s="822"/>
      <c r="CH5" s="822"/>
      <c r="CI5" s="822"/>
      <c r="CJ5" s="822"/>
      <c r="CK5" s="822"/>
      <c r="CL5" s="822"/>
      <c r="CM5" s="822"/>
      <c r="CN5" s="822"/>
      <c r="CO5" s="822"/>
      <c r="CP5" s="822"/>
      <c r="CQ5" s="822"/>
      <c r="CR5" s="822"/>
      <c r="CS5" s="822"/>
      <c r="CT5" s="822"/>
      <c r="CU5" s="822"/>
      <c r="CV5" s="822"/>
      <c r="CW5" s="822"/>
      <c r="CX5" s="822"/>
      <c r="CY5" s="822"/>
      <c r="CZ5" s="822"/>
      <c r="DA5" s="822"/>
      <c r="DB5" s="822"/>
      <c r="DC5" s="822"/>
      <c r="DD5" s="822"/>
      <c r="DE5" s="822"/>
      <c r="DF5" s="822"/>
      <c r="DG5" s="822"/>
      <c r="DH5" s="822"/>
      <c r="DI5" s="822"/>
      <c r="DJ5" s="822"/>
      <c r="DK5" s="822"/>
      <c r="DL5" s="822"/>
      <c r="DM5" s="822"/>
      <c r="DN5" s="822"/>
      <c r="DO5" s="822"/>
      <c r="DP5" s="822"/>
      <c r="DQ5" s="822"/>
      <c r="DR5" s="822"/>
      <c r="DS5" s="822"/>
      <c r="DT5" s="822"/>
      <c r="DU5" s="822"/>
      <c r="DV5" s="822"/>
      <c r="DW5" s="822"/>
      <c r="DX5" s="822"/>
      <c r="DY5" s="822"/>
      <c r="DZ5" s="822"/>
      <c r="EA5" s="822"/>
      <c r="EB5" s="822"/>
      <c r="EC5" s="822"/>
      <c r="ED5" s="822"/>
      <c r="EE5" s="822"/>
      <c r="EF5" s="822"/>
      <c r="EG5" s="822"/>
      <c r="EH5" s="822"/>
      <c r="EI5" s="822"/>
      <c r="EJ5" s="822"/>
      <c r="EK5" s="822"/>
      <c r="EL5" s="822"/>
      <c r="EM5" s="822"/>
      <c r="EN5" s="822"/>
      <c r="EO5" s="822"/>
      <c r="EP5" s="822"/>
      <c r="EQ5" s="822"/>
      <c r="ER5" s="822"/>
      <c r="ES5" s="822"/>
      <c r="ET5" s="822"/>
      <c r="EU5" s="822"/>
      <c r="EV5" s="822"/>
      <c r="EW5" s="822"/>
      <c r="EX5" s="822"/>
      <c r="EY5" s="822"/>
      <c r="EZ5" s="822"/>
      <c r="FA5" s="822"/>
    </row>
    <row r="6" spans="1:159" ht="16.5" thickBot="1" x14ac:dyDescent="0.3">
      <c r="A6" s="2"/>
      <c r="B6" s="2"/>
      <c r="C6" s="2"/>
      <c r="D6" s="79"/>
      <c r="E6" s="79"/>
      <c r="F6" s="80"/>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2"/>
      <c r="ES6" s="82"/>
      <c r="ET6" s="2"/>
      <c r="EU6" s="2"/>
      <c r="EV6" s="2"/>
      <c r="EW6" s="2"/>
      <c r="EX6" s="2"/>
      <c r="EY6" s="2"/>
      <c r="EZ6" s="2"/>
      <c r="FA6" s="2"/>
    </row>
    <row r="7" spans="1:159" s="83" customFormat="1" ht="21" thickBot="1" x14ac:dyDescent="0.3">
      <c r="A7" s="817" t="s">
        <v>107</v>
      </c>
      <c r="B7" s="817"/>
      <c r="C7" s="817"/>
      <c r="D7" s="817"/>
      <c r="E7" s="817"/>
      <c r="F7" s="817"/>
      <c r="G7" s="817"/>
      <c r="H7" s="852" t="s">
        <v>108</v>
      </c>
      <c r="I7" s="852"/>
      <c r="J7" s="852"/>
      <c r="K7" s="852"/>
      <c r="L7" s="852"/>
      <c r="M7" s="852"/>
      <c r="N7" s="852"/>
      <c r="O7" s="852"/>
      <c r="P7" s="852"/>
      <c r="Q7" s="852"/>
      <c r="R7" s="852"/>
      <c r="S7" s="852"/>
      <c r="T7" s="852"/>
      <c r="U7" s="852"/>
      <c r="V7" s="852"/>
      <c r="W7" s="852"/>
      <c r="X7" s="852"/>
      <c r="Y7" s="852"/>
      <c r="Z7" s="852"/>
      <c r="AA7" s="852"/>
      <c r="AB7" s="852"/>
      <c r="AC7" s="852"/>
      <c r="AD7" s="852"/>
      <c r="AE7" s="852"/>
      <c r="AF7" s="852"/>
      <c r="AG7" s="852"/>
      <c r="AH7" s="852"/>
      <c r="AI7" s="852"/>
      <c r="AJ7" s="852"/>
      <c r="AK7" s="852"/>
      <c r="AL7" s="852"/>
      <c r="AM7" s="852"/>
      <c r="AN7" s="852"/>
      <c r="AO7" s="852"/>
      <c r="AP7" s="852"/>
      <c r="AQ7" s="852"/>
      <c r="AR7" s="852"/>
      <c r="AS7" s="852"/>
      <c r="AT7" s="852"/>
      <c r="AU7" s="852"/>
      <c r="AV7" s="852"/>
      <c r="AW7" s="852"/>
      <c r="AX7" s="852"/>
      <c r="AY7" s="852"/>
      <c r="AZ7" s="852"/>
      <c r="BA7" s="852"/>
      <c r="BB7" s="852"/>
      <c r="BC7" s="852"/>
      <c r="BD7" s="852"/>
      <c r="BE7" s="852"/>
      <c r="BF7" s="852"/>
      <c r="BG7" s="852"/>
      <c r="BH7" s="852"/>
      <c r="BI7" s="852"/>
      <c r="BJ7" s="852"/>
      <c r="BK7" s="852"/>
      <c r="BL7" s="852"/>
      <c r="BM7" s="852"/>
      <c r="BN7" s="852"/>
      <c r="BO7" s="852"/>
      <c r="BP7" s="852"/>
      <c r="BQ7" s="852"/>
      <c r="BR7" s="852"/>
      <c r="BS7" s="852"/>
      <c r="BT7" s="852"/>
      <c r="BU7" s="852"/>
      <c r="BV7" s="852"/>
      <c r="BW7" s="852"/>
      <c r="BX7" s="852"/>
      <c r="BY7" s="852"/>
      <c r="BZ7" s="852"/>
      <c r="CA7" s="852"/>
      <c r="CB7" s="852"/>
      <c r="CC7" s="852"/>
      <c r="CD7" s="852"/>
      <c r="CE7" s="852"/>
      <c r="CF7" s="852"/>
      <c r="CG7" s="852"/>
      <c r="CH7" s="852"/>
      <c r="CI7" s="852"/>
      <c r="CJ7" s="852"/>
      <c r="CK7" s="852"/>
      <c r="CL7" s="852"/>
      <c r="CM7" s="852"/>
      <c r="CN7" s="852"/>
      <c r="CO7" s="852"/>
      <c r="CP7" s="852"/>
      <c r="CQ7" s="852"/>
      <c r="CR7" s="852"/>
      <c r="CS7" s="852"/>
      <c r="CT7" s="852"/>
      <c r="CU7" s="852"/>
      <c r="CV7" s="852"/>
      <c r="CW7" s="852"/>
      <c r="CX7" s="852"/>
      <c r="CY7" s="852"/>
      <c r="CZ7" s="852"/>
      <c r="DA7" s="852"/>
      <c r="DB7" s="852"/>
      <c r="DC7" s="852"/>
      <c r="DD7" s="852"/>
      <c r="DE7" s="852"/>
      <c r="DF7" s="852"/>
      <c r="DG7" s="852"/>
      <c r="DH7" s="852"/>
      <c r="DI7" s="852"/>
      <c r="DJ7" s="852"/>
      <c r="DK7" s="852"/>
      <c r="DL7" s="852"/>
      <c r="DM7" s="852"/>
      <c r="DN7" s="852"/>
      <c r="DO7" s="852"/>
      <c r="DP7" s="852"/>
      <c r="DQ7" s="852"/>
      <c r="DR7" s="852"/>
      <c r="DS7" s="852"/>
      <c r="DT7" s="852"/>
      <c r="DU7" s="852"/>
      <c r="DV7" s="852"/>
      <c r="DW7" s="852"/>
      <c r="DX7" s="852"/>
      <c r="DY7" s="852"/>
      <c r="DZ7" s="852"/>
      <c r="EA7" s="852"/>
      <c r="EB7" s="852"/>
      <c r="EC7" s="852"/>
      <c r="ED7" s="852"/>
      <c r="EE7" s="852"/>
      <c r="EF7" s="852"/>
      <c r="EG7" s="852"/>
      <c r="EH7" s="852"/>
      <c r="EI7" s="852"/>
      <c r="EJ7" s="852"/>
      <c r="EK7" s="852"/>
      <c r="EL7" s="852"/>
      <c r="EM7" s="852"/>
      <c r="EN7" s="852"/>
      <c r="EO7" s="852"/>
      <c r="EP7" s="852"/>
      <c r="EQ7" s="852"/>
      <c r="ER7" s="853" t="s">
        <v>14</v>
      </c>
      <c r="ES7" s="853" t="s">
        <v>15</v>
      </c>
      <c r="ET7" s="854" t="s">
        <v>16</v>
      </c>
      <c r="EU7" s="856" t="s">
        <v>109</v>
      </c>
      <c r="EV7" s="847" t="s">
        <v>18</v>
      </c>
      <c r="EW7" s="819" t="s">
        <v>19</v>
      </c>
      <c r="EX7" s="820" t="s">
        <v>20</v>
      </c>
      <c r="EY7" s="820" t="s">
        <v>21</v>
      </c>
      <c r="EZ7" s="820" t="s">
        <v>22</v>
      </c>
      <c r="FA7" s="816" t="s">
        <v>23</v>
      </c>
    </row>
    <row r="8" spans="1:159" s="83" customFormat="1" ht="21" thickBot="1" x14ac:dyDescent="0.3">
      <c r="A8" s="817"/>
      <c r="B8" s="817"/>
      <c r="C8" s="817"/>
      <c r="D8" s="817"/>
      <c r="E8" s="817"/>
      <c r="F8" s="817"/>
      <c r="G8" s="817"/>
      <c r="H8" s="811" t="s">
        <v>110</v>
      </c>
      <c r="I8" s="811"/>
      <c r="J8" s="811"/>
      <c r="K8" s="811"/>
      <c r="L8" s="811"/>
      <c r="M8" s="811"/>
      <c r="N8" s="811"/>
      <c r="O8" s="811"/>
      <c r="P8" s="811"/>
      <c r="Q8" s="811"/>
      <c r="R8" s="811"/>
      <c r="S8" s="811"/>
      <c r="T8" s="811"/>
      <c r="U8" s="811"/>
      <c r="V8" s="811"/>
      <c r="W8" s="811"/>
      <c r="X8" s="811"/>
      <c r="Y8" s="811"/>
      <c r="Z8" s="811"/>
      <c r="AA8" s="811"/>
      <c r="AB8" s="811" t="s">
        <v>111</v>
      </c>
      <c r="AC8" s="811"/>
      <c r="AD8" s="811"/>
      <c r="AE8" s="811"/>
      <c r="AF8" s="811"/>
      <c r="AG8" s="811"/>
      <c r="AH8" s="811"/>
      <c r="AI8" s="811"/>
      <c r="AJ8" s="811"/>
      <c r="AK8" s="811"/>
      <c r="AL8" s="811"/>
      <c r="AM8" s="811"/>
      <c r="AN8" s="811"/>
      <c r="AO8" s="811"/>
      <c r="AP8" s="811"/>
      <c r="AQ8" s="811"/>
      <c r="AR8" s="811"/>
      <c r="AS8" s="811"/>
      <c r="AT8" s="811"/>
      <c r="AU8" s="811"/>
      <c r="AV8" s="811"/>
      <c r="AW8" s="811"/>
      <c r="AX8" s="811"/>
      <c r="AY8" s="811"/>
      <c r="AZ8" s="811"/>
      <c r="BA8" s="811"/>
      <c r="BB8" s="811"/>
      <c r="BC8" s="811"/>
      <c r="BD8" s="811"/>
      <c r="BE8" s="811"/>
      <c r="BF8" s="811" t="s">
        <v>27</v>
      </c>
      <c r="BG8" s="811"/>
      <c r="BH8" s="811"/>
      <c r="BI8" s="811"/>
      <c r="BJ8" s="811"/>
      <c r="BK8" s="811"/>
      <c r="BL8" s="811"/>
      <c r="BM8" s="811"/>
      <c r="BN8" s="811"/>
      <c r="BO8" s="811"/>
      <c r="BP8" s="811"/>
      <c r="BQ8" s="811"/>
      <c r="BR8" s="811"/>
      <c r="BS8" s="811"/>
      <c r="BT8" s="811"/>
      <c r="BU8" s="811"/>
      <c r="BV8" s="811"/>
      <c r="BW8" s="811"/>
      <c r="BX8" s="811"/>
      <c r="BY8" s="811"/>
      <c r="BZ8" s="811"/>
      <c r="CA8" s="811"/>
      <c r="CB8" s="811"/>
      <c r="CC8" s="811"/>
      <c r="CD8" s="811"/>
      <c r="CE8" s="811"/>
      <c r="CF8" s="811"/>
      <c r="CG8" s="811"/>
      <c r="CH8" s="811"/>
      <c r="CI8" s="811"/>
      <c r="CJ8" s="811" t="s">
        <v>28</v>
      </c>
      <c r="CK8" s="811"/>
      <c r="CL8" s="811"/>
      <c r="CM8" s="811"/>
      <c r="CN8" s="811"/>
      <c r="CO8" s="811"/>
      <c r="CP8" s="811"/>
      <c r="CQ8" s="811"/>
      <c r="CR8" s="811"/>
      <c r="CS8" s="811"/>
      <c r="CT8" s="811"/>
      <c r="CU8" s="811"/>
      <c r="CV8" s="811"/>
      <c r="CW8" s="811"/>
      <c r="CX8" s="811"/>
      <c r="CY8" s="811"/>
      <c r="CZ8" s="811"/>
      <c r="DA8" s="811"/>
      <c r="DB8" s="811"/>
      <c r="DC8" s="811"/>
      <c r="DD8" s="811"/>
      <c r="DE8" s="811"/>
      <c r="DF8" s="811"/>
      <c r="DG8" s="811"/>
      <c r="DH8" s="811"/>
      <c r="DI8" s="811"/>
      <c r="DJ8" s="811"/>
      <c r="DK8" s="811"/>
      <c r="DL8" s="811"/>
      <c r="DM8" s="811"/>
      <c r="DN8" s="811" t="s">
        <v>29</v>
      </c>
      <c r="DO8" s="811"/>
      <c r="DP8" s="811"/>
      <c r="DQ8" s="811"/>
      <c r="DR8" s="811"/>
      <c r="DS8" s="811"/>
      <c r="DT8" s="811"/>
      <c r="DU8" s="811"/>
      <c r="DV8" s="811"/>
      <c r="DW8" s="811"/>
      <c r="DX8" s="811"/>
      <c r="DY8" s="811"/>
      <c r="DZ8" s="811"/>
      <c r="EA8" s="811"/>
      <c r="EB8" s="811"/>
      <c r="EC8" s="811"/>
      <c r="ED8" s="811"/>
      <c r="EE8" s="811"/>
      <c r="EF8" s="811"/>
      <c r="EG8" s="811"/>
      <c r="EH8" s="811"/>
      <c r="EI8" s="811"/>
      <c r="EJ8" s="811"/>
      <c r="EK8" s="811"/>
      <c r="EL8" s="811"/>
      <c r="EM8" s="811"/>
      <c r="EN8" s="811"/>
      <c r="EO8" s="811"/>
      <c r="EP8" s="811"/>
      <c r="EQ8" s="811"/>
      <c r="ER8" s="853"/>
      <c r="ES8" s="853"/>
      <c r="ET8" s="854"/>
      <c r="EU8" s="856"/>
      <c r="EV8" s="847"/>
      <c r="EW8" s="819"/>
      <c r="EX8" s="820"/>
      <c r="EY8" s="820"/>
      <c r="EZ8" s="820"/>
      <c r="FA8" s="816"/>
    </row>
    <row r="9" spans="1:159" s="83" customFormat="1" ht="90" customHeight="1" thickBot="1" x14ac:dyDescent="0.3">
      <c r="A9" s="84" t="s">
        <v>112</v>
      </c>
      <c r="B9" s="85" t="s">
        <v>113</v>
      </c>
      <c r="C9" s="86" t="s">
        <v>114</v>
      </c>
      <c r="D9" s="86" t="s">
        <v>115</v>
      </c>
      <c r="E9" s="87" t="s">
        <v>116</v>
      </c>
      <c r="F9" s="87" t="s">
        <v>117</v>
      </c>
      <c r="G9" s="88" t="s">
        <v>118</v>
      </c>
      <c r="H9" s="14" t="s">
        <v>39</v>
      </c>
      <c r="I9" s="15" t="s">
        <v>40</v>
      </c>
      <c r="J9" s="16" t="s">
        <v>41</v>
      </c>
      <c r="K9" s="15" t="s">
        <v>42</v>
      </c>
      <c r="L9" s="16" t="s">
        <v>43</v>
      </c>
      <c r="M9" s="15" t="s">
        <v>44</v>
      </c>
      <c r="N9" s="16" t="s">
        <v>45</v>
      </c>
      <c r="O9" s="15" t="s">
        <v>46</v>
      </c>
      <c r="P9" s="16" t="s">
        <v>47</v>
      </c>
      <c r="Q9" s="15" t="s">
        <v>48</v>
      </c>
      <c r="R9" s="16" t="s">
        <v>49</v>
      </c>
      <c r="S9" s="15" t="s">
        <v>50</v>
      </c>
      <c r="T9" s="16" t="s">
        <v>51</v>
      </c>
      <c r="U9" s="15" t="s">
        <v>52</v>
      </c>
      <c r="V9" s="17" t="s">
        <v>53</v>
      </c>
      <c r="W9" s="18" t="s">
        <v>54</v>
      </c>
      <c r="X9" s="22" t="s">
        <v>55</v>
      </c>
      <c r="Y9" s="20" t="s">
        <v>119</v>
      </c>
      <c r="Z9" s="21" t="s">
        <v>57</v>
      </c>
      <c r="AA9" s="20" t="s">
        <v>120</v>
      </c>
      <c r="AB9" s="14" t="s">
        <v>39</v>
      </c>
      <c r="AC9" s="15" t="s">
        <v>59</v>
      </c>
      <c r="AD9" s="16" t="s">
        <v>60</v>
      </c>
      <c r="AE9" s="15" t="s">
        <v>61</v>
      </c>
      <c r="AF9" s="16" t="s">
        <v>62</v>
      </c>
      <c r="AG9" s="15" t="s">
        <v>63</v>
      </c>
      <c r="AH9" s="16" t="s">
        <v>64</v>
      </c>
      <c r="AI9" s="15" t="s">
        <v>65</v>
      </c>
      <c r="AJ9" s="16" t="s">
        <v>66</v>
      </c>
      <c r="AK9" s="15" t="s">
        <v>67</v>
      </c>
      <c r="AL9" s="16" t="s">
        <v>68</v>
      </c>
      <c r="AM9" s="15" t="s">
        <v>40</v>
      </c>
      <c r="AN9" s="16" t="s">
        <v>41</v>
      </c>
      <c r="AO9" s="15" t="s">
        <v>42</v>
      </c>
      <c r="AP9" s="16" t="s">
        <v>43</v>
      </c>
      <c r="AQ9" s="15" t="s">
        <v>44</v>
      </c>
      <c r="AR9" s="16" t="s">
        <v>45</v>
      </c>
      <c r="AS9" s="15" t="s">
        <v>46</v>
      </c>
      <c r="AT9" s="16" t="s">
        <v>47</v>
      </c>
      <c r="AU9" s="15" t="s">
        <v>48</v>
      </c>
      <c r="AV9" s="16" t="s">
        <v>49</v>
      </c>
      <c r="AW9" s="15" t="s">
        <v>50</v>
      </c>
      <c r="AX9" s="16" t="s">
        <v>51</v>
      </c>
      <c r="AY9" s="15" t="s">
        <v>52</v>
      </c>
      <c r="AZ9" s="17" t="s">
        <v>53</v>
      </c>
      <c r="BA9" s="18" t="s">
        <v>54</v>
      </c>
      <c r="BB9" s="22" t="s">
        <v>69</v>
      </c>
      <c r="BC9" s="20" t="s">
        <v>121</v>
      </c>
      <c r="BD9" s="21" t="s">
        <v>71</v>
      </c>
      <c r="BE9" s="20" t="s">
        <v>122</v>
      </c>
      <c r="BF9" s="14" t="s">
        <v>39</v>
      </c>
      <c r="BG9" s="89" t="s">
        <v>123</v>
      </c>
      <c r="BH9" s="90" t="s">
        <v>124</v>
      </c>
      <c r="BI9" s="89" t="s">
        <v>125</v>
      </c>
      <c r="BJ9" s="90" t="s">
        <v>126</v>
      </c>
      <c r="BK9" s="89" t="s">
        <v>127</v>
      </c>
      <c r="BL9" s="90" t="s">
        <v>128</v>
      </c>
      <c r="BM9" s="89" t="s">
        <v>129</v>
      </c>
      <c r="BN9" s="90" t="s">
        <v>130</v>
      </c>
      <c r="BO9" s="89" t="s">
        <v>131</v>
      </c>
      <c r="BP9" s="90" t="s">
        <v>132</v>
      </c>
      <c r="BQ9" s="89" t="s">
        <v>133</v>
      </c>
      <c r="BR9" s="90" t="s">
        <v>134</v>
      </c>
      <c r="BS9" s="89" t="s">
        <v>135</v>
      </c>
      <c r="BT9" s="90" t="s">
        <v>136</v>
      </c>
      <c r="BU9" s="89" t="s">
        <v>137</v>
      </c>
      <c r="BV9" s="90" t="s">
        <v>138</v>
      </c>
      <c r="BW9" s="89" t="s">
        <v>139</v>
      </c>
      <c r="BX9" s="90" t="s">
        <v>140</v>
      </c>
      <c r="BY9" s="89" t="s">
        <v>141</v>
      </c>
      <c r="BZ9" s="90" t="s">
        <v>142</v>
      </c>
      <c r="CA9" s="89" t="s">
        <v>143</v>
      </c>
      <c r="CB9" s="90" t="s">
        <v>144</v>
      </c>
      <c r="CC9" s="89" t="s">
        <v>145</v>
      </c>
      <c r="CD9" s="91" t="s">
        <v>146</v>
      </c>
      <c r="CE9" s="18" t="s">
        <v>54</v>
      </c>
      <c r="CF9" s="22" t="s">
        <v>73</v>
      </c>
      <c r="CG9" s="20" t="s">
        <v>74</v>
      </c>
      <c r="CH9" s="21" t="s">
        <v>75</v>
      </c>
      <c r="CI9" s="20" t="s">
        <v>76</v>
      </c>
      <c r="CJ9" s="14" t="s">
        <v>39</v>
      </c>
      <c r="CK9" s="89" t="s">
        <v>123</v>
      </c>
      <c r="CL9" s="90" t="s">
        <v>124</v>
      </c>
      <c r="CM9" s="89" t="s">
        <v>125</v>
      </c>
      <c r="CN9" s="90" t="s">
        <v>126</v>
      </c>
      <c r="CO9" s="89" t="s">
        <v>127</v>
      </c>
      <c r="CP9" s="90" t="s">
        <v>128</v>
      </c>
      <c r="CQ9" s="89" t="s">
        <v>147</v>
      </c>
      <c r="CR9" s="90" t="s">
        <v>130</v>
      </c>
      <c r="CS9" s="89" t="s">
        <v>131</v>
      </c>
      <c r="CT9" s="90" t="s">
        <v>132</v>
      </c>
      <c r="CU9" s="89" t="s">
        <v>133</v>
      </c>
      <c r="CV9" s="90" t="s">
        <v>134</v>
      </c>
      <c r="CW9" s="89" t="s">
        <v>135</v>
      </c>
      <c r="CX9" s="90" t="s">
        <v>136</v>
      </c>
      <c r="CY9" s="89" t="s">
        <v>137</v>
      </c>
      <c r="CZ9" s="90" t="s">
        <v>138</v>
      </c>
      <c r="DA9" s="89" t="s">
        <v>139</v>
      </c>
      <c r="DB9" s="90" t="s">
        <v>140</v>
      </c>
      <c r="DC9" s="89" t="s">
        <v>141</v>
      </c>
      <c r="DD9" s="90" t="s">
        <v>142</v>
      </c>
      <c r="DE9" s="89" t="s">
        <v>143</v>
      </c>
      <c r="DF9" s="90" t="s">
        <v>144</v>
      </c>
      <c r="DG9" s="89" t="s">
        <v>145</v>
      </c>
      <c r="DH9" s="90" t="s">
        <v>146</v>
      </c>
      <c r="DI9" s="92" t="s">
        <v>54</v>
      </c>
      <c r="DJ9" s="24" t="s">
        <v>77</v>
      </c>
      <c r="DK9" s="25" t="s">
        <v>78</v>
      </c>
      <c r="DL9" s="26" t="s">
        <v>79</v>
      </c>
      <c r="DM9" s="25" t="s">
        <v>80</v>
      </c>
      <c r="DN9" s="14" t="s">
        <v>39</v>
      </c>
      <c r="DO9" s="15" t="s">
        <v>59</v>
      </c>
      <c r="DP9" s="16" t="s">
        <v>60</v>
      </c>
      <c r="DQ9" s="15" t="s">
        <v>61</v>
      </c>
      <c r="DR9" s="16" t="s">
        <v>62</v>
      </c>
      <c r="DS9" s="15" t="s">
        <v>63</v>
      </c>
      <c r="DT9" s="16" t="s">
        <v>64</v>
      </c>
      <c r="DU9" s="15" t="s">
        <v>65</v>
      </c>
      <c r="DV9" s="16" t="s">
        <v>66</v>
      </c>
      <c r="DW9" s="15" t="s">
        <v>67</v>
      </c>
      <c r="DX9" s="16" t="s">
        <v>68</v>
      </c>
      <c r="DY9" s="15" t="s">
        <v>40</v>
      </c>
      <c r="DZ9" s="16" t="s">
        <v>41</v>
      </c>
      <c r="EA9" s="15" t="s">
        <v>42</v>
      </c>
      <c r="EB9" s="16" t="s">
        <v>43</v>
      </c>
      <c r="EC9" s="15" t="s">
        <v>44</v>
      </c>
      <c r="ED9" s="16" t="s">
        <v>45</v>
      </c>
      <c r="EE9" s="15" t="s">
        <v>46</v>
      </c>
      <c r="EF9" s="16" t="s">
        <v>47</v>
      </c>
      <c r="EG9" s="15" t="s">
        <v>48</v>
      </c>
      <c r="EH9" s="16" t="s">
        <v>49</v>
      </c>
      <c r="EI9" s="15" t="s">
        <v>50</v>
      </c>
      <c r="EJ9" s="16" t="s">
        <v>51</v>
      </c>
      <c r="EK9" s="15" t="s">
        <v>52</v>
      </c>
      <c r="EL9" s="16" t="s">
        <v>53</v>
      </c>
      <c r="EM9" s="92" t="s">
        <v>54</v>
      </c>
      <c r="EN9" s="24" t="s">
        <v>81</v>
      </c>
      <c r="EO9" s="25" t="s">
        <v>82</v>
      </c>
      <c r="EP9" s="26" t="s">
        <v>83</v>
      </c>
      <c r="EQ9" s="25" t="s">
        <v>84</v>
      </c>
      <c r="ER9" s="853"/>
      <c r="ES9" s="853"/>
      <c r="ET9" s="855"/>
      <c r="EU9" s="856"/>
      <c r="EV9" s="847"/>
      <c r="EW9" s="1099"/>
      <c r="EX9" s="1100"/>
      <c r="EY9" s="1100"/>
      <c r="EZ9" s="1100"/>
      <c r="FA9" s="1101"/>
    </row>
    <row r="10" spans="1:159" s="98" customFormat="1" ht="21" thickBot="1" x14ac:dyDescent="0.3">
      <c r="A10" s="840" t="s">
        <v>531</v>
      </c>
      <c r="B10" s="843">
        <v>1</v>
      </c>
      <c r="C10" s="844" t="s">
        <v>148</v>
      </c>
      <c r="D10" s="845" t="s">
        <v>88</v>
      </c>
      <c r="E10" s="846">
        <v>274</v>
      </c>
      <c r="F10" s="93" t="s">
        <v>149</v>
      </c>
      <c r="G10" s="682">
        <f t="shared" ref="G10:G15" si="0">AA10+BA10+BF10+CJ10+DN10</f>
        <v>99.13</v>
      </c>
      <c r="H10" s="594">
        <v>12.5</v>
      </c>
      <c r="I10" s="595">
        <v>0</v>
      </c>
      <c r="J10" s="595">
        <v>0</v>
      </c>
      <c r="K10" s="594">
        <v>0</v>
      </c>
      <c r="L10" s="594">
        <v>0</v>
      </c>
      <c r="M10" s="596">
        <v>1.75</v>
      </c>
      <c r="N10" s="596">
        <v>1.75</v>
      </c>
      <c r="O10" s="594">
        <v>2</v>
      </c>
      <c r="P10" s="594">
        <v>2</v>
      </c>
      <c r="Q10" s="596">
        <v>3.75</v>
      </c>
      <c r="R10" s="596">
        <v>3.75</v>
      </c>
      <c r="S10" s="596">
        <v>1.88</v>
      </c>
      <c r="T10" s="596">
        <v>1.88</v>
      </c>
      <c r="U10" s="594">
        <v>3.12</v>
      </c>
      <c r="V10" s="594">
        <v>2.25</v>
      </c>
      <c r="W10" s="597">
        <f t="shared" ref="W10:W47" si="1">I10+K10+M10+O10+Q10+S10+U10</f>
        <v>12.5</v>
      </c>
      <c r="X10" s="597">
        <f t="shared" ref="X10:X47" si="2">I10+K10+M10+O10+Q10+S10+U10</f>
        <v>12.5</v>
      </c>
      <c r="Y10" s="598">
        <f t="shared" ref="Y10:Y47" si="3">J10+L10+N10+P10+R10+T10+V10</f>
        <v>11.629999999999999</v>
      </c>
      <c r="Z10" s="597">
        <f t="shared" ref="Z10:Z47" si="4">X10</f>
        <v>12.5</v>
      </c>
      <c r="AA10" s="598">
        <f t="shared" ref="AA10:AA47" si="5">Y10</f>
        <v>11.629999999999999</v>
      </c>
      <c r="AB10" s="594">
        <v>25</v>
      </c>
      <c r="AC10" s="594">
        <v>0</v>
      </c>
      <c r="AD10" s="594">
        <v>0</v>
      </c>
      <c r="AE10" s="594">
        <v>4</v>
      </c>
      <c r="AF10" s="594">
        <v>4</v>
      </c>
      <c r="AG10" s="594">
        <v>2</v>
      </c>
      <c r="AH10" s="594">
        <v>2</v>
      </c>
      <c r="AI10" s="596">
        <v>1.68</v>
      </c>
      <c r="AJ10" s="596">
        <v>1.68</v>
      </c>
      <c r="AK10" s="596">
        <v>1.19</v>
      </c>
      <c r="AL10" s="596">
        <v>1.19</v>
      </c>
      <c r="AM10" s="596">
        <v>3.08</v>
      </c>
      <c r="AN10" s="596">
        <v>2.08</v>
      </c>
      <c r="AO10" s="596">
        <v>3</v>
      </c>
      <c r="AP10" s="596">
        <v>2.2000000000000002</v>
      </c>
      <c r="AQ10" s="596">
        <v>3.2</v>
      </c>
      <c r="AR10" s="596">
        <v>5.5</v>
      </c>
      <c r="AS10" s="596">
        <v>2.15</v>
      </c>
      <c r="AT10" s="596">
        <v>2.4</v>
      </c>
      <c r="AU10" s="596">
        <v>1.7</v>
      </c>
      <c r="AV10" s="596">
        <v>1.5</v>
      </c>
      <c r="AW10" s="596">
        <v>1.5</v>
      </c>
      <c r="AX10" s="596">
        <v>1.1000000000000001</v>
      </c>
      <c r="AY10" s="596">
        <v>1.5</v>
      </c>
      <c r="AZ10" s="596">
        <v>1.1000000000000001</v>
      </c>
      <c r="BA10" s="599">
        <f>AC10+AE10+AG10+AI10+AK10+AM10+AO10+AQ10+AS10+AU10+AW10+AY10</f>
        <v>24.999999999999996</v>
      </c>
      <c r="BB10" s="599">
        <f>AC10+AE10+AG10+AI10+AK10+AM10+AO10+AQ10+AS10+AU10+AW10+AY10</f>
        <v>24.999999999999996</v>
      </c>
      <c r="BC10" s="598">
        <f>AD10+AF10+AH10+AJ10+AL10+AN10+AP10+AR10+AT10+AV10+AX10+AZ10</f>
        <v>24.75</v>
      </c>
      <c r="BD10" s="599">
        <f>AC10+AE10+AG10+AI10+AK10+AM10+AO10+AQ10+AS10+AU10+AW10+AY10</f>
        <v>24.999999999999996</v>
      </c>
      <c r="BE10" s="598">
        <f>AD10+AF10+AH10+AJ10+AL10+AN10+AP10+AR10+AT10+AV10+AX10+AZ10</f>
        <v>24.75</v>
      </c>
      <c r="BF10" s="597">
        <v>25</v>
      </c>
      <c r="BG10" s="597"/>
      <c r="BH10" s="594"/>
      <c r="BI10" s="597"/>
      <c r="BJ10" s="1082"/>
      <c r="BK10" s="597"/>
      <c r="BL10" s="594"/>
      <c r="BM10" s="597"/>
      <c r="BN10" s="594"/>
      <c r="BO10" s="597"/>
      <c r="BP10" s="594"/>
      <c r="BQ10" s="594"/>
      <c r="BR10" s="594"/>
      <c r="BS10" s="594"/>
      <c r="BT10" s="594"/>
      <c r="BU10" s="594"/>
      <c r="BV10" s="594"/>
      <c r="BW10" s="594"/>
      <c r="BX10" s="594"/>
      <c r="BY10" s="594"/>
      <c r="BZ10" s="594"/>
      <c r="CA10" s="594"/>
      <c r="CB10" s="594"/>
      <c r="CC10" s="594"/>
      <c r="CD10" s="594"/>
      <c r="CE10" s="597"/>
      <c r="CF10" s="597"/>
      <c r="CG10" s="597"/>
      <c r="CH10" s="597"/>
      <c r="CI10" s="597"/>
      <c r="CJ10" s="597">
        <v>25</v>
      </c>
      <c r="CK10" s="595"/>
      <c r="CL10" s="595"/>
      <c r="CM10" s="595"/>
      <c r="CN10" s="595"/>
      <c r="CO10" s="595"/>
      <c r="CP10" s="595"/>
      <c r="CQ10" s="595"/>
      <c r="CR10" s="595"/>
      <c r="CS10" s="595"/>
      <c r="CT10" s="595"/>
      <c r="CU10" s="595"/>
      <c r="CV10" s="595"/>
      <c r="CW10" s="595"/>
      <c r="CX10" s="595"/>
      <c r="CY10" s="595"/>
      <c r="CZ10" s="595"/>
      <c r="DA10" s="595"/>
      <c r="DB10" s="595"/>
      <c r="DC10" s="595"/>
      <c r="DD10" s="595"/>
      <c r="DE10" s="595"/>
      <c r="DF10" s="595"/>
      <c r="DG10" s="595"/>
      <c r="DH10" s="595"/>
      <c r="DI10" s="597">
        <f>DG10+DE10+DC10+DA10+CW10+CU10+CS10+CQ10+CO10+CM10+CK10</f>
        <v>0</v>
      </c>
      <c r="DJ10" s="597">
        <f>CK10+CM10+CO10+CQ10</f>
        <v>0</v>
      </c>
      <c r="DK10" s="597">
        <f>CL10+CN10+CP10+CR10</f>
        <v>0</v>
      </c>
      <c r="DL10" s="597">
        <f>DI10+BK10</f>
        <v>0</v>
      </c>
      <c r="DM10" s="597">
        <f>DK10+BK10</f>
        <v>0</v>
      </c>
      <c r="DN10" s="597">
        <v>12.5</v>
      </c>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5">
        <f>EK10+EI10+EG10+EE10+EA10+DY10+DW10+DU10+DS10+DQ10+DO10</f>
        <v>0</v>
      </c>
      <c r="EN10" s="95">
        <f>DO10+DQ10+DS10+DU10</f>
        <v>0</v>
      </c>
      <c r="EO10" s="95">
        <f>DP10+DR10+DT10+DV10</f>
        <v>0</v>
      </c>
      <c r="EP10" s="95">
        <f>EM10+CO10</f>
        <v>0</v>
      </c>
      <c r="EQ10" s="96">
        <f>EO10+CO10</f>
        <v>0</v>
      </c>
      <c r="ER10" s="501">
        <f t="shared" ref="ER10:ER44" si="6">AZ10/AY10</f>
        <v>0.73333333333333339</v>
      </c>
      <c r="ES10" s="791">
        <f t="shared" ref="ES10:ES33" si="7">BC10/BB10</f>
        <v>0.9900000000000001</v>
      </c>
      <c r="ET10" s="506">
        <f t="shared" ref="ET10:ET33" si="8">BE10/BD10</f>
        <v>0.9900000000000001</v>
      </c>
      <c r="EU10" s="503">
        <f t="shared" ref="EU10:EU33" si="9">(BC10+AA10)/(Z10+BB10)</f>
        <v>0.97013333333333318</v>
      </c>
      <c r="EV10" s="97">
        <f t="shared" ref="EV10:EV33" si="10">(BC10+AA10)/G10</f>
        <v>0.36699283768788454</v>
      </c>
      <c r="EW10" s="1102" t="s">
        <v>573</v>
      </c>
      <c r="EX10" s="1103" t="s">
        <v>566</v>
      </c>
      <c r="EY10" s="1103" t="s">
        <v>545</v>
      </c>
      <c r="EZ10" s="1103" t="s">
        <v>150</v>
      </c>
      <c r="FA10" s="1104" t="s">
        <v>97</v>
      </c>
      <c r="FB10" s="1094"/>
    </row>
    <row r="11" spans="1:159" s="105" customFormat="1" ht="21" thickBot="1" x14ac:dyDescent="0.3">
      <c r="A11" s="841"/>
      <c r="B11" s="843"/>
      <c r="C11" s="844"/>
      <c r="D11" s="845"/>
      <c r="E11" s="846"/>
      <c r="F11" s="99" t="s">
        <v>151</v>
      </c>
      <c r="G11" s="682">
        <f t="shared" si="0"/>
        <v>5537897900</v>
      </c>
      <c r="H11" s="600">
        <v>455600000</v>
      </c>
      <c r="I11" s="600">
        <v>0</v>
      </c>
      <c r="J11" s="600">
        <v>0</v>
      </c>
      <c r="K11" s="600">
        <v>0</v>
      </c>
      <c r="L11" s="600">
        <v>0</v>
      </c>
      <c r="M11" s="600">
        <v>244396000</v>
      </c>
      <c r="N11" s="600">
        <v>244396000</v>
      </c>
      <c r="O11" s="600">
        <v>33631900</v>
      </c>
      <c r="P11" s="600">
        <v>33631900</v>
      </c>
      <c r="Q11" s="600">
        <v>0</v>
      </c>
      <c r="R11" s="600">
        <v>0</v>
      </c>
      <c r="S11" s="600">
        <v>0</v>
      </c>
      <c r="T11" s="600">
        <v>0</v>
      </c>
      <c r="U11" s="600">
        <v>275730100</v>
      </c>
      <c r="V11" s="600">
        <v>245217000</v>
      </c>
      <c r="W11" s="601">
        <f t="shared" si="1"/>
        <v>553758000</v>
      </c>
      <c r="X11" s="601">
        <f t="shared" si="2"/>
        <v>553758000</v>
      </c>
      <c r="Y11" s="601">
        <f t="shared" si="3"/>
        <v>523244900</v>
      </c>
      <c r="Z11" s="601">
        <f t="shared" si="4"/>
        <v>553758000</v>
      </c>
      <c r="AA11" s="601">
        <f t="shared" si="5"/>
        <v>523244900</v>
      </c>
      <c r="AB11" s="600">
        <v>976080000</v>
      </c>
      <c r="AC11" s="600">
        <v>0</v>
      </c>
      <c r="AD11" s="600">
        <v>0</v>
      </c>
      <c r="AE11" s="600">
        <v>274270000</v>
      </c>
      <c r="AF11" s="600">
        <v>274270000</v>
      </c>
      <c r="AG11" s="600">
        <v>349137000</v>
      </c>
      <c r="AH11" s="600">
        <v>349137000</v>
      </c>
      <c r="AI11" s="600">
        <v>50167000</v>
      </c>
      <c r="AJ11" s="600">
        <v>50167000</v>
      </c>
      <c r="AK11" s="600">
        <v>0</v>
      </c>
      <c r="AL11" s="600">
        <v>0</v>
      </c>
      <c r="AM11" s="600">
        <v>215435000</v>
      </c>
      <c r="AN11" s="600">
        <v>148606000</v>
      </c>
      <c r="AO11" s="600">
        <v>0</v>
      </c>
      <c r="AP11" s="600">
        <v>19180000</v>
      </c>
      <c r="AQ11" s="600">
        <v>20000000</v>
      </c>
      <c r="AR11" s="600">
        <v>0</v>
      </c>
      <c r="AS11" s="600">
        <v>0</v>
      </c>
      <c r="AT11" s="600">
        <v>56203267</v>
      </c>
      <c r="AU11" s="600">
        <v>0</v>
      </c>
      <c r="AV11" s="600">
        <v>4895733</v>
      </c>
      <c r="AW11" s="600">
        <v>10000000</v>
      </c>
      <c r="AX11" s="600">
        <v>1146000</v>
      </c>
      <c r="AY11" s="600">
        <f>19519000+18000000</f>
        <v>37519000</v>
      </c>
      <c r="AZ11" s="600">
        <v>33838033</v>
      </c>
      <c r="BA11" s="601">
        <f t="shared" ref="BA11:BA44" si="11">AC11+AE11+AG11+AI11+AK11+AM11+AO11+AQ11+AS11+AU11+AW11+AY11</f>
        <v>956528000</v>
      </c>
      <c r="BB11" s="601">
        <f t="shared" ref="BB11:BB47" si="12">AC11+AE11+AG11+AI11+AK11+AM11+AO11+AQ11+AS11+AU11+AW11+AY11</f>
        <v>956528000</v>
      </c>
      <c r="BC11" s="601">
        <f t="shared" ref="BC11:BC47" si="13">AD11+AF11+AH11+AJ11+AL11+AN11+AP11+AR11+AT11+AV11+AX11+AZ11</f>
        <v>937443033</v>
      </c>
      <c r="BD11" s="601">
        <f t="shared" ref="BD11:BD24" si="14">AC11+AE11+AG11+AI11+AK11+AM11+AO11+AQ11+AS11+AU11+AW11+AY11</f>
        <v>956528000</v>
      </c>
      <c r="BE11" s="601">
        <f t="shared" ref="BE11:BE47" si="15">AD11+AF11+AH11+AJ11+AL11+AN11+AP11+AR11+AT11+AV11+AX11+AZ11</f>
        <v>937443033</v>
      </c>
      <c r="BF11" s="601">
        <v>1967432000</v>
      </c>
      <c r="BG11" s="602"/>
      <c r="BH11" s="602"/>
      <c r="BI11" s="603"/>
      <c r="BJ11" s="603"/>
      <c r="BK11" s="602"/>
      <c r="BL11" s="602"/>
      <c r="BM11" s="602"/>
      <c r="BN11" s="603"/>
      <c r="BO11" s="603"/>
      <c r="BP11" s="603"/>
      <c r="BQ11" s="603"/>
      <c r="BR11" s="603"/>
      <c r="BS11" s="603"/>
      <c r="BT11" s="603"/>
      <c r="BU11" s="603"/>
      <c r="BV11" s="603"/>
      <c r="BW11" s="603"/>
      <c r="BX11" s="603"/>
      <c r="BY11" s="603"/>
      <c r="BZ11" s="603"/>
      <c r="CA11" s="603"/>
      <c r="CB11" s="603"/>
      <c r="CC11" s="603"/>
      <c r="CD11" s="603"/>
      <c r="CE11" s="601"/>
      <c r="CF11" s="603"/>
      <c r="CG11" s="603"/>
      <c r="CH11" s="603"/>
      <c r="CI11" s="604"/>
      <c r="CJ11" s="601">
        <v>1371654000</v>
      </c>
      <c r="CK11" s="604"/>
      <c r="CL11" s="604"/>
      <c r="CM11" s="604"/>
      <c r="CN11" s="604"/>
      <c r="CO11" s="604"/>
      <c r="CP11" s="604"/>
      <c r="CQ11" s="604"/>
      <c r="CR11" s="604"/>
      <c r="CS11" s="604"/>
      <c r="CT11" s="604"/>
      <c r="CU11" s="604"/>
      <c r="CV11" s="604"/>
      <c r="CW11" s="604"/>
      <c r="CX11" s="604"/>
      <c r="CY11" s="604"/>
      <c r="CZ11" s="604"/>
      <c r="DA11" s="604"/>
      <c r="DB11" s="604"/>
      <c r="DC11" s="604"/>
      <c r="DD11" s="604"/>
      <c r="DE11" s="604"/>
      <c r="DF11" s="604"/>
      <c r="DG11" s="604"/>
      <c r="DH11" s="604"/>
      <c r="DI11" s="601">
        <f>DG11+DE11+DC11+DA11+CY11+CW11+CU11+CS11+CQ11+CO11+CM11+CK11</f>
        <v>0</v>
      </c>
      <c r="DJ11" s="603">
        <f>CK11+CM11+CO11+CQ11</f>
        <v>0</v>
      </c>
      <c r="DK11" s="603">
        <f>CL11+CN11+CP11+CR11</f>
        <v>0</v>
      </c>
      <c r="DL11" s="603">
        <f>CK11+CM11+CO11+CQ11+CS11+CU11+CW11+CY11+DA11+DE11+DG11</f>
        <v>0</v>
      </c>
      <c r="DM11" s="604">
        <f>CL11+CN11+CP11+CR11</f>
        <v>0</v>
      </c>
      <c r="DN11" s="601">
        <v>719039000</v>
      </c>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1">
        <f>EK11+EI11+EG11+EE11+EC11+EA11+DY11+DW11+DU11+DS11+DQ11+DO11</f>
        <v>0</v>
      </c>
      <c r="EN11" s="102">
        <f>DO11+DQ11+DS11+DU11</f>
        <v>0</v>
      </c>
      <c r="EO11" s="102">
        <f>DP11+DR11+DT11+DV11</f>
        <v>0</v>
      </c>
      <c r="EP11" s="102">
        <f>DO11+DQ11+DS11+DU11+DW11+DY11+EA11+EC11+EE11+EI11+EK11</f>
        <v>0</v>
      </c>
      <c r="EQ11" s="103">
        <f>DP11+DR11+DT11+DV11</f>
        <v>0</v>
      </c>
      <c r="ER11" s="502">
        <f t="shared" si="6"/>
        <v>0.90189058876835737</v>
      </c>
      <c r="ES11" s="792">
        <f t="shared" si="7"/>
        <v>0.98004766509710117</v>
      </c>
      <c r="ET11" s="506">
        <f t="shared" si="8"/>
        <v>0.98004766509710117</v>
      </c>
      <c r="EU11" s="504">
        <f t="shared" si="9"/>
        <v>0.9671598180741926</v>
      </c>
      <c r="EV11" s="104">
        <f t="shared" si="10"/>
        <v>0.26376216379865003</v>
      </c>
      <c r="EW11" s="1105"/>
      <c r="EX11" s="1106"/>
      <c r="EY11" s="1106"/>
      <c r="EZ11" s="1106"/>
      <c r="FA11" s="1107"/>
      <c r="FB11" s="1094"/>
      <c r="FC11" s="98"/>
    </row>
    <row r="12" spans="1:159" s="105" customFormat="1" ht="18.75" thickBot="1" x14ac:dyDescent="0.3">
      <c r="A12" s="841"/>
      <c r="B12" s="843"/>
      <c r="C12" s="844"/>
      <c r="D12" s="845"/>
      <c r="E12" s="846"/>
      <c r="F12" s="99" t="s">
        <v>152</v>
      </c>
      <c r="G12" s="682"/>
      <c r="H12" s="600"/>
      <c r="I12" s="600"/>
      <c r="J12" s="600"/>
      <c r="K12" s="600"/>
      <c r="L12" s="600"/>
      <c r="M12" s="600"/>
      <c r="N12" s="600"/>
      <c r="O12" s="600"/>
      <c r="P12" s="600"/>
      <c r="Q12" s="600"/>
      <c r="R12" s="600"/>
      <c r="S12" s="600"/>
      <c r="T12" s="600"/>
      <c r="U12" s="600"/>
      <c r="V12" s="600"/>
      <c r="W12" s="605">
        <f t="shared" si="1"/>
        <v>0</v>
      </c>
      <c r="X12" s="605">
        <f t="shared" si="2"/>
        <v>0</v>
      </c>
      <c r="Y12" s="605">
        <f t="shared" si="3"/>
        <v>0</v>
      </c>
      <c r="Z12" s="601">
        <f t="shared" si="4"/>
        <v>0</v>
      </c>
      <c r="AA12" s="601">
        <f t="shared" si="5"/>
        <v>0</v>
      </c>
      <c r="AB12" s="600">
        <v>976080000</v>
      </c>
      <c r="AC12" s="600"/>
      <c r="AD12" s="600"/>
      <c r="AE12" s="600">
        <v>824100</v>
      </c>
      <c r="AF12" s="600">
        <v>824100</v>
      </c>
      <c r="AG12" s="600">
        <v>2654933</v>
      </c>
      <c r="AH12" s="600">
        <v>2654933</v>
      </c>
      <c r="AI12" s="600">
        <v>52880432</v>
      </c>
      <c r="AJ12" s="600">
        <v>52880432</v>
      </c>
      <c r="AK12" s="600">
        <v>60871634</v>
      </c>
      <c r="AL12" s="600">
        <v>60871634</v>
      </c>
      <c r="AM12" s="600">
        <v>96258333</v>
      </c>
      <c r="AN12" s="600">
        <v>81144100</v>
      </c>
      <c r="AO12" s="600">
        <v>81906900</v>
      </c>
      <c r="AP12" s="600">
        <v>69803400</v>
      </c>
      <c r="AQ12" s="600">
        <v>148724900</v>
      </c>
      <c r="AR12" s="600">
        <v>89734542</v>
      </c>
      <c r="AS12" s="600">
        <v>101127000</v>
      </c>
      <c r="AT12" s="600">
        <v>81692515</v>
      </c>
      <c r="AU12" s="600">
        <v>111127000</v>
      </c>
      <c r="AV12" s="600">
        <v>105082707</v>
      </c>
      <c r="AW12" s="600">
        <v>121127000</v>
      </c>
      <c r="AX12" s="600">
        <v>101851965</v>
      </c>
      <c r="AY12" s="600">
        <f>161025768+18000000</f>
        <v>179025768</v>
      </c>
      <c r="AZ12" s="600">
        <v>166704462</v>
      </c>
      <c r="BA12" s="601">
        <f t="shared" si="11"/>
        <v>956528000</v>
      </c>
      <c r="BB12" s="601">
        <f t="shared" si="12"/>
        <v>956528000</v>
      </c>
      <c r="BC12" s="601">
        <f t="shared" si="13"/>
        <v>813244790</v>
      </c>
      <c r="BD12" s="601">
        <f t="shared" si="14"/>
        <v>956528000</v>
      </c>
      <c r="BE12" s="601">
        <f t="shared" si="15"/>
        <v>813244790</v>
      </c>
      <c r="BF12" s="601"/>
      <c r="BG12" s="603"/>
      <c r="BH12" s="603"/>
      <c r="BI12" s="602"/>
      <c r="BJ12" s="603"/>
      <c r="BK12" s="602"/>
      <c r="BL12" s="603"/>
      <c r="BM12" s="602"/>
      <c r="BN12" s="603"/>
      <c r="BO12" s="602"/>
      <c r="BP12" s="603"/>
      <c r="BQ12" s="603"/>
      <c r="BR12" s="603"/>
      <c r="BS12" s="603"/>
      <c r="BT12" s="603"/>
      <c r="BU12" s="603"/>
      <c r="BV12" s="603"/>
      <c r="BW12" s="603"/>
      <c r="BX12" s="603"/>
      <c r="BY12" s="603"/>
      <c r="BZ12" s="603"/>
      <c r="CA12" s="603"/>
      <c r="CB12" s="603"/>
      <c r="CC12" s="603"/>
      <c r="CD12" s="603"/>
      <c r="CE12" s="601"/>
      <c r="CF12" s="603"/>
      <c r="CG12" s="603"/>
      <c r="CH12" s="603"/>
      <c r="CI12" s="604"/>
      <c r="CJ12" s="601"/>
      <c r="CK12" s="604"/>
      <c r="CL12" s="604"/>
      <c r="CM12" s="604"/>
      <c r="CN12" s="604"/>
      <c r="CO12" s="604"/>
      <c r="CP12" s="604"/>
      <c r="CQ12" s="604"/>
      <c r="CR12" s="604"/>
      <c r="CS12" s="604"/>
      <c r="CT12" s="604"/>
      <c r="CU12" s="604"/>
      <c r="CV12" s="604"/>
      <c r="CW12" s="604"/>
      <c r="CX12" s="604"/>
      <c r="CY12" s="604"/>
      <c r="CZ12" s="604"/>
      <c r="DA12" s="604"/>
      <c r="DB12" s="604"/>
      <c r="DC12" s="604"/>
      <c r="DD12" s="604"/>
      <c r="DE12" s="604"/>
      <c r="DF12" s="604"/>
      <c r="DG12" s="604"/>
      <c r="DH12" s="604"/>
      <c r="DI12" s="601">
        <f>DE12+DC12+DA12+CY12+CW12+CU12+CS12+CQ12+CO12+CM12+CK12+DG12</f>
        <v>0</v>
      </c>
      <c r="DJ12" s="603">
        <f>+CK12+CM12+CO12+CQ12</f>
        <v>0</v>
      </c>
      <c r="DK12" s="603">
        <f>CL12+CN12+CP12+CR12</f>
        <v>0</v>
      </c>
      <c r="DL12" s="603">
        <f>CM12+CO12+CQ12+CS12+CU12+CW12+CY12+DA12+DC12+DE12+DG12</f>
        <v>0</v>
      </c>
      <c r="DM12" s="604">
        <f>CL12+CN12+CP12+CR12</f>
        <v>0</v>
      </c>
      <c r="DN12" s="601"/>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6">
        <f>EI12+EG12+EE12+EC12+EA12+DY12+DW12+DU12+DS12+DQ12+DO12+EK12</f>
        <v>0</v>
      </c>
      <c r="EN12" s="102">
        <f>+DO12+DQ12+DS12+DU12</f>
        <v>0</v>
      </c>
      <c r="EO12" s="102">
        <f>DP12+DR12+DT12+DV12</f>
        <v>0</v>
      </c>
      <c r="EP12" s="102">
        <f>DQ12+DS12+DU12+DW12+DY12+EA12+EC12+EE12+EG12+EI12+EK12</f>
        <v>0</v>
      </c>
      <c r="EQ12" s="103">
        <f>DP12+DR12+DT12+DV12</f>
        <v>0</v>
      </c>
      <c r="ER12" s="502">
        <f t="shared" si="6"/>
        <v>0.93117579587760801</v>
      </c>
      <c r="ES12" s="792">
        <f t="shared" si="7"/>
        <v>0.85020489729521775</v>
      </c>
      <c r="ET12" s="506">
        <f t="shared" si="8"/>
        <v>0.85020489729521775</v>
      </c>
      <c r="EU12" s="505">
        <f t="shared" si="9"/>
        <v>0.85020489729521775</v>
      </c>
      <c r="EV12" s="104" t="e">
        <f t="shared" si="10"/>
        <v>#DIV/0!</v>
      </c>
      <c r="EW12" s="1105"/>
      <c r="EX12" s="1106"/>
      <c r="EY12" s="1106"/>
      <c r="EZ12" s="1106"/>
      <c r="FA12" s="1107"/>
      <c r="FB12" s="1094"/>
      <c r="FC12" s="98"/>
    </row>
    <row r="13" spans="1:159" s="98" customFormat="1" ht="18.75" thickBot="1" x14ac:dyDescent="0.3">
      <c r="A13" s="841"/>
      <c r="B13" s="843"/>
      <c r="C13" s="844"/>
      <c r="D13" s="845"/>
      <c r="E13" s="846"/>
      <c r="F13" s="107" t="s">
        <v>153</v>
      </c>
      <c r="G13" s="682">
        <f t="shared" si="0"/>
        <v>0.87</v>
      </c>
      <c r="H13" s="606"/>
      <c r="I13" s="606"/>
      <c r="J13" s="606"/>
      <c r="K13" s="606"/>
      <c r="L13" s="606"/>
      <c r="M13" s="606"/>
      <c r="N13" s="606"/>
      <c r="O13" s="606"/>
      <c r="P13" s="607"/>
      <c r="Q13" s="606"/>
      <c r="R13" s="606"/>
      <c r="S13" s="606"/>
      <c r="T13" s="606"/>
      <c r="U13" s="607"/>
      <c r="V13" s="607"/>
      <c r="W13" s="605">
        <f t="shared" si="1"/>
        <v>0</v>
      </c>
      <c r="X13" s="605">
        <f t="shared" si="2"/>
        <v>0</v>
      </c>
      <c r="Y13" s="605">
        <f t="shared" si="3"/>
        <v>0</v>
      </c>
      <c r="Z13" s="601">
        <f t="shared" si="4"/>
        <v>0</v>
      </c>
      <c r="AA13" s="601">
        <f t="shared" si="5"/>
        <v>0</v>
      </c>
      <c r="AB13" s="30">
        <v>0.87</v>
      </c>
      <c r="AC13" s="30">
        <v>0.87</v>
      </c>
      <c r="AD13" s="30">
        <v>0.87</v>
      </c>
      <c r="AE13" s="30">
        <v>0</v>
      </c>
      <c r="AF13" s="30">
        <v>0</v>
      </c>
      <c r="AG13" s="30">
        <v>0</v>
      </c>
      <c r="AH13" s="30">
        <v>0</v>
      </c>
      <c r="AI13" s="30">
        <v>0</v>
      </c>
      <c r="AJ13" s="30">
        <v>0</v>
      </c>
      <c r="AK13" s="30">
        <v>0</v>
      </c>
      <c r="AL13" s="30">
        <v>0</v>
      </c>
      <c r="AM13" s="30"/>
      <c r="AN13" s="30"/>
      <c r="AO13" s="30"/>
      <c r="AP13" s="30"/>
      <c r="AQ13" s="30"/>
      <c r="AR13" s="30"/>
      <c r="AS13" s="30"/>
      <c r="AT13" s="30"/>
      <c r="AU13" s="30"/>
      <c r="AV13" s="30"/>
      <c r="AW13" s="30"/>
      <c r="AX13" s="30"/>
      <c r="AY13" s="608"/>
      <c r="AZ13" s="609"/>
      <c r="BA13" s="610">
        <f t="shared" si="11"/>
        <v>0.87</v>
      </c>
      <c r="BB13" s="610">
        <f t="shared" si="12"/>
        <v>0.87</v>
      </c>
      <c r="BC13" s="610">
        <f t="shared" si="13"/>
        <v>0.87</v>
      </c>
      <c r="BD13" s="610">
        <f t="shared" si="14"/>
        <v>0.87</v>
      </c>
      <c r="BE13" s="610">
        <f t="shared" si="15"/>
        <v>0.87</v>
      </c>
      <c r="BF13" s="605"/>
      <c r="BG13" s="30"/>
      <c r="BH13" s="611"/>
      <c r="BI13" s="30"/>
      <c r="BJ13" s="611"/>
      <c r="BK13" s="30"/>
      <c r="BL13" s="611"/>
      <c r="BM13" s="30"/>
      <c r="BN13" s="611"/>
      <c r="BO13" s="30"/>
      <c r="BP13" s="611"/>
      <c r="BQ13" s="30"/>
      <c r="BR13" s="611"/>
      <c r="BS13" s="30"/>
      <c r="BT13" s="611"/>
      <c r="BU13" s="30"/>
      <c r="BV13" s="611"/>
      <c r="BW13" s="30"/>
      <c r="BX13" s="611"/>
      <c r="BY13" s="30"/>
      <c r="BZ13" s="611"/>
      <c r="CA13" s="30"/>
      <c r="CB13" s="611"/>
      <c r="CC13" s="612"/>
      <c r="CD13" s="611"/>
      <c r="CE13" s="611"/>
      <c r="CF13" s="613"/>
      <c r="CG13" s="613"/>
      <c r="CH13" s="613"/>
      <c r="CI13" s="611"/>
      <c r="CJ13" s="605"/>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611"/>
      <c r="DJ13" s="613">
        <f>CK13+CM13+CO13+CQ13</f>
        <v>0</v>
      </c>
      <c r="DK13" s="613">
        <f>CL13+CN13+CP13+CR13</f>
        <v>0</v>
      </c>
      <c r="DL13" s="613">
        <f>CM13+CO13+CQ13+CS13+CU13+CW13+CY13+DA13+DC13+DE13+DG13</f>
        <v>0</v>
      </c>
      <c r="DM13" s="611">
        <v>0</v>
      </c>
      <c r="DN13" s="605"/>
      <c r="DO13" s="109"/>
      <c r="DP13" s="109"/>
      <c r="DQ13" s="109"/>
      <c r="DR13" s="109"/>
      <c r="DS13" s="109"/>
      <c r="DT13" s="109"/>
      <c r="DU13" s="109"/>
      <c r="DV13" s="109"/>
      <c r="DW13" s="109"/>
      <c r="DX13" s="109"/>
      <c r="DY13" s="109"/>
      <c r="DZ13" s="109"/>
      <c r="EA13" s="109"/>
      <c r="EB13" s="109"/>
      <c r="EC13" s="109"/>
      <c r="ED13" s="109"/>
      <c r="EE13" s="109"/>
      <c r="EF13" s="109"/>
      <c r="EG13" s="108"/>
      <c r="EH13" s="109"/>
      <c r="EI13" s="108"/>
      <c r="EJ13" s="109"/>
      <c r="EK13" s="108"/>
      <c r="EL13" s="109"/>
      <c r="EM13" s="110"/>
      <c r="EN13" s="111">
        <f>DO13+DQ13+DS13+DU13</f>
        <v>0</v>
      </c>
      <c r="EO13" s="111">
        <f>DP13+DR13+DT13+DV13</f>
        <v>0</v>
      </c>
      <c r="EP13" s="111">
        <f>DQ13+DS13+DU13+DW13+DY13+EA13+EC13+EE13+EG13+EI13+EK13</f>
        <v>0</v>
      </c>
      <c r="EQ13" s="110">
        <v>0</v>
      </c>
      <c r="ER13" s="502" t="e">
        <f t="shared" si="6"/>
        <v>#DIV/0!</v>
      </c>
      <c r="ES13" s="792">
        <f t="shared" si="7"/>
        <v>1</v>
      </c>
      <c r="ET13" s="506">
        <f t="shared" si="8"/>
        <v>1</v>
      </c>
      <c r="EU13" s="505">
        <f t="shared" si="9"/>
        <v>1</v>
      </c>
      <c r="EV13" s="112">
        <f t="shared" si="10"/>
        <v>1</v>
      </c>
      <c r="EW13" s="1105"/>
      <c r="EX13" s="1106"/>
      <c r="EY13" s="1106"/>
      <c r="EZ13" s="1106"/>
      <c r="FA13" s="1107"/>
      <c r="FB13" s="1094"/>
    </row>
    <row r="14" spans="1:159" s="105" customFormat="1" ht="18.75" thickBot="1" x14ac:dyDescent="0.3">
      <c r="A14" s="841"/>
      <c r="B14" s="843"/>
      <c r="C14" s="844"/>
      <c r="D14" s="845"/>
      <c r="E14" s="846"/>
      <c r="F14" s="99" t="s">
        <v>154</v>
      </c>
      <c r="G14" s="682">
        <f t="shared" si="0"/>
        <v>288678333</v>
      </c>
      <c r="H14" s="606"/>
      <c r="I14" s="606"/>
      <c r="J14" s="606"/>
      <c r="K14" s="606"/>
      <c r="L14" s="606"/>
      <c r="M14" s="606"/>
      <c r="N14" s="606"/>
      <c r="O14" s="606"/>
      <c r="P14" s="606"/>
      <c r="Q14" s="606"/>
      <c r="R14" s="606"/>
      <c r="S14" s="606"/>
      <c r="T14" s="606"/>
      <c r="U14" s="606"/>
      <c r="V14" s="606"/>
      <c r="W14" s="605">
        <f t="shared" si="1"/>
        <v>0</v>
      </c>
      <c r="X14" s="605">
        <f t="shared" si="2"/>
        <v>0</v>
      </c>
      <c r="Y14" s="605">
        <f t="shared" si="3"/>
        <v>0</v>
      </c>
      <c r="Z14" s="601">
        <f t="shared" si="4"/>
        <v>0</v>
      </c>
      <c r="AA14" s="601">
        <f t="shared" si="5"/>
        <v>0</v>
      </c>
      <c r="AB14" s="612">
        <v>289222933</v>
      </c>
      <c r="AC14" s="612">
        <v>61199300</v>
      </c>
      <c r="AD14" s="612">
        <v>61199300</v>
      </c>
      <c r="AE14" s="612">
        <v>119469859.34</v>
      </c>
      <c r="AF14" s="612">
        <v>119469859.34</v>
      </c>
      <c r="AG14" s="612">
        <v>89285766.659999996</v>
      </c>
      <c r="AH14" s="612">
        <v>89285766.659999996</v>
      </c>
      <c r="AI14" s="612">
        <v>2754567</v>
      </c>
      <c r="AJ14" s="612">
        <v>2754567</v>
      </c>
      <c r="AK14" s="612">
        <v>15968840</v>
      </c>
      <c r="AL14" s="612">
        <v>15968840</v>
      </c>
      <c r="AM14" s="612">
        <v>544600</v>
      </c>
      <c r="AN14" s="612"/>
      <c r="AO14" s="612"/>
      <c r="AP14" s="612"/>
      <c r="AQ14" s="612">
        <v>-544600</v>
      </c>
      <c r="AR14" s="612"/>
      <c r="AS14" s="612"/>
      <c r="AT14" s="612"/>
      <c r="AU14" s="612"/>
      <c r="AV14" s="612"/>
      <c r="AW14" s="612"/>
      <c r="AX14" s="612"/>
      <c r="AY14" s="612"/>
      <c r="AZ14" s="612"/>
      <c r="BA14" s="601">
        <f>AC14+AE14+AG14+AI14+AK14+AM14+AO14+AQ14+AS14+AU14+AW14+AY14</f>
        <v>288678333</v>
      </c>
      <c r="BB14" s="601">
        <f t="shared" si="12"/>
        <v>288678333</v>
      </c>
      <c r="BC14" s="601">
        <f t="shared" si="13"/>
        <v>288678333</v>
      </c>
      <c r="BD14" s="601">
        <f t="shared" si="14"/>
        <v>288678333</v>
      </c>
      <c r="BE14" s="601">
        <f t="shared" si="15"/>
        <v>288678333</v>
      </c>
      <c r="BF14" s="605"/>
      <c r="BG14" s="614"/>
      <c r="BH14" s="614"/>
      <c r="BI14" s="614"/>
      <c r="BJ14" s="614"/>
      <c r="BK14" s="614"/>
      <c r="BL14" s="614"/>
      <c r="BM14" s="614"/>
      <c r="BN14" s="614"/>
      <c r="BO14" s="614"/>
      <c r="BP14" s="614"/>
      <c r="BQ14" s="614"/>
      <c r="BR14" s="614"/>
      <c r="BS14" s="614"/>
      <c r="BT14" s="614"/>
      <c r="BU14" s="614"/>
      <c r="BV14" s="614"/>
      <c r="BW14" s="614"/>
      <c r="BX14" s="614"/>
      <c r="BY14" s="614"/>
      <c r="BZ14" s="614"/>
      <c r="CA14" s="614"/>
      <c r="CB14" s="614"/>
      <c r="CC14" s="614"/>
      <c r="CD14" s="614"/>
      <c r="CE14" s="615"/>
      <c r="CF14" s="614"/>
      <c r="CG14" s="616"/>
      <c r="CH14" s="614"/>
      <c r="CI14" s="617"/>
      <c r="CJ14" s="605"/>
      <c r="CK14" s="618"/>
      <c r="CL14" s="618"/>
      <c r="CM14" s="618"/>
      <c r="CN14" s="618"/>
      <c r="CO14" s="618"/>
      <c r="CP14" s="618"/>
      <c r="CQ14" s="618"/>
      <c r="CR14" s="618"/>
      <c r="CS14" s="618"/>
      <c r="CT14" s="618"/>
      <c r="CU14" s="618"/>
      <c r="CV14" s="618"/>
      <c r="CW14" s="618"/>
      <c r="CX14" s="618"/>
      <c r="CY14" s="618"/>
      <c r="CZ14" s="618"/>
      <c r="DA14" s="618"/>
      <c r="DB14" s="618"/>
      <c r="DC14" s="618"/>
      <c r="DD14" s="618"/>
      <c r="DE14" s="618"/>
      <c r="DF14" s="618"/>
      <c r="DG14" s="618"/>
      <c r="DH14" s="618"/>
      <c r="DI14" s="615">
        <f>DE14+DC14+DA14+CY14+CW14+CU14+CS14+CQ14+CO14+CM14+CK14+DG14</f>
        <v>0</v>
      </c>
      <c r="DJ14" s="614">
        <f>CK14+CM14+CO14+CQ14</f>
        <v>0</v>
      </c>
      <c r="DK14" s="616">
        <f>CL14+CN14+CP14+CR14</f>
        <v>0</v>
      </c>
      <c r="DL14" s="614">
        <f>CM14+CO14+CQ14+CS14+CU14+CW14+CY14+DA14+DC14+DE14+DG14+CK14</f>
        <v>0</v>
      </c>
      <c r="DM14" s="617">
        <f>CL14+CN14+CP14+CR14</f>
        <v>0</v>
      </c>
      <c r="DN14" s="605"/>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48">
        <f>EI14+EG14+EE14+EC14+EA14+DY14+DW14+DU14+DS14+DQ14+DO14+EK14</f>
        <v>0</v>
      </c>
      <c r="EN14" s="102">
        <f>DO14+DQ14+DS14+DU14</f>
        <v>0</v>
      </c>
      <c r="EO14" s="114">
        <f>DP14+DR14+DT14+DV14</f>
        <v>0</v>
      </c>
      <c r="EP14" s="102">
        <f>DQ14+DS14+DU14+DW14+DY14+EA14+EC14+EE14+EG14+EI14+EK14+DO14</f>
        <v>0</v>
      </c>
      <c r="EQ14" s="103">
        <f>DP14+DR14+DT14+DV14</f>
        <v>0</v>
      </c>
      <c r="ER14" s="502" t="e">
        <f t="shared" si="6"/>
        <v>#DIV/0!</v>
      </c>
      <c r="ES14" s="792">
        <f t="shared" si="7"/>
        <v>1</v>
      </c>
      <c r="ET14" s="506">
        <f t="shared" si="8"/>
        <v>1</v>
      </c>
      <c r="EU14" s="505">
        <f t="shared" si="9"/>
        <v>1</v>
      </c>
      <c r="EV14" s="104">
        <f t="shared" si="10"/>
        <v>1</v>
      </c>
      <c r="EW14" s="1105"/>
      <c r="EX14" s="1106"/>
      <c r="EY14" s="1106"/>
      <c r="EZ14" s="1106"/>
      <c r="FA14" s="1107"/>
      <c r="FB14" s="1094"/>
      <c r="FC14" s="98"/>
    </row>
    <row r="15" spans="1:159" s="98" customFormat="1" ht="18.75" thickBot="1" x14ac:dyDescent="0.3">
      <c r="A15" s="841"/>
      <c r="B15" s="843"/>
      <c r="C15" s="844"/>
      <c r="D15" s="845"/>
      <c r="E15" s="846"/>
      <c r="F15" s="107" t="s">
        <v>155</v>
      </c>
      <c r="G15" s="682">
        <f t="shared" si="0"/>
        <v>100</v>
      </c>
      <c r="H15" s="634">
        <v>12.5</v>
      </c>
      <c r="I15" s="635">
        <v>0</v>
      </c>
      <c r="J15" s="635">
        <v>0</v>
      </c>
      <c r="K15" s="636">
        <f t="shared" ref="K15:V15" si="16">K10+K13</f>
        <v>0</v>
      </c>
      <c r="L15" s="636">
        <f t="shared" si="16"/>
        <v>0</v>
      </c>
      <c r="M15" s="637">
        <f t="shared" si="16"/>
        <v>1.75</v>
      </c>
      <c r="N15" s="637">
        <f t="shared" si="16"/>
        <v>1.75</v>
      </c>
      <c r="O15" s="637">
        <f t="shared" si="16"/>
        <v>2</v>
      </c>
      <c r="P15" s="637">
        <f t="shared" si="16"/>
        <v>2</v>
      </c>
      <c r="Q15" s="637">
        <f t="shared" si="16"/>
        <v>3.75</v>
      </c>
      <c r="R15" s="637">
        <f t="shared" si="16"/>
        <v>3.75</v>
      </c>
      <c r="S15" s="637">
        <f t="shared" si="16"/>
        <v>1.88</v>
      </c>
      <c r="T15" s="637">
        <f t="shared" si="16"/>
        <v>1.88</v>
      </c>
      <c r="U15" s="637">
        <f t="shared" si="16"/>
        <v>3.12</v>
      </c>
      <c r="V15" s="637">
        <f t="shared" si="16"/>
        <v>2.25</v>
      </c>
      <c r="W15" s="638">
        <f t="shared" si="1"/>
        <v>12.5</v>
      </c>
      <c r="X15" s="638">
        <f t="shared" si="2"/>
        <v>12.5</v>
      </c>
      <c r="Y15" s="638">
        <f t="shared" si="3"/>
        <v>11.629999999999999</v>
      </c>
      <c r="Z15" s="639">
        <f t="shared" si="4"/>
        <v>12.5</v>
      </c>
      <c r="AA15" s="639">
        <f t="shared" si="5"/>
        <v>11.629999999999999</v>
      </c>
      <c r="AB15" s="637">
        <f t="shared" ref="AB15:AZ15" si="17">AB10+AB13</f>
        <v>25.87</v>
      </c>
      <c r="AC15" s="637">
        <f t="shared" si="17"/>
        <v>0.87</v>
      </c>
      <c r="AD15" s="637">
        <f t="shared" si="17"/>
        <v>0.87</v>
      </c>
      <c r="AE15" s="637">
        <f t="shared" si="17"/>
        <v>4</v>
      </c>
      <c r="AF15" s="637">
        <f t="shared" si="17"/>
        <v>4</v>
      </c>
      <c r="AG15" s="637">
        <f t="shared" si="17"/>
        <v>2</v>
      </c>
      <c r="AH15" s="637">
        <f t="shared" si="17"/>
        <v>2</v>
      </c>
      <c r="AI15" s="637">
        <f t="shared" si="17"/>
        <v>1.68</v>
      </c>
      <c r="AJ15" s="637">
        <f t="shared" si="17"/>
        <v>1.68</v>
      </c>
      <c r="AK15" s="637">
        <f t="shared" si="17"/>
        <v>1.19</v>
      </c>
      <c r="AL15" s="637">
        <f t="shared" si="17"/>
        <v>1.19</v>
      </c>
      <c r="AM15" s="637">
        <f t="shared" si="17"/>
        <v>3.08</v>
      </c>
      <c r="AN15" s="637">
        <f t="shared" si="17"/>
        <v>2.08</v>
      </c>
      <c r="AO15" s="637">
        <f t="shared" si="17"/>
        <v>3</v>
      </c>
      <c r="AP15" s="637">
        <f t="shared" si="17"/>
        <v>2.2000000000000002</v>
      </c>
      <c r="AQ15" s="637">
        <f t="shared" si="17"/>
        <v>3.2</v>
      </c>
      <c r="AR15" s="637">
        <f t="shared" si="17"/>
        <v>5.5</v>
      </c>
      <c r="AS15" s="637">
        <f t="shared" si="17"/>
        <v>2.15</v>
      </c>
      <c r="AT15" s="637">
        <f t="shared" si="17"/>
        <v>2.4</v>
      </c>
      <c r="AU15" s="637">
        <f t="shared" si="17"/>
        <v>1.7</v>
      </c>
      <c r="AV15" s="637">
        <f t="shared" si="17"/>
        <v>1.5</v>
      </c>
      <c r="AW15" s="637">
        <f t="shared" si="17"/>
        <v>1.5</v>
      </c>
      <c r="AX15" s="637">
        <f t="shared" si="17"/>
        <v>1.1000000000000001</v>
      </c>
      <c r="AY15" s="637">
        <f t="shared" si="17"/>
        <v>1.5</v>
      </c>
      <c r="AZ15" s="637">
        <f t="shared" si="17"/>
        <v>1.1000000000000001</v>
      </c>
      <c r="BA15" s="640">
        <f t="shared" si="11"/>
        <v>25.869999999999997</v>
      </c>
      <c r="BB15" s="640">
        <f t="shared" si="12"/>
        <v>25.869999999999997</v>
      </c>
      <c r="BC15" s="640">
        <f t="shared" si="13"/>
        <v>25.62</v>
      </c>
      <c r="BD15" s="640">
        <f t="shared" si="14"/>
        <v>25.869999999999997</v>
      </c>
      <c r="BE15" s="640">
        <f t="shared" si="15"/>
        <v>25.62</v>
      </c>
      <c r="BF15" s="638">
        <v>25</v>
      </c>
      <c r="BG15" s="641"/>
      <c r="BH15" s="641"/>
      <c r="BI15" s="641"/>
      <c r="BJ15" s="641"/>
      <c r="BK15" s="641"/>
      <c r="BL15" s="641"/>
      <c r="BM15" s="641"/>
      <c r="BN15" s="641"/>
      <c r="BO15" s="641"/>
      <c r="BP15" s="641"/>
      <c r="BQ15" s="641"/>
      <c r="BR15" s="641"/>
      <c r="BS15" s="641"/>
      <c r="BT15" s="641"/>
      <c r="BU15" s="641"/>
      <c r="BV15" s="641"/>
      <c r="BW15" s="641"/>
      <c r="BX15" s="641"/>
      <c r="BY15" s="641"/>
      <c r="BZ15" s="641"/>
      <c r="CA15" s="641"/>
      <c r="CB15" s="641"/>
      <c r="CC15" s="641"/>
      <c r="CD15" s="641"/>
      <c r="CE15" s="641"/>
      <c r="CF15" s="642"/>
      <c r="CG15" s="643"/>
      <c r="CH15" s="635"/>
      <c r="CI15" s="641"/>
      <c r="CJ15" s="638">
        <v>25</v>
      </c>
      <c r="CK15" s="636"/>
      <c r="CL15" s="636"/>
      <c r="CM15" s="636"/>
      <c r="CN15" s="636"/>
      <c r="CO15" s="636"/>
      <c r="CP15" s="636"/>
      <c r="CQ15" s="636"/>
      <c r="CR15" s="636"/>
      <c r="CS15" s="636"/>
      <c r="CT15" s="636"/>
      <c r="CU15" s="636"/>
      <c r="CV15" s="636"/>
      <c r="CW15" s="636"/>
      <c r="CX15" s="636"/>
      <c r="CY15" s="636"/>
      <c r="CZ15" s="636"/>
      <c r="DA15" s="636"/>
      <c r="DB15" s="636"/>
      <c r="DC15" s="636"/>
      <c r="DD15" s="636"/>
      <c r="DE15" s="636"/>
      <c r="DF15" s="636"/>
      <c r="DG15" s="636"/>
      <c r="DH15" s="636"/>
      <c r="DI15" s="641">
        <f>DI10+DI13</f>
        <v>0</v>
      </c>
      <c r="DJ15" s="642">
        <f>DJ10+DJ13</f>
        <v>0</v>
      </c>
      <c r="DK15" s="643">
        <f>DK10+DK13</f>
        <v>0</v>
      </c>
      <c r="DL15" s="635">
        <f>DL10+DL13</f>
        <v>0</v>
      </c>
      <c r="DM15" s="641">
        <f>DM10+DM13</f>
        <v>0</v>
      </c>
      <c r="DN15" s="638">
        <v>12.5</v>
      </c>
      <c r="DO15" s="644"/>
      <c r="DP15" s="644"/>
      <c r="DQ15" s="644"/>
      <c r="DR15" s="644"/>
      <c r="DS15" s="644"/>
      <c r="DT15" s="644"/>
      <c r="DU15" s="644"/>
      <c r="DV15" s="644"/>
      <c r="DW15" s="644"/>
      <c r="DX15" s="644"/>
      <c r="DY15" s="644"/>
      <c r="DZ15" s="644"/>
      <c r="EA15" s="644"/>
      <c r="EB15" s="644"/>
      <c r="EC15" s="644"/>
      <c r="ED15" s="644"/>
      <c r="EE15" s="644"/>
      <c r="EF15" s="644"/>
      <c r="EG15" s="644"/>
      <c r="EH15" s="644"/>
      <c r="EI15" s="644"/>
      <c r="EJ15" s="644"/>
      <c r="EK15" s="644"/>
      <c r="EL15" s="644"/>
      <c r="EM15" s="645">
        <f>EM10+EM13</f>
        <v>0</v>
      </c>
      <c r="EN15" s="646">
        <f>EN10+EN13</f>
        <v>0</v>
      </c>
      <c r="EO15" s="647">
        <f>EO10+EO13</f>
        <v>0</v>
      </c>
      <c r="EP15" s="648">
        <f>EP10+EP13</f>
        <v>0</v>
      </c>
      <c r="EQ15" s="645">
        <f>EQ10+EQ13</f>
        <v>0</v>
      </c>
      <c r="ER15" s="649">
        <f t="shared" si="6"/>
        <v>0.73333333333333339</v>
      </c>
      <c r="ES15" s="793">
        <f t="shared" si="7"/>
        <v>0.9903362968689603</v>
      </c>
      <c r="ET15" s="650">
        <f t="shared" si="8"/>
        <v>0.9903362968689603</v>
      </c>
      <c r="EU15" s="651">
        <f t="shared" si="9"/>
        <v>0.97081052905916088</v>
      </c>
      <c r="EV15" s="652">
        <f t="shared" si="10"/>
        <v>0.3725</v>
      </c>
      <c r="EW15" s="1105"/>
      <c r="EX15" s="1106"/>
      <c r="EY15" s="1106"/>
      <c r="EZ15" s="1106"/>
      <c r="FA15" s="1107"/>
      <c r="FB15" s="1094"/>
    </row>
    <row r="16" spans="1:159" s="105" customFormat="1" ht="27.75" thickBot="1" x14ac:dyDescent="0.3">
      <c r="A16" s="841"/>
      <c r="B16" s="843"/>
      <c r="C16" s="844"/>
      <c r="D16" s="845"/>
      <c r="E16" s="846"/>
      <c r="F16" s="115" t="s">
        <v>156</v>
      </c>
      <c r="G16" s="665">
        <f>AA16+AB16+BF16+CJ16+DN16</f>
        <v>5187555833</v>
      </c>
      <c r="H16" s="666">
        <f>H11+H14</f>
        <v>455600000</v>
      </c>
      <c r="I16" s="667">
        <v>0</v>
      </c>
      <c r="J16" s="667">
        <f>J11+J14</f>
        <v>0</v>
      </c>
      <c r="K16" s="666">
        <f t="shared" ref="K16:V16" si="18">K11+K14</f>
        <v>0</v>
      </c>
      <c r="L16" s="666">
        <f t="shared" si="18"/>
        <v>0</v>
      </c>
      <c r="M16" s="666">
        <f t="shared" si="18"/>
        <v>244396000</v>
      </c>
      <c r="N16" s="666">
        <f t="shared" si="18"/>
        <v>244396000</v>
      </c>
      <c r="O16" s="666">
        <f t="shared" si="18"/>
        <v>33631900</v>
      </c>
      <c r="P16" s="666">
        <f t="shared" si="18"/>
        <v>33631900</v>
      </c>
      <c r="Q16" s="666">
        <f t="shared" si="18"/>
        <v>0</v>
      </c>
      <c r="R16" s="666">
        <f t="shared" si="18"/>
        <v>0</v>
      </c>
      <c r="S16" s="666">
        <f t="shared" si="18"/>
        <v>0</v>
      </c>
      <c r="T16" s="666">
        <f t="shared" si="18"/>
        <v>0</v>
      </c>
      <c r="U16" s="666">
        <f t="shared" si="18"/>
        <v>275730100</v>
      </c>
      <c r="V16" s="666">
        <f t="shared" si="18"/>
        <v>245217000</v>
      </c>
      <c r="W16" s="668">
        <f t="shared" si="1"/>
        <v>553758000</v>
      </c>
      <c r="X16" s="668">
        <f t="shared" si="2"/>
        <v>553758000</v>
      </c>
      <c r="Y16" s="668">
        <f t="shared" si="3"/>
        <v>523244900</v>
      </c>
      <c r="Z16" s="669">
        <f t="shared" si="4"/>
        <v>553758000</v>
      </c>
      <c r="AA16" s="669">
        <f t="shared" si="5"/>
        <v>523244900</v>
      </c>
      <c r="AB16" s="666">
        <f t="shared" ref="AB16:AZ16" si="19">AB11+AB14</f>
        <v>1265302933</v>
      </c>
      <c r="AC16" s="666">
        <f t="shared" si="19"/>
        <v>61199300</v>
      </c>
      <c r="AD16" s="666">
        <f t="shared" si="19"/>
        <v>61199300</v>
      </c>
      <c r="AE16" s="666">
        <f t="shared" si="19"/>
        <v>393739859.34000003</v>
      </c>
      <c r="AF16" s="666">
        <f t="shared" si="19"/>
        <v>393739859.34000003</v>
      </c>
      <c r="AG16" s="666">
        <f t="shared" si="19"/>
        <v>438422766.65999997</v>
      </c>
      <c r="AH16" s="666">
        <f t="shared" si="19"/>
        <v>438422766.65999997</v>
      </c>
      <c r="AI16" s="666">
        <f t="shared" si="19"/>
        <v>52921567</v>
      </c>
      <c r="AJ16" s="666">
        <f t="shared" si="19"/>
        <v>52921567</v>
      </c>
      <c r="AK16" s="666">
        <f t="shared" si="19"/>
        <v>15968840</v>
      </c>
      <c r="AL16" s="666">
        <f t="shared" si="19"/>
        <v>15968840</v>
      </c>
      <c r="AM16" s="666">
        <f t="shared" si="19"/>
        <v>215979600</v>
      </c>
      <c r="AN16" s="666">
        <f t="shared" si="19"/>
        <v>148606000</v>
      </c>
      <c r="AO16" s="666">
        <f t="shared" si="19"/>
        <v>0</v>
      </c>
      <c r="AP16" s="666">
        <f t="shared" si="19"/>
        <v>19180000</v>
      </c>
      <c r="AQ16" s="666">
        <f t="shared" si="19"/>
        <v>19455400</v>
      </c>
      <c r="AR16" s="666">
        <f t="shared" si="19"/>
        <v>0</v>
      </c>
      <c r="AS16" s="666">
        <f t="shared" si="19"/>
        <v>0</v>
      </c>
      <c r="AT16" s="666">
        <f t="shared" si="19"/>
        <v>56203267</v>
      </c>
      <c r="AU16" s="666">
        <f t="shared" si="19"/>
        <v>0</v>
      </c>
      <c r="AV16" s="666">
        <f t="shared" si="19"/>
        <v>4895733</v>
      </c>
      <c r="AW16" s="666">
        <f t="shared" si="19"/>
        <v>10000000</v>
      </c>
      <c r="AX16" s="666">
        <f t="shared" si="19"/>
        <v>1146000</v>
      </c>
      <c r="AY16" s="666">
        <f t="shared" si="19"/>
        <v>37519000</v>
      </c>
      <c r="AZ16" s="666">
        <f t="shared" si="19"/>
        <v>33838033</v>
      </c>
      <c r="BA16" s="669">
        <f t="shared" si="11"/>
        <v>1245206333</v>
      </c>
      <c r="BB16" s="669">
        <f t="shared" si="12"/>
        <v>1245206333</v>
      </c>
      <c r="BC16" s="669">
        <f t="shared" si="13"/>
        <v>1226121366</v>
      </c>
      <c r="BD16" s="669">
        <f t="shared" si="14"/>
        <v>1245206333</v>
      </c>
      <c r="BE16" s="669">
        <f t="shared" si="15"/>
        <v>1226121366</v>
      </c>
      <c r="BF16" s="669">
        <v>1308315000</v>
      </c>
      <c r="BG16" s="670"/>
      <c r="BH16" s="670"/>
      <c r="BI16" s="670"/>
      <c r="BJ16" s="670"/>
      <c r="BK16" s="670"/>
      <c r="BL16" s="670"/>
      <c r="BM16" s="670"/>
      <c r="BN16" s="670"/>
      <c r="BO16" s="670"/>
      <c r="BP16" s="670"/>
      <c r="BQ16" s="670"/>
      <c r="BR16" s="670"/>
      <c r="BS16" s="670"/>
      <c r="BT16" s="670"/>
      <c r="BU16" s="670"/>
      <c r="BV16" s="670"/>
      <c r="BW16" s="670"/>
      <c r="BX16" s="670"/>
      <c r="BY16" s="670"/>
      <c r="BZ16" s="670"/>
      <c r="CA16" s="670"/>
      <c r="CB16" s="670"/>
      <c r="CC16" s="670"/>
      <c r="CD16" s="670"/>
      <c r="CE16" s="671"/>
      <c r="CF16" s="670"/>
      <c r="CG16" s="670"/>
      <c r="CH16" s="670"/>
      <c r="CI16" s="670"/>
      <c r="CJ16" s="669">
        <v>1371654000</v>
      </c>
      <c r="CK16" s="672"/>
      <c r="CL16" s="672"/>
      <c r="CM16" s="672"/>
      <c r="CN16" s="672"/>
      <c r="CO16" s="672"/>
      <c r="CP16" s="672"/>
      <c r="CQ16" s="672"/>
      <c r="CR16" s="672"/>
      <c r="CS16" s="672"/>
      <c r="CT16" s="672"/>
      <c r="CU16" s="672"/>
      <c r="CV16" s="672"/>
      <c r="CW16" s="672"/>
      <c r="CX16" s="672"/>
      <c r="CY16" s="672"/>
      <c r="CZ16" s="672"/>
      <c r="DA16" s="672"/>
      <c r="DB16" s="672"/>
      <c r="DC16" s="672"/>
      <c r="DD16" s="672"/>
      <c r="DE16" s="672"/>
      <c r="DF16" s="672"/>
      <c r="DG16" s="672"/>
      <c r="DH16" s="672"/>
      <c r="DI16" s="671">
        <f>DG16+DE16+DC16+DA16+CY16+CW16+CU16+CS16+CQ16+CO16+CM16+CK16</f>
        <v>0</v>
      </c>
      <c r="DJ16" s="670">
        <f>+DJ11+DJ14</f>
        <v>0</v>
      </c>
      <c r="DK16" s="670">
        <f>+DK11+DK14</f>
        <v>0</v>
      </c>
      <c r="DL16" s="670">
        <f>+DL11+DL14</f>
        <v>0</v>
      </c>
      <c r="DM16" s="670">
        <f>+DM11+DM14</f>
        <v>0</v>
      </c>
      <c r="DN16" s="669">
        <f>DN11+DN14</f>
        <v>719039000</v>
      </c>
      <c r="DO16" s="673"/>
      <c r="DP16" s="673"/>
      <c r="DQ16" s="673"/>
      <c r="DR16" s="673"/>
      <c r="DS16" s="673"/>
      <c r="DT16" s="673"/>
      <c r="DU16" s="673"/>
      <c r="DV16" s="673"/>
      <c r="DW16" s="673"/>
      <c r="DX16" s="673"/>
      <c r="DY16" s="673"/>
      <c r="DZ16" s="673"/>
      <c r="EA16" s="673"/>
      <c r="EB16" s="673"/>
      <c r="EC16" s="673"/>
      <c r="ED16" s="673"/>
      <c r="EE16" s="673"/>
      <c r="EF16" s="673"/>
      <c r="EG16" s="673"/>
      <c r="EH16" s="673"/>
      <c r="EI16" s="673"/>
      <c r="EJ16" s="673"/>
      <c r="EK16" s="673"/>
      <c r="EL16" s="673"/>
      <c r="EM16" s="674">
        <f>EK16+EI16+EG16+EE16+EC16+EA16+DY16+DW16+DU16+DS16+DQ16+DO16</f>
        <v>0</v>
      </c>
      <c r="EN16" s="675">
        <f>+EN11+EN14</f>
        <v>0</v>
      </c>
      <c r="EO16" s="675">
        <f>+EO11+EO14</f>
        <v>0</v>
      </c>
      <c r="EP16" s="675">
        <f>+EP11+EP14</f>
        <v>0</v>
      </c>
      <c r="EQ16" s="675">
        <f>+EQ11+EQ14</f>
        <v>0</v>
      </c>
      <c r="ER16" s="676">
        <f t="shared" si="6"/>
        <v>0.90189058876835737</v>
      </c>
      <c r="ES16" s="677">
        <f t="shared" si="7"/>
        <v>0.98467324932887246</v>
      </c>
      <c r="ET16" s="677">
        <f t="shared" si="8"/>
        <v>0.98467324932887246</v>
      </c>
      <c r="EU16" s="678">
        <f t="shared" si="9"/>
        <v>0.97242965516871094</v>
      </c>
      <c r="EV16" s="1095">
        <f t="shared" si="10"/>
        <v>0.33722360246642957</v>
      </c>
      <c r="EW16" s="1108"/>
      <c r="EX16" s="1109"/>
      <c r="EY16" s="1109"/>
      <c r="EZ16" s="1109"/>
      <c r="FA16" s="1110"/>
      <c r="FB16" s="1094"/>
      <c r="FC16" s="98"/>
    </row>
    <row r="17" spans="1:160" s="105" customFormat="1" ht="21" thickBot="1" x14ac:dyDescent="0.3">
      <c r="A17" s="841"/>
      <c r="B17" s="843">
        <v>2</v>
      </c>
      <c r="C17" s="844" t="s">
        <v>157</v>
      </c>
      <c r="D17" s="845" t="s">
        <v>88</v>
      </c>
      <c r="E17" s="846">
        <v>274</v>
      </c>
      <c r="F17" s="93" t="s">
        <v>149</v>
      </c>
      <c r="G17" s="682">
        <f t="shared" ref="G17:G22" si="20">AA17+BA17+BF17+CJ17+DN17</f>
        <v>99.13</v>
      </c>
      <c r="H17" s="653">
        <v>12.5</v>
      </c>
      <c r="I17" s="654">
        <v>0</v>
      </c>
      <c r="J17" s="654">
        <v>0</v>
      </c>
      <c r="K17" s="654">
        <v>0</v>
      </c>
      <c r="L17" s="654">
        <v>0</v>
      </c>
      <c r="M17" s="653">
        <v>0.3</v>
      </c>
      <c r="N17" s="653">
        <v>0.3</v>
      </c>
      <c r="O17" s="653">
        <v>2.7</v>
      </c>
      <c r="P17" s="653">
        <v>2.7</v>
      </c>
      <c r="Q17" s="654">
        <v>2</v>
      </c>
      <c r="R17" s="654">
        <v>2</v>
      </c>
      <c r="S17" s="653">
        <v>2.5</v>
      </c>
      <c r="T17" s="653">
        <v>2.5</v>
      </c>
      <c r="U17" s="653">
        <v>5</v>
      </c>
      <c r="V17" s="653">
        <v>4.13</v>
      </c>
      <c r="W17" s="655">
        <f t="shared" si="1"/>
        <v>12.5</v>
      </c>
      <c r="X17" s="655">
        <f t="shared" si="2"/>
        <v>12.5</v>
      </c>
      <c r="Y17" s="656">
        <f t="shared" si="3"/>
        <v>11.629999999999999</v>
      </c>
      <c r="Z17" s="655">
        <f t="shared" si="4"/>
        <v>12.5</v>
      </c>
      <c r="AA17" s="656">
        <f t="shared" si="5"/>
        <v>11.629999999999999</v>
      </c>
      <c r="AB17" s="653">
        <v>25</v>
      </c>
      <c r="AC17" s="653">
        <v>0</v>
      </c>
      <c r="AD17" s="653">
        <v>0</v>
      </c>
      <c r="AE17" s="653">
        <v>2.7</v>
      </c>
      <c r="AF17" s="653">
        <v>2.68</v>
      </c>
      <c r="AG17" s="653">
        <v>2.2999999999999998</v>
      </c>
      <c r="AH17" s="653">
        <v>2.2999999999999998</v>
      </c>
      <c r="AI17" s="653">
        <v>2.5</v>
      </c>
      <c r="AJ17" s="653">
        <v>2.5</v>
      </c>
      <c r="AK17" s="657">
        <v>1.32</v>
      </c>
      <c r="AL17" s="657">
        <v>1.32</v>
      </c>
      <c r="AM17" s="653">
        <v>3</v>
      </c>
      <c r="AN17" s="657">
        <v>2.2000000000000002</v>
      </c>
      <c r="AO17" s="653">
        <v>2.8</v>
      </c>
      <c r="AP17" s="653">
        <v>1.8</v>
      </c>
      <c r="AQ17" s="653">
        <v>2.8</v>
      </c>
      <c r="AR17" s="653">
        <v>4.3</v>
      </c>
      <c r="AS17" s="653">
        <v>2.5</v>
      </c>
      <c r="AT17" s="653">
        <v>1.5</v>
      </c>
      <c r="AU17" s="653">
        <v>2.58</v>
      </c>
      <c r="AV17" s="653">
        <v>2</v>
      </c>
      <c r="AW17" s="657">
        <v>1.25</v>
      </c>
      <c r="AX17" s="657">
        <v>2</v>
      </c>
      <c r="AY17" s="657">
        <v>1.25</v>
      </c>
      <c r="AZ17" s="657">
        <v>2.35</v>
      </c>
      <c r="BA17" s="658">
        <f t="shared" si="11"/>
        <v>25</v>
      </c>
      <c r="BB17" s="658">
        <f t="shared" si="12"/>
        <v>25</v>
      </c>
      <c r="BC17" s="656">
        <f t="shared" si="13"/>
        <v>24.950000000000003</v>
      </c>
      <c r="BD17" s="658">
        <f>AC17+AE17+AG17+AI17+AK17+AM17+AO17+AQ17+AS17+AU17+AW17+AY17</f>
        <v>25</v>
      </c>
      <c r="BE17" s="656">
        <f t="shared" si="15"/>
        <v>24.950000000000003</v>
      </c>
      <c r="BF17" s="655">
        <v>25</v>
      </c>
      <c r="BG17" s="655"/>
      <c r="BH17" s="653"/>
      <c r="BI17" s="655"/>
      <c r="BJ17" s="1083"/>
      <c r="BK17" s="655"/>
      <c r="BL17" s="653"/>
      <c r="BM17" s="655"/>
      <c r="BN17" s="653"/>
      <c r="BO17" s="655"/>
      <c r="BP17" s="653"/>
      <c r="BQ17" s="653"/>
      <c r="BR17" s="653"/>
      <c r="BS17" s="653"/>
      <c r="BT17" s="653"/>
      <c r="BU17" s="653"/>
      <c r="BV17" s="653"/>
      <c r="BW17" s="653"/>
      <c r="BX17" s="653"/>
      <c r="BY17" s="653"/>
      <c r="BZ17" s="653"/>
      <c r="CA17" s="653"/>
      <c r="CB17" s="653"/>
      <c r="CC17" s="653"/>
      <c r="CD17" s="653"/>
      <c r="CE17" s="655"/>
      <c r="CF17" s="655"/>
      <c r="CG17" s="655"/>
      <c r="CH17" s="655"/>
      <c r="CI17" s="655"/>
      <c r="CJ17" s="655">
        <v>25</v>
      </c>
      <c r="CK17" s="654"/>
      <c r="CL17" s="654"/>
      <c r="CM17" s="654"/>
      <c r="CN17" s="654"/>
      <c r="CO17" s="654"/>
      <c r="CP17" s="654"/>
      <c r="CQ17" s="654"/>
      <c r="CR17" s="654"/>
      <c r="CS17" s="654"/>
      <c r="CT17" s="654"/>
      <c r="CU17" s="654"/>
      <c r="CV17" s="654"/>
      <c r="CW17" s="654"/>
      <c r="CX17" s="654"/>
      <c r="CY17" s="654"/>
      <c r="CZ17" s="654"/>
      <c r="DA17" s="654"/>
      <c r="DB17" s="654"/>
      <c r="DC17" s="654"/>
      <c r="DD17" s="654"/>
      <c r="DE17" s="654"/>
      <c r="DF17" s="654"/>
      <c r="DG17" s="654"/>
      <c r="DH17" s="654"/>
      <c r="DI17" s="655"/>
      <c r="DJ17" s="655"/>
      <c r="DK17" s="655"/>
      <c r="DL17" s="655"/>
      <c r="DM17" s="655"/>
      <c r="DN17" s="655">
        <v>12.5</v>
      </c>
      <c r="DO17" s="659"/>
      <c r="DP17" s="659"/>
      <c r="DQ17" s="659"/>
      <c r="DR17" s="659"/>
      <c r="DS17" s="659"/>
      <c r="DT17" s="659"/>
      <c r="DU17" s="659"/>
      <c r="DV17" s="659"/>
      <c r="DW17" s="659"/>
      <c r="DX17" s="659"/>
      <c r="DY17" s="659"/>
      <c r="DZ17" s="659"/>
      <c r="EA17" s="659"/>
      <c r="EB17" s="659"/>
      <c r="EC17" s="659"/>
      <c r="ED17" s="659"/>
      <c r="EE17" s="659"/>
      <c r="EF17" s="659"/>
      <c r="EG17" s="659"/>
      <c r="EH17" s="659"/>
      <c r="EI17" s="659"/>
      <c r="EJ17" s="659"/>
      <c r="EK17" s="659"/>
      <c r="EL17" s="659"/>
      <c r="EM17" s="660"/>
      <c r="EN17" s="660"/>
      <c r="EO17" s="660"/>
      <c r="EP17" s="660"/>
      <c r="EQ17" s="661"/>
      <c r="ER17" s="662">
        <f t="shared" si="6"/>
        <v>1.8800000000000001</v>
      </c>
      <c r="ES17" s="794">
        <f t="shared" si="7"/>
        <v>0.99800000000000011</v>
      </c>
      <c r="ET17" s="507">
        <f t="shared" si="8"/>
        <v>0.99800000000000011</v>
      </c>
      <c r="EU17" s="663">
        <f t="shared" si="9"/>
        <v>0.97546666666666659</v>
      </c>
      <c r="EV17" s="664">
        <f t="shared" si="10"/>
        <v>0.36901039039644912</v>
      </c>
      <c r="EW17" s="1102" t="s">
        <v>548</v>
      </c>
      <c r="EX17" s="1103" t="s">
        <v>546</v>
      </c>
      <c r="EY17" s="1103" t="s">
        <v>547</v>
      </c>
      <c r="EZ17" s="1103" t="s">
        <v>158</v>
      </c>
      <c r="FA17" s="1104" t="s">
        <v>97</v>
      </c>
      <c r="FB17" s="98"/>
      <c r="FC17" s="98"/>
    </row>
    <row r="18" spans="1:160" s="105" customFormat="1" ht="21" thickBot="1" x14ac:dyDescent="0.3">
      <c r="A18" s="841"/>
      <c r="B18" s="843"/>
      <c r="C18" s="844"/>
      <c r="D18" s="845"/>
      <c r="E18" s="846"/>
      <c r="F18" s="99" t="s">
        <v>151</v>
      </c>
      <c r="G18" s="682">
        <f t="shared" si="20"/>
        <v>9881883466</v>
      </c>
      <c r="H18" s="600">
        <v>815555000</v>
      </c>
      <c r="I18" s="600">
        <v>0</v>
      </c>
      <c r="J18" s="600">
        <v>0</v>
      </c>
      <c r="K18" s="600">
        <v>141890000</v>
      </c>
      <c r="L18" s="600">
        <v>141890000</v>
      </c>
      <c r="M18" s="600">
        <v>354304000</v>
      </c>
      <c r="N18" s="600">
        <v>354304000</v>
      </c>
      <c r="O18" s="600">
        <v>71784000</v>
      </c>
      <c r="P18" s="600">
        <v>71784000</v>
      </c>
      <c r="Q18" s="600">
        <v>0</v>
      </c>
      <c r="R18" s="600">
        <v>0</v>
      </c>
      <c r="S18" s="600">
        <v>0</v>
      </c>
      <c r="T18" s="600">
        <v>0</v>
      </c>
      <c r="U18" s="600">
        <v>369619000</v>
      </c>
      <c r="V18" s="600">
        <v>358386000</v>
      </c>
      <c r="W18" s="605">
        <f t="shared" si="1"/>
        <v>937597000</v>
      </c>
      <c r="X18" s="605">
        <f t="shared" si="2"/>
        <v>937597000</v>
      </c>
      <c r="Y18" s="605">
        <f t="shared" si="3"/>
        <v>926364000</v>
      </c>
      <c r="Z18" s="601">
        <f t="shared" si="4"/>
        <v>937597000</v>
      </c>
      <c r="AA18" s="601">
        <f t="shared" si="5"/>
        <v>926364000</v>
      </c>
      <c r="AB18" s="600">
        <v>2064989000</v>
      </c>
      <c r="AC18" s="600">
        <v>3583000</v>
      </c>
      <c r="AD18" s="600">
        <v>3583000</v>
      </c>
      <c r="AE18" s="600">
        <v>636823000</v>
      </c>
      <c r="AF18" s="600">
        <v>636823000</v>
      </c>
      <c r="AG18" s="600">
        <v>732708000</v>
      </c>
      <c r="AH18" s="600">
        <v>732708000</v>
      </c>
      <c r="AI18" s="600">
        <v>25938000</v>
      </c>
      <c r="AJ18" s="600">
        <v>25938000</v>
      </c>
      <c r="AK18" s="600">
        <v>93003000</v>
      </c>
      <c r="AL18" s="600">
        <v>93003000</v>
      </c>
      <c r="AM18" s="600">
        <v>258746900</v>
      </c>
      <c r="AN18" s="600">
        <v>146437900</v>
      </c>
      <c r="AO18" s="600">
        <v>0</v>
      </c>
      <c r="AP18" s="600">
        <v>59140000</v>
      </c>
      <c r="AQ18" s="600">
        <v>150000000</v>
      </c>
      <c r="AR18" s="600">
        <f>6260000-2111000</f>
        <v>4149000</v>
      </c>
      <c r="AS18" s="600">
        <v>25967100</v>
      </c>
      <c r="AT18" s="600">
        <v>13937000</v>
      </c>
      <c r="AU18" s="600">
        <v>0</v>
      </c>
      <c r="AV18" s="600">
        <v>34682000</v>
      </c>
      <c r="AW18" s="600">
        <v>0</v>
      </c>
      <c r="AX18" s="600">
        <v>68862300</v>
      </c>
      <c r="AY18" s="600">
        <f>22547000+21473466+14800000</f>
        <v>58820466</v>
      </c>
      <c r="AZ18" s="600">
        <v>107703866</v>
      </c>
      <c r="BA18" s="601">
        <f t="shared" si="11"/>
        <v>1985589466</v>
      </c>
      <c r="BB18" s="601">
        <f t="shared" si="12"/>
        <v>1985589466</v>
      </c>
      <c r="BC18" s="601">
        <f t="shared" si="13"/>
        <v>1926967066</v>
      </c>
      <c r="BD18" s="601">
        <f t="shared" si="14"/>
        <v>1985589466</v>
      </c>
      <c r="BE18" s="601">
        <f>AD18+AF18+AH18+AJ18+AL18+AN18+AP18+AR18+AT18+AV18+AX18+AZ18</f>
        <v>1926967066</v>
      </c>
      <c r="BF18" s="601">
        <v>3438586000</v>
      </c>
      <c r="BG18" s="602"/>
      <c r="BH18" s="602"/>
      <c r="BI18" s="603"/>
      <c r="BJ18" s="603"/>
      <c r="BK18" s="602"/>
      <c r="BL18" s="602"/>
      <c r="BM18" s="602"/>
      <c r="BN18" s="603"/>
      <c r="BO18" s="603"/>
      <c r="BP18" s="603"/>
      <c r="BQ18" s="603"/>
      <c r="BR18" s="603"/>
      <c r="BS18" s="603"/>
      <c r="BT18" s="603"/>
      <c r="BU18" s="603"/>
      <c r="BV18" s="603"/>
      <c r="BW18" s="603"/>
      <c r="BX18" s="603"/>
      <c r="BY18" s="603"/>
      <c r="BZ18" s="603"/>
      <c r="CA18" s="603"/>
      <c r="CB18" s="603"/>
      <c r="CC18" s="603"/>
      <c r="CD18" s="603"/>
      <c r="CE18" s="601"/>
      <c r="CF18" s="603"/>
      <c r="CG18" s="603"/>
      <c r="CH18" s="603"/>
      <c r="CI18" s="604"/>
      <c r="CJ18" s="601">
        <v>2316344000</v>
      </c>
      <c r="CK18" s="604"/>
      <c r="CL18" s="604"/>
      <c r="CM18" s="604"/>
      <c r="CN18" s="604"/>
      <c r="CO18" s="604"/>
      <c r="CP18" s="604"/>
      <c r="CQ18" s="604"/>
      <c r="CR18" s="604"/>
      <c r="CS18" s="604"/>
      <c r="CT18" s="604"/>
      <c r="CU18" s="604"/>
      <c r="CV18" s="604"/>
      <c r="CW18" s="604"/>
      <c r="CX18" s="604"/>
      <c r="CY18" s="604"/>
      <c r="CZ18" s="604"/>
      <c r="DA18" s="604"/>
      <c r="DB18" s="604"/>
      <c r="DC18" s="604"/>
      <c r="DD18" s="604"/>
      <c r="DE18" s="604"/>
      <c r="DF18" s="604"/>
      <c r="DG18" s="604"/>
      <c r="DH18" s="604"/>
      <c r="DI18" s="601"/>
      <c r="DJ18" s="603"/>
      <c r="DK18" s="603"/>
      <c r="DL18" s="603"/>
      <c r="DM18" s="604"/>
      <c r="DN18" s="601">
        <v>1215000000</v>
      </c>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1"/>
      <c r="EN18" s="102"/>
      <c r="EO18" s="102"/>
      <c r="EP18" s="102"/>
      <c r="EQ18" s="103"/>
      <c r="ER18" s="502">
        <f t="shared" si="6"/>
        <v>1.8310610799989242</v>
      </c>
      <c r="ES18" s="792">
        <f t="shared" si="7"/>
        <v>0.97047607221743792</v>
      </c>
      <c r="ET18" s="506">
        <f t="shared" si="8"/>
        <v>0.97047607221743792</v>
      </c>
      <c r="EU18" s="504">
        <f t="shared" si="9"/>
        <v>0.97610299554527291</v>
      </c>
      <c r="EV18" s="104">
        <f t="shared" si="10"/>
        <v>0.28874364647359829</v>
      </c>
      <c r="EW18" s="1105"/>
      <c r="EX18" s="1106"/>
      <c r="EY18" s="1106"/>
      <c r="EZ18" s="1106"/>
      <c r="FA18" s="1107"/>
      <c r="FB18" s="98"/>
      <c r="FC18" s="98"/>
      <c r="FD18" s="500"/>
    </row>
    <row r="19" spans="1:160" s="105" customFormat="1" ht="18.75" thickBot="1" x14ac:dyDescent="0.3">
      <c r="A19" s="841"/>
      <c r="B19" s="843"/>
      <c r="C19" s="844"/>
      <c r="D19" s="845"/>
      <c r="E19" s="846"/>
      <c r="F19" s="99" t="s">
        <v>152</v>
      </c>
      <c r="G19" s="682"/>
      <c r="H19" s="600"/>
      <c r="I19" s="600"/>
      <c r="J19" s="600"/>
      <c r="K19" s="600"/>
      <c r="L19" s="600"/>
      <c r="M19" s="600"/>
      <c r="N19" s="600"/>
      <c r="O19" s="600"/>
      <c r="P19" s="600"/>
      <c r="Q19" s="600"/>
      <c r="R19" s="600"/>
      <c r="S19" s="600"/>
      <c r="T19" s="600"/>
      <c r="U19" s="600"/>
      <c r="V19" s="600"/>
      <c r="W19" s="605">
        <f t="shared" si="1"/>
        <v>0</v>
      </c>
      <c r="X19" s="605">
        <f t="shared" si="2"/>
        <v>0</v>
      </c>
      <c r="Y19" s="605">
        <f t="shared" si="3"/>
        <v>0</v>
      </c>
      <c r="Z19" s="601">
        <f t="shared" si="4"/>
        <v>0</v>
      </c>
      <c r="AA19" s="601">
        <f t="shared" si="5"/>
        <v>0</v>
      </c>
      <c r="AB19" s="600">
        <v>2064989000</v>
      </c>
      <c r="AC19" s="600"/>
      <c r="AD19" s="600"/>
      <c r="AE19" s="600"/>
      <c r="AF19" s="600"/>
      <c r="AG19" s="600">
        <v>21782566</v>
      </c>
      <c r="AH19" s="600">
        <v>21782566</v>
      </c>
      <c r="AI19" s="600">
        <v>98320833</v>
      </c>
      <c r="AJ19" s="600">
        <v>98320833</v>
      </c>
      <c r="AK19" s="600">
        <v>152175033</v>
      </c>
      <c r="AL19" s="600">
        <v>152175033</v>
      </c>
      <c r="AM19" s="600">
        <v>180620100</v>
      </c>
      <c r="AN19" s="600">
        <v>156815500</v>
      </c>
      <c r="AO19" s="600">
        <v>174858000</v>
      </c>
      <c r="AP19" s="600">
        <v>155836867</v>
      </c>
      <c r="AQ19" s="600">
        <v>199477000</v>
      </c>
      <c r="AR19" s="600">
        <v>186923969</v>
      </c>
      <c r="AS19" s="600">
        <v>199477000</v>
      </c>
      <c r="AT19" s="600">
        <v>189612474</v>
      </c>
      <c r="AU19" s="600">
        <v>199477000</v>
      </c>
      <c r="AV19" s="600">
        <v>229570572</v>
      </c>
      <c r="AW19" s="600">
        <v>345103000</v>
      </c>
      <c r="AX19" s="600">
        <v>209920258</v>
      </c>
      <c r="AY19" s="600">
        <f>378025468+21473466+14800000</f>
        <v>414298934</v>
      </c>
      <c r="AZ19" s="600">
        <v>291107831</v>
      </c>
      <c r="BA19" s="601">
        <f t="shared" si="11"/>
        <v>1985589466</v>
      </c>
      <c r="BB19" s="601">
        <f t="shared" si="12"/>
        <v>1985589466</v>
      </c>
      <c r="BC19" s="601">
        <f t="shared" si="13"/>
        <v>1692065903</v>
      </c>
      <c r="BD19" s="601">
        <f t="shared" si="14"/>
        <v>1985589466</v>
      </c>
      <c r="BE19" s="601">
        <f t="shared" si="15"/>
        <v>1692065903</v>
      </c>
      <c r="BF19" s="601"/>
      <c r="BG19" s="603"/>
      <c r="BH19" s="603"/>
      <c r="BI19" s="602"/>
      <c r="BJ19" s="603"/>
      <c r="BK19" s="602"/>
      <c r="BL19" s="603"/>
      <c r="BM19" s="602"/>
      <c r="BN19" s="603"/>
      <c r="BO19" s="602"/>
      <c r="BP19" s="603"/>
      <c r="BQ19" s="603"/>
      <c r="BR19" s="603"/>
      <c r="BS19" s="603"/>
      <c r="BT19" s="603"/>
      <c r="BU19" s="603"/>
      <c r="BV19" s="603"/>
      <c r="BW19" s="603"/>
      <c r="BX19" s="603"/>
      <c r="BY19" s="603"/>
      <c r="BZ19" s="603"/>
      <c r="CA19" s="603"/>
      <c r="CB19" s="603"/>
      <c r="CC19" s="603"/>
      <c r="CD19" s="603"/>
      <c r="CE19" s="601"/>
      <c r="CF19" s="603"/>
      <c r="CG19" s="603"/>
      <c r="CH19" s="603"/>
      <c r="CI19" s="604"/>
      <c r="CJ19" s="601"/>
      <c r="CK19" s="604"/>
      <c r="CL19" s="604"/>
      <c r="CM19" s="604"/>
      <c r="CN19" s="604"/>
      <c r="CO19" s="604"/>
      <c r="CP19" s="604"/>
      <c r="CQ19" s="604"/>
      <c r="CR19" s="604"/>
      <c r="CS19" s="604"/>
      <c r="CT19" s="604"/>
      <c r="CU19" s="604"/>
      <c r="CV19" s="604"/>
      <c r="CW19" s="604"/>
      <c r="CX19" s="604"/>
      <c r="CY19" s="604"/>
      <c r="CZ19" s="604"/>
      <c r="DA19" s="604"/>
      <c r="DB19" s="604"/>
      <c r="DC19" s="604"/>
      <c r="DD19" s="604"/>
      <c r="DE19" s="604"/>
      <c r="DF19" s="604"/>
      <c r="DG19" s="604"/>
      <c r="DH19" s="604"/>
      <c r="DI19" s="601"/>
      <c r="DJ19" s="603"/>
      <c r="DK19" s="603"/>
      <c r="DL19" s="603"/>
      <c r="DM19" s="604"/>
      <c r="DN19" s="601"/>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6"/>
      <c r="EN19" s="102"/>
      <c r="EO19" s="102"/>
      <c r="EP19" s="102"/>
      <c r="EQ19" s="103"/>
      <c r="ER19" s="502">
        <f t="shared" si="6"/>
        <v>0.70265165345561809</v>
      </c>
      <c r="ES19" s="792">
        <f t="shared" si="7"/>
        <v>0.85217308611567744</v>
      </c>
      <c r="ET19" s="506">
        <f t="shared" si="8"/>
        <v>0.85217308611567744</v>
      </c>
      <c r="EU19" s="505">
        <f t="shared" si="9"/>
        <v>0.85217308611567744</v>
      </c>
      <c r="EV19" s="104" t="e">
        <f t="shared" si="10"/>
        <v>#DIV/0!</v>
      </c>
      <c r="EW19" s="1105"/>
      <c r="EX19" s="1106"/>
      <c r="EY19" s="1106"/>
      <c r="EZ19" s="1106"/>
      <c r="FA19" s="1107"/>
      <c r="FB19" s="98"/>
      <c r="FC19" s="98"/>
    </row>
    <row r="20" spans="1:160" s="105" customFormat="1" ht="18.75" thickBot="1" x14ac:dyDescent="0.3">
      <c r="A20" s="841"/>
      <c r="B20" s="843"/>
      <c r="C20" s="844"/>
      <c r="D20" s="845"/>
      <c r="E20" s="846"/>
      <c r="F20" s="107" t="s">
        <v>153</v>
      </c>
      <c r="G20" s="682">
        <f t="shared" si="20"/>
        <v>0.87</v>
      </c>
      <c r="H20" s="619"/>
      <c r="I20" s="606"/>
      <c r="J20" s="606"/>
      <c r="K20" s="606"/>
      <c r="L20" s="606"/>
      <c r="M20" s="606"/>
      <c r="N20" s="607"/>
      <c r="O20" s="606"/>
      <c r="P20" s="607"/>
      <c r="Q20" s="606"/>
      <c r="R20" s="606"/>
      <c r="S20" s="606"/>
      <c r="T20" s="607"/>
      <c r="U20" s="607"/>
      <c r="V20" s="606"/>
      <c r="W20" s="605">
        <f t="shared" si="1"/>
        <v>0</v>
      </c>
      <c r="X20" s="605">
        <f t="shared" si="2"/>
        <v>0</v>
      </c>
      <c r="Y20" s="605">
        <f t="shared" si="3"/>
        <v>0</v>
      </c>
      <c r="Z20" s="601">
        <f t="shared" si="4"/>
        <v>0</v>
      </c>
      <c r="AA20" s="601">
        <f t="shared" si="5"/>
        <v>0</v>
      </c>
      <c r="AB20" s="30">
        <v>0.87</v>
      </c>
      <c r="AC20" s="30">
        <v>0.83</v>
      </c>
      <c r="AD20" s="30">
        <v>0.83</v>
      </c>
      <c r="AE20" s="30">
        <v>0.02</v>
      </c>
      <c r="AF20" s="30">
        <v>0.02</v>
      </c>
      <c r="AG20" s="30">
        <v>0</v>
      </c>
      <c r="AH20" s="30">
        <v>0</v>
      </c>
      <c r="AI20" s="30">
        <v>0</v>
      </c>
      <c r="AJ20" s="30">
        <v>0</v>
      </c>
      <c r="AK20" s="30">
        <v>0</v>
      </c>
      <c r="AL20" s="30">
        <v>0</v>
      </c>
      <c r="AM20" s="30">
        <v>0.02</v>
      </c>
      <c r="AN20" s="30">
        <v>0</v>
      </c>
      <c r="AO20" s="30"/>
      <c r="AP20" s="30"/>
      <c r="AQ20" s="30"/>
      <c r="AR20" s="30">
        <v>0.02</v>
      </c>
      <c r="AS20" s="30"/>
      <c r="AT20" s="30"/>
      <c r="AU20" s="30"/>
      <c r="AV20" s="30"/>
      <c r="AW20" s="30"/>
      <c r="AX20" s="30"/>
      <c r="AY20" s="30"/>
      <c r="AZ20" s="609"/>
      <c r="BA20" s="610">
        <f t="shared" si="11"/>
        <v>0.87</v>
      </c>
      <c r="BB20" s="610">
        <f t="shared" si="12"/>
        <v>0.87</v>
      </c>
      <c r="BC20" s="610">
        <f t="shared" si="13"/>
        <v>0.87</v>
      </c>
      <c r="BD20" s="610">
        <f t="shared" si="14"/>
        <v>0.87</v>
      </c>
      <c r="BE20" s="610">
        <f t="shared" si="15"/>
        <v>0.87</v>
      </c>
      <c r="BF20" s="605"/>
      <c r="BG20" s="30"/>
      <c r="BH20" s="611"/>
      <c r="BI20" s="30"/>
      <c r="BJ20" s="611"/>
      <c r="BK20" s="30"/>
      <c r="BL20" s="611"/>
      <c r="BM20" s="30"/>
      <c r="BN20" s="611"/>
      <c r="BO20" s="30"/>
      <c r="BP20" s="611"/>
      <c r="BQ20" s="30"/>
      <c r="BR20" s="611"/>
      <c r="BS20" s="30"/>
      <c r="BT20" s="611"/>
      <c r="BU20" s="30"/>
      <c r="BV20" s="611"/>
      <c r="BW20" s="30"/>
      <c r="BX20" s="611"/>
      <c r="BY20" s="30"/>
      <c r="BZ20" s="611"/>
      <c r="CA20" s="30"/>
      <c r="CB20" s="611"/>
      <c r="CC20" s="612"/>
      <c r="CD20" s="611"/>
      <c r="CE20" s="611"/>
      <c r="CF20" s="613"/>
      <c r="CG20" s="613"/>
      <c r="CH20" s="613"/>
      <c r="CI20" s="611"/>
      <c r="CJ20" s="605"/>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611"/>
      <c r="DJ20" s="613"/>
      <c r="DK20" s="613"/>
      <c r="DL20" s="613"/>
      <c r="DM20" s="611"/>
      <c r="DN20" s="605"/>
      <c r="DO20" s="109"/>
      <c r="DP20" s="109"/>
      <c r="DQ20" s="109"/>
      <c r="DR20" s="109"/>
      <c r="DS20" s="109"/>
      <c r="DT20" s="109"/>
      <c r="DU20" s="109"/>
      <c r="DV20" s="109"/>
      <c r="DW20" s="109"/>
      <c r="DX20" s="109"/>
      <c r="DY20" s="109"/>
      <c r="DZ20" s="109"/>
      <c r="EA20" s="109"/>
      <c r="EB20" s="109"/>
      <c r="EC20" s="109"/>
      <c r="ED20" s="109"/>
      <c r="EE20" s="109"/>
      <c r="EF20" s="109"/>
      <c r="EG20" s="108"/>
      <c r="EH20" s="109"/>
      <c r="EI20" s="108"/>
      <c r="EJ20" s="109"/>
      <c r="EK20" s="108"/>
      <c r="EL20" s="109"/>
      <c r="EM20" s="110"/>
      <c r="EN20" s="111"/>
      <c r="EO20" s="111"/>
      <c r="EP20" s="111"/>
      <c r="EQ20" s="110"/>
      <c r="ER20" s="502" t="e">
        <f t="shared" si="6"/>
        <v>#DIV/0!</v>
      </c>
      <c r="ES20" s="792">
        <f t="shared" si="7"/>
        <v>1</v>
      </c>
      <c r="ET20" s="506">
        <f t="shared" si="8"/>
        <v>1</v>
      </c>
      <c r="EU20" s="505">
        <f t="shared" si="9"/>
        <v>1</v>
      </c>
      <c r="EV20" s="104">
        <f t="shared" si="10"/>
        <v>1</v>
      </c>
      <c r="EW20" s="1105"/>
      <c r="EX20" s="1106"/>
      <c r="EY20" s="1106"/>
      <c r="EZ20" s="1106"/>
      <c r="FA20" s="1107"/>
      <c r="FB20" s="98"/>
      <c r="FC20" s="98"/>
    </row>
    <row r="21" spans="1:160" s="105" customFormat="1" ht="18.75" thickBot="1" x14ac:dyDescent="0.3">
      <c r="A21" s="841"/>
      <c r="B21" s="843"/>
      <c r="C21" s="844"/>
      <c r="D21" s="845"/>
      <c r="E21" s="846"/>
      <c r="F21" s="99" t="s">
        <v>154</v>
      </c>
      <c r="G21" s="682">
        <f t="shared" si="20"/>
        <v>425470766</v>
      </c>
      <c r="H21" s="620"/>
      <c r="I21" s="620"/>
      <c r="J21" s="620"/>
      <c r="K21" s="620"/>
      <c r="L21" s="620"/>
      <c r="M21" s="620"/>
      <c r="N21" s="620"/>
      <c r="O21" s="620"/>
      <c r="P21" s="620"/>
      <c r="Q21" s="620"/>
      <c r="R21" s="620"/>
      <c r="S21" s="620"/>
      <c r="T21" s="620"/>
      <c r="U21" s="620"/>
      <c r="V21" s="620"/>
      <c r="W21" s="605">
        <f t="shared" si="1"/>
        <v>0</v>
      </c>
      <c r="X21" s="605">
        <f t="shared" si="2"/>
        <v>0</v>
      </c>
      <c r="Y21" s="605">
        <f t="shared" si="3"/>
        <v>0</v>
      </c>
      <c r="Z21" s="601">
        <f t="shared" si="4"/>
        <v>0</v>
      </c>
      <c r="AA21" s="601">
        <f t="shared" si="5"/>
        <v>0</v>
      </c>
      <c r="AB21" s="612">
        <v>425470766</v>
      </c>
      <c r="AC21" s="612">
        <v>64094000</v>
      </c>
      <c r="AD21" s="612">
        <v>64094000</v>
      </c>
      <c r="AE21" s="612">
        <v>127279101</v>
      </c>
      <c r="AF21" s="612">
        <v>127279101</v>
      </c>
      <c r="AG21" s="612">
        <v>170730113</v>
      </c>
      <c r="AH21" s="612">
        <v>170730113</v>
      </c>
      <c r="AI21" s="612">
        <v>27554699</v>
      </c>
      <c r="AJ21" s="612">
        <v>27554699</v>
      </c>
      <c r="AK21" s="612">
        <v>14031159</v>
      </c>
      <c r="AL21" s="612">
        <v>14031159</v>
      </c>
      <c r="AM21" s="612">
        <v>21781694</v>
      </c>
      <c r="AN21" s="612"/>
      <c r="AO21" s="612">
        <v>0</v>
      </c>
      <c r="AP21" s="612">
        <v>1201933</v>
      </c>
      <c r="AQ21" s="612"/>
      <c r="AR21" s="612">
        <v>17829335</v>
      </c>
      <c r="AS21" s="612"/>
      <c r="AT21" s="612"/>
      <c r="AU21" s="612"/>
      <c r="AV21" s="612"/>
      <c r="AW21" s="612"/>
      <c r="AX21" s="612"/>
      <c r="AY21" s="612"/>
      <c r="AZ21" s="612"/>
      <c r="BA21" s="601">
        <f t="shared" si="11"/>
        <v>425470766</v>
      </c>
      <c r="BB21" s="601">
        <f t="shared" si="12"/>
        <v>425470766</v>
      </c>
      <c r="BC21" s="601">
        <f t="shared" si="13"/>
        <v>422720340</v>
      </c>
      <c r="BD21" s="601">
        <f t="shared" si="14"/>
        <v>425470766</v>
      </c>
      <c r="BE21" s="601">
        <f t="shared" si="15"/>
        <v>422720340</v>
      </c>
      <c r="BF21" s="605"/>
      <c r="BG21" s="614"/>
      <c r="BH21" s="614"/>
      <c r="BI21" s="614"/>
      <c r="BJ21" s="614"/>
      <c r="BK21" s="614"/>
      <c r="BL21" s="614"/>
      <c r="BM21" s="614"/>
      <c r="BN21" s="614"/>
      <c r="BO21" s="614"/>
      <c r="BP21" s="614"/>
      <c r="BQ21" s="614"/>
      <c r="BR21" s="614"/>
      <c r="BS21" s="614"/>
      <c r="BT21" s="614"/>
      <c r="BU21" s="614"/>
      <c r="BV21" s="614"/>
      <c r="BW21" s="614"/>
      <c r="BX21" s="614"/>
      <c r="BY21" s="614"/>
      <c r="BZ21" s="614"/>
      <c r="CA21" s="614"/>
      <c r="CB21" s="614"/>
      <c r="CC21" s="614"/>
      <c r="CD21" s="614"/>
      <c r="CE21" s="615"/>
      <c r="CF21" s="614"/>
      <c r="CG21" s="616"/>
      <c r="CH21" s="614"/>
      <c r="CI21" s="617"/>
      <c r="CJ21" s="605"/>
      <c r="CK21" s="618"/>
      <c r="CL21" s="618"/>
      <c r="CM21" s="618"/>
      <c r="CN21" s="618"/>
      <c r="CO21" s="618"/>
      <c r="CP21" s="618"/>
      <c r="CQ21" s="618"/>
      <c r="CR21" s="618"/>
      <c r="CS21" s="618"/>
      <c r="CT21" s="618"/>
      <c r="CU21" s="618"/>
      <c r="CV21" s="618"/>
      <c r="CW21" s="618"/>
      <c r="CX21" s="618"/>
      <c r="CY21" s="618"/>
      <c r="CZ21" s="618"/>
      <c r="DA21" s="618"/>
      <c r="DB21" s="618"/>
      <c r="DC21" s="618"/>
      <c r="DD21" s="618"/>
      <c r="DE21" s="618"/>
      <c r="DF21" s="618"/>
      <c r="DG21" s="618"/>
      <c r="DH21" s="618"/>
      <c r="DI21" s="615"/>
      <c r="DJ21" s="614"/>
      <c r="DK21" s="616"/>
      <c r="DL21" s="614"/>
      <c r="DM21" s="617"/>
      <c r="DN21" s="605"/>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48"/>
      <c r="EN21" s="102"/>
      <c r="EO21" s="114"/>
      <c r="EP21" s="102"/>
      <c r="EQ21" s="103"/>
      <c r="ER21" s="502" t="e">
        <f t="shared" si="6"/>
        <v>#DIV/0!</v>
      </c>
      <c r="ES21" s="792">
        <f t="shared" si="7"/>
        <v>0.99353556996204995</v>
      </c>
      <c r="ET21" s="506">
        <f t="shared" si="8"/>
        <v>0.99353556996204995</v>
      </c>
      <c r="EU21" s="505">
        <f t="shared" si="9"/>
        <v>0.99353556996204995</v>
      </c>
      <c r="EV21" s="104">
        <f t="shared" si="10"/>
        <v>0.99353556996204995</v>
      </c>
      <c r="EW21" s="1105"/>
      <c r="EX21" s="1106"/>
      <c r="EY21" s="1106"/>
      <c r="EZ21" s="1106"/>
      <c r="FA21" s="1107"/>
      <c r="FB21" s="98"/>
      <c r="FC21" s="98"/>
    </row>
    <row r="22" spans="1:160" s="105" customFormat="1" ht="18.75" thickBot="1" x14ac:dyDescent="0.3">
      <c r="A22" s="841"/>
      <c r="B22" s="843"/>
      <c r="C22" s="844"/>
      <c r="D22" s="845"/>
      <c r="E22" s="846"/>
      <c r="F22" s="107" t="s">
        <v>155</v>
      </c>
      <c r="G22" s="682">
        <f t="shared" si="20"/>
        <v>100</v>
      </c>
      <c r="H22" s="637">
        <v>12.5</v>
      </c>
      <c r="I22" s="635">
        <v>0</v>
      </c>
      <c r="J22" s="635">
        <v>0</v>
      </c>
      <c r="K22" s="636">
        <f t="shared" ref="K22:V22" si="21">K17+K20</f>
        <v>0</v>
      </c>
      <c r="L22" s="636">
        <f t="shared" si="21"/>
        <v>0</v>
      </c>
      <c r="M22" s="637">
        <f t="shared" si="21"/>
        <v>0.3</v>
      </c>
      <c r="N22" s="637">
        <f t="shared" si="21"/>
        <v>0.3</v>
      </c>
      <c r="O22" s="637">
        <f t="shared" si="21"/>
        <v>2.7</v>
      </c>
      <c r="P22" s="637">
        <f t="shared" si="21"/>
        <v>2.7</v>
      </c>
      <c r="Q22" s="637">
        <f t="shared" si="21"/>
        <v>2</v>
      </c>
      <c r="R22" s="637">
        <f t="shared" si="21"/>
        <v>2</v>
      </c>
      <c r="S22" s="637">
        <f t="shared" si="21"/>
        <v>2.5</v>
      </c>
      <c r="T22" s="637">
        <f t="shared" si="21"/>
        <v>2.5</v>
      </c>
      <c r="U22" s="637">
        <f t="shared" si="21"/>
        <v>5</v>
      </c>
      <c r="V22" s="637">
        <f t="shared" si="21"/>
        <v>4.13</v>
      </c>
      <c r="W22" s="638">
        <f t="shared" si="1"/>
        <v>12.5</v>
      </c>
      <c r="X22" s="638">
        <f t="shared" si="2"/>
        <v>12.5</v>
      </c>
      <c r="Y22" s="640">
        <f t="shared" si="3"/>
        <v>11.629999999999999</v>
      </c>
      <c r="Z22" s="639">
        <f t="shared" si="4"/>
        <v>12.5</v>
      </c>
      <c r="AA22" s="640">
        <f t="shared" si="5"/>
        <v>11.629999999999999</v>
      </c>
      <c r="AB22" s="637">
        <f t="shared" ref="AB22:AZ22" si="22">AB17+AB20</f>
        <v>25.87</v>
      </c>
      <c r="AC22" s="637">
        <f t="shared" si="22"/>
        <v>0.83</v>
      </c>
      <c r="AD22" s="637">
        <f t="shared" si="22"/>
        <v>0.83</v>
      </c>
      <c r="AE22" s="637">
        <f t="shared" si="22"/>
        <v>2.72</v>
      </c>
      <c r="AF22" s="637">
        <f t="shared" si="22"/>
        <v>2.7</v>
      </c>
      <c r="AG22" s="637">
        <f t="shared" si="22"/>
        <v>2.2999999999999998</v>
      </c>
      <c r="AH22" s="637">
        <f t="shared" si="22"/>
        <v>2.2999999999999998</v>
      </c>
      <c r="AI22" s="637">
        <f t="shared" si="22"/>
        <v>2.5</v>
      </c>
      <c r="AJ22" s="637">
        <f t="shared" si="22"/>
        <v>2.5</v>
      </c>
      <c r="AK22" s="637">
        <f t="shared" si="22"/>
        <v>1.32</v>
      </c>
      <c r="AL22" s="637">
        <f t="shared" si="22"/>
        <v>1.32</v>
      </c>
      <c r="AM22" s="637">
        <f t="shared" si="22"/>
        <v>3.02</v>
      </c>
      <c r="AN22" s="637">
        <f t="shared" si="22"/>
        <v>2.2000000000000002</v>
      </c>
      <c r="AO22" s="637">
        <f t="shared" si="22"/>
        <v>2.8</v>
      </c>
      <c r="AP22" s="637">
        <f t="shared" si="22"/>
        <v>1.8</v>
      </c>
      <c r="AQ22" s="637">
        <f t="shared" si="22"/>
        <v>2.8</v>
      </c>
      <c r="AR22" s="637">
        <f t="shared" si="22"/>
        <v>4.3199999999999994</v>
      </c>
      <c r="AS22" s="637">
        <f t="shared" si="22"/>
        <v>2.5</v>
      </c>
      <c r="AT22" s="637">
        <f t="shared" si="22"/>
        <v>1.5</v>
      </c>
      <c r="AU22" s="637">
        <f t="shared" si="22"/>
        <v>2.58</v>
      </c>
      <c r="AV22" s="637">
        <f t="shared" si="22"/>
        <v>2</v>
      </c>
      <c r="AW22" s="637">
        <f t="shared" si="22"/>
        <v>1.25</v>
      </c>
      <c r="AX22" s="637">
        <f t="shared" si="22"/>
        <v>2</v>
      </c>
      <c r="AY22" s="637">
        <f t="shared" si="22"/>
        <v>1.25</v>
      </c>
      <c r="AZ22" s="637">
        <f t="shared" si="22"/>
        <v>2.35</v>
      </c>
      <c r="BA22" s="640">
        <f t="shared" si="11"/>
        <v>25.869999999999997</v>
      </c>
      <c r="BB22" s="640">
        <f t="shared" si="12"/>
        <v>25.869999999999997</v>
      </c>
      <c r="BC22" s="640">
        <f t="shared" si="13"/>
        <v>25.820000000000004</v>
      </c>
      <c r="BD22" s="640">
        <f t="shared" si="14"/>
        <v>25.869999999999997</v>
      </c>
      <c r="BE22" s="640">
        <f t="shared" si="15"/>
        <v>25.820000000000004</v>
      </c>
      <c r="BF22" s="638">
        <v>25</v>
      </c>
      <c r="BG22" s="641"/>
      <c r="BH22" s="641"/>
      <c r="BI22" s="641"/>
      <c r="BJ22" s="641"/>
      <c r="BK22" s="641"/>
      <c r="BL22" s="641"/>
      <c r="BM22" s="641"/>
      <c r="BN22" s="641"/>
      <c r="BO22" s="641"/>
      <c r="BP22" s="641"/>
      <c r="BQ22" s="641"/>
      <c r="BR22" s="641"/>
      <c r="BS22" s="641"/>
      <c r="BT22" s="641"/>
      <c r="BU22" s="641"/>
      <c r="BV22" s="641"/>
      <c r="BW22" s="641"/>
      <c r="BX22" s="641"/>
      <c r="BY22" s="641"/>
      <c r="BZ22" s="641"/>
      <c r="CA22" s="641"/>
      <c r="CB22" s="641"/>
      <c r="CC22" s="641"/>
      <c r="CD22" s="641"/>
      <c r="CE22" s="641"/>
      <c r="CF22" s="642"/>
      <c r="CG22" s="643"/>
      <c r="CH22" s="635"/>
      <c r="CI22" s="641"/>
      <c r="CJ22" s="638">
        <v>25</v>
      </c>
      <c r="CK22" s="636"/>
      <c r="CL22" s="636"/>
      <c r="CM22" s="636"/>
      <c r="CN22" s="636"/>
      <c r="CO22" s="636"/>
      <c r="CP22" s="636"/>
      <c r="CQ22" s="636"/>
      <c r="CR22" s="636"/>
      <c r="CS22" s="636"/>
      <c r="CT22" s="636"/>
      <c r="CU22" s="636"/>
      <c r="CV22" s="636"/>
      <c r="CW22" s="636"/>
      <c r="CX22" s="636"/>
      <c r="CY22" s="636"/>
      <c r="CZ22" s="636"/>
      <c r="DA22" s="636"/>
      <c r="DB22" s="636"/>
      <c r="DC22" s="636"/>
      <c r="DD22" s="636"/>
      <c r="DE22" s="636"/>
      <c r="DF22" s="636"/>
      <c r="DG22" s="636"/>
      <c r="DH22" s="636"/>
      <c r="DI22" s="641"/>
      <c r="DJ22" s="642"/>
      <c r="DK22" s="643"/>
      <c r="DL22" s="635"/>
      <c r="DM22" s="641"/>
      <c r="DN22" s="638">
        <v>12.5</v>
      </c>
      <c r="DO22" s="644"/>
      <c r="DP22" s="644"/>
      <c r="DQ22" s="644"/>
      <c r="DR22" s="644"/>
      <c r="DS22" s="644"/>
      <c r="DT22" s="644"/>
      <c r="DU22" s="644"/>
      <c r="DV22" s="644"/>
      <c r="DW22" s="644"/>
      <c r="DX22" s="644"/>
      <c r="DY22" s="644"/>
      <c r="DZ22" s="644"/>
      <c r="EA22" s="644"/>
      <c r="EB22" s="644"/>
      <c r="EC22" s="644"/>
      <c r="ED22" s="644"/>
      <c r="EE22" s="644"/>
      <c r="EF22" s="644"/>
      <c r="EG22" s="644"/>
      <c r="EH22" s="644"/>
      <c r="EI22" s="644"/>
      <c r="EJ22" s="644"/>
      <c r="EK22" s="644"/>
      <c r="EL22" s="644"/>
      <c r="EM22" s="645"/>
      <c r="EN22" s="646"/>
      <c r="EO22" s="647"/>
      <c r="EP22" s="648"/>
      <c r="EQ22" s="645"/>
      <c r="ER22" s="649">
        <f t="shared" si="6"/>
        <v>1.8800000000000001</v>
      </c>
      <c r="ES22" s="793">
        <f t="shared" si="7"/>
        <v>0.99806725937379226</v>
      </c>
      <c r="ET22" s="650">
        <f t="shared" si="8"/>
        <v>0.99806725937379226</v>
      </c>
      <c r="EU22" s="651">
        <f t="shared" si="9"/>
        <v>0.97602293458431078</v>
      </c>
      <c r="EV22" s="652">
        <f t="shared" si="10"/>
        <v>0.37450000000000006</v>
      </c>
      <c r="EW22" s="1105"/>
      <c r="EX22" s="1106"/>
      <c r="EY22" s="1106"/>
      <c r="EZ22" s="1106"/>
      <c r="FA22" s="1107"/>
      <c r="FB22" s="98"/>
      <c r="FC22" s="98"/>
    </row>
    <row r="23" spans="1:160" s="105" customFormat="1" ht="27.75" thickBot="1" x14ac:dyDescent="0.3">
      <c r="A23" s="841"/>
      <c r="B23" s="843"/>
      <c r="C23" s="844"/>
      <c r="D23" s="845"/>
      <c r="E23" s="846"/>
      <c r="F23" s="115" t="s">
        <v>156</v>
      </c>
      <c r="G23" s="665">
        <f>AA23+AB23+BF23+CJ23+DN23</f>
        <v>9156187766</v>
      </c>
      <c r="H23" s="666">
        <f>H18+H21</f>
        <v>815555000</v>
      </c>
      <c r="I23" s="667">
        <v>0</v>
      </c>
      <c r="J23" s="666">
        <f>J18+J21</f>
        <v>0</v>
      </c>
      <c r="K23" s="666">
        <f t="shared" ref="K23:V23" si="23">K18+K21</f>
        <v>141890000</v>
      </c>
      <c r="L23" s="666">
        <f t="shared" si="23"/>
        <v>141890000</v>
      </c>
      <c r="M23" s="666">
        <f t="shared" si="23"/>
        <v>354304000</v>
      </c>
      <c r="N23" s="666">
        <f t="shared" si="23"/>
        <v>354304000</v>
      </c>
      <c r="O23" s="666">
        <f t="shared" si="23"/>
        <v>71784000</v>
      </c>
      <c r="P23" s="666">
        <f t="shared" si="23"/>
        <v>71784000</v>
      </c>
      <c r="Q23" s="666">
        <f t="shared" si="23"/>
        <v>0</v>
      </c>
      <c r="R23" s="666">
        <f t="shared" si="23"/>
        <v>0</v>
      </c>
      <c r="S23" s="666">
        <f t="shared" si="23"/>
        <v>0</v>
      </c>
      <c r="T23" s="666">
        <f t="shared" si="23"/>
        <v>0</v>
      </c>
      <c r="U23" s="666">
        <f t="shared" si="23"/>
        <v>369619000</v>
      </c>
      <c r="V23" s="666">
        <f t="shared" si="23"/>
        <v>358386000</v>
      </c>
      <c r="W23" s="668">
        <f t="shared" si="1"/>
        <v>937597000</v>
      </c>
      <c r="X23" s="668">
        <f t="shared" si="2"/>
        <v>937597000</v>
      </c>
      <c r="Y23" s="668">
        <f t="shared" si="3"/>
        <v>926364000</v>
      </c>
      <c r="Z23" s="669">
        <f t="shared" si="4"/>
        <v>937597000</v>
      </c>
      <c r="AA23" s="669">
        <f t="shared" si="5"/>
        <v>926364000</v>
      </c>
      <c r="AB23" s="666">
        <f t="shared" ref="AB23:AZ23" si="24">AB18+AB21</f>
        <v>2490459766</v>
      </c>
      <c r="AC23" s="666">
        <f t="shared" si="24"/>
        <v>67677000</v>
      </c>
      <c r="AD23" s="666">
        <f t="shared" si="24"/>
        <v>67677000</v>
      </c>
      <c r="AE23" s="666">
        <f t="shared" si="24"/>
        <v>764102101</v>
      </c>
      <c r="AF23" s="666">
        <f t="shared" si="24"/>
        <v>764102101</v>
      </c>
      <c r="AG23" s="666">
        <f t="shared" si="24"/>
        <v>903438113</v>
      </c>
      <c r="AH23" s="666">
        <f t="shared" si="24"/>
        <v>903438113</v>
      </c>
      <c r="AI23" s="666">
        <f t="shared" si="24"/>
        <v>53492699</v>
      </c>
      <c r="AJ23" s="666">
        <f t="shared" si="24"/>
        <v>53492699</v>
      </c>
      <c r="AK23" s="666">
        <f t="shared" si="24"/>
        <v>107034159</v>
      </c>
      <c r="AL23" s="666">
        <f t="shared" si="24"/>
        <v>107034159</v>
      </c>
      <c r="AM23" s="666">
        <f t="shared" si="24"/>
        <v>280528594</v>
      </c>
      <c r="AN23" s="666">
        <f t="shared" si="24"/>
        <v>146437900</v>
      </c>
      <c r="AO23" s="666">
        <f t="shared" si="24"/>
        <v>0</v>
      </c>
      <c r="AP23" s="666">
        <f t="shared" si="24"/>
        <v>60341933</v>
      </c>
      <c r="AQ23" s="666">
        <f t="shared" si="24"/>
        <v>150000000</v>
      </c>
      <c r="AR23" s="666">
        <f t="shared" si="24"/>
        <v>21978335</v>
      </c>
      <c r="AS23" s="666">
        <f t="shared" si="24"/>
        <v>25967100</v>
      </c>
      <c r="AT23" s="666">
        <f t="shared" si="24"/>
        <v>13937000</v>
      </c>
      <c r="AU23" s="666">
        <f t="shared" si="24"/>
        <v>0</v>
      </c>
      <c r="AV23" s="666">
        <f t="shared" si="24"/>
        <v>34682000</v>
      </c>
      <c r="AW23" s="666">
        <f t="shared" si="24"/>
        <v>0</v>
      </c>
      <c r="AX23" s="666">
        <f t="shared" si="24"/>
        <v>68862300</v>
      </c>
      <c r="AY23" s="666">
        <f t="shared" si="24"/>
        <v>58820466</v>
      </c>
      <c r="AZ23" s="666">
        <f t="shared" si="24"/>
        <v>107703866</v>
      </c>
      <c r="BA23" s="669">
        <f t="shared" si="11"/>
        <v>2411060232</v>
      </c>
      <c r="BB23" s="669">
        <f t="shared" si="12"/>
        <v>2411060232</v>
      </c>
      <c r="BC23" s="669">
        <f t="shared" si="13"/>
        <v>2349687406</v>
      </c>
      <c r="BD23" s="669">
        <f t="shared" si="14"/>
        <v>2411060232</v>
      </c>
      <c r="BE23" s="669">
        <f t="shared" si="15"/>
        <v>2349687406</v>
      </c>
      <c r="BF23" s="669">
        <v>2208020000</v>
      </c>
      <c r="BG23" s="670"/>
      <c r="BH23" s="670"/>
      <c r="BI23" s="670"/>
      <c r="BJ23" s="670"/>
      <c r="BK23" s="670"/>
      <c r="BL23" s="670"/>
      <c r="BM23" s="670"/>
      <c r="BN23" s="670"/>
      <c r="BO23" s="670"/>
      <c r="BP23" s="670"/>
      <c r="BQ23" s="670"/>
      <c r="BR23" s="670"/>
      <c r="BS23" s="670"/>
      <c r="BT23" s="670"/>
      <c r="BU23" s="670"/>
      <c r="BV23" s="670"/>
      <c r="BW23" s="670"/>
      <c r="BX23" s="670"/>
      <c r="BY23" s="670"/>
      <c r="BZ23" s="670"/>
      <c r="CA23" s="670"/>
      <c r="CB23" s="670"/>
      <c r="CC23" s="670"/>
      <c r="CD23" s="670"/>
      <c r="CE23" s="671"/>
      <c r="CF23" s="670"/>
      <c r="CG23" s="670"/>
      <c r="CH23" s="670"/>
      <c r="CI23" s="670"/>
      <c r="CJ23" s="669">
        <v>2316344000</v>
      </c>
      <c r="CK23" s="672"/>
      <c r="CL23" s="672"/>
      <c r="CM23" s="672"/>
      <c r="CN23" s="672"/>
      <c r="CO23" s="672"/>
      <c r="CP23" s="672"/>
      <c r="CQ23" s="672"/>
      <c r="CR23" s="672"/>
      <c r="CS23" s="672"/>
      <c r="CT23" s="672"/>
      <c r="CU23" s="672"/>
      <c r="CV23" s="672"/>
      <c r="CW23" s="672"/>
      <c r="CX23" s="672"/>
      <c r="CY23" s="672"/>
      <c r="CZ23" s="672"/>
      <c r="DA23" s="672"/>
      <c r="DB23" s="672"/>
      <c r="DC23" s="672"/>
      <c r="DD23" s="672"/>
      <c r="DE23" s="672"/>
      <c r="DF23" s="672"/>
      <c r="DG23" s="672"/>
      <c r="DH23" s="672"/>
      <c r="DI23" s="671"/>
      <c r="DJ23" s="670"/>
      <c r="DK23" s="670"/>
      <c r="DL23" s="670"/>
      <c r="DM23" s="670"/>
      <c r="DN23" s="669">
        <f>DN18+DN21</f>
        <v>1215000000</v>
      </c>
      <c r="DO23" s="673"/>
      <c r="DP23" s="673"/>
      <c r="DQ23" s="673"/>
      <c r="DR23" s="673"/>
      <c r="DS23" s="673"/>
      <c r="DT23" s="673"/>
      <c r="DU23" s="673"/>
      <c r="DV23" s="673"/>
      <c r="DW23" s="673"/>
      <c r="DX23" s="673"/>
      <c r="DY23" s="673"/>
      <c r="DZ23" s="673"/>
      <c r="EA23" s="673"/>
      <c r="EB23" s="673"/>
      <c r="EC23" s="673"/>
      <c r="ED23" s="673"/>
      <c r="EE23" s="673"/>
      <c r="EF23" s="673"/>
      <c r="EG23" s="673"/>
      <c r="EH23" s="673"/>
      <c r="EI23" s="673"/>
      <c r="EJ23" s="673"/>
      <c r="EK23" s="673"/>
      <c r="EL23" s="673"/>
      <c r="EM23" s="674"/>
      <c r="EN23" s="675"/>
      <c r="EO23" s="675"/>
      <c r="EP23" s="675"/>
      <c r="EQ23" s="675"/>
      <c r="ER23" s="676">
        <f t="shared" si="6"/>
        <v>1.8310610799989242</v>
      </c>
      <c r="ES23" s="677">
        <f t="shared" si="7"/>
        <v>0.97454529539102774</v>
      </c>
      <c r="ET23" s="677">
        <f t="shared" si="8"/>
        <v>0.97454529539102774</v>
      </c>
      <c r="EU23" s="678">
        <f t="shared" si="9"/>
        <v>0.9783179283606056</v>
      </c>
      <c r="EV23" s="1095">
        <f t="shared" si="10"/>
        <v>0.35779644211372325</v>
      </c>
      <c r="EW23" s="1108"/>
      <c r="EX23" s="1109"/>
      <c r="EY23" s="1109"/>
      <c r="EZ23" s="1109"/>
      <c r="FA23" s="1110"/>
      <c r="FB23" s="98"/>
      <c r="FC23" s="98"/>
    </row>
    <row r="24" spans="1:160" s="105" customFormat="1" ht="18.75" customHeight="1" thickBot="1" x14ac:dyDescent="0.3">
      <c r="A24" s="841"/>
      <c r="B24" s="843">
        <v>3</v>
      </c>
      <c r="C24" s="844" t="s">
        <v>159</v>
      </c>
      <c r="D24" s="845" t="s">
        <v>88</v>
      </c>
      <c r="E24" s="846">
        <v>274</v>
      </c>
      <c r="F24" s="93" t="s">
        <v>149</v>
      </c>
      <c r="G24" s="682">
        <f t="shared" ref="G24:G29" si="25">AA24+BA24+BF24+CJ24+DN24</f>
        <v>99.5</v>
      </c>
      <c r="H24" s="653">
        <v>12.5</v>
      </c>
      <c r="I24" s="654">
        <v>0</v>
      </c>
      <c r="J24" s="654">
        <v>0</v>
      </c>
      <c r="K24" s="654">
        <v>0</v>
      </c>
      <c r="L24" s="654">
        <v>0</v>
      </c>
      <c r="M24" s="657">
        <v>2.5</v>
      </c>
      <c r="N24" s="657">
        <v>2.5</v>
      </c>
      <c r="O24" s="657">
        <v>2.5</v>
      </c>
      <c r="P24" s="653">
        <v>2.5</v>
      </c>
      <c r="Q24" s="657">
        <v>1.8</v>
      </c>
      <c r="R24" s="657">
        <v>1.8</v>
      </c>
      <c r="S24" s="657">
        <v>1.48</v>
      </c>
      <c r="T24" s="657">
        <v>1.48</v>
      </c>
      <c r="U24" s="657">
        <v>4.22</v>
      </c>
      <c r="V24" s="657">
        <v>3.72</v>
      </c>
      <c r="W24" s="655">
        <f t="shared" si="1"/>
        <v>12.5</v>
      </c>
      <c r="X24" s="655">
        <f t="shared" si="2"/>
        <v>12.5</v>
      </c>
      <c r="Y24" s="656">
        <f>J24+L24+N24+P24+R24+T24+V24</f>
        <v>12</v>
      </c>
      <c r="Z24" s="655">
        <f t="shared" si="4"/>
        <v>12.5</v>
      </c>
      <c r="AA24" s="656">
        <f t="shared" si="5"/>
        <v>12</v>
      </c>
      <c r="AB24" s="653">
        <v>25</v>
      </c>
      <c r="AC24" s="653">
        <v>0</v>
      </c>
      <c r="AD24" s="653">
        <v>0</v>
      </c>
      <c r="AE24" s="657">
        <v>2.27</v>
      </c>
      <c r="AF24" s="657">
        <v>2.27</v>
      </c>
      <c r="AG24" s="657">
        <v>2.27</v>
      </c>
      <c r="AH24" s="657">
        <v>2.27</v>
      </c>
      <c r="AI24" s="657">
        <v>2.27</v>
      </c>
      <c r="AJ24" s="657">
        <v>2.27</v>
      </c>
      <c r="AK24" s="657">
        <v>2.27</v>
      </c>
      <c r="AL24" s="657">
        <v>2.1</v>
      </c>
      <c r="AM24" s="657">
        <v>2.27</v>
      </c>
      <c r="AN24" s="657">
        <v>2.27</v>
      </c>
      <c r="AO24" s="657">
        <v>2.27</v>
      </c>
      <c r="AP24" s="657">
        <v>2.19</v>
      </c>
      <c r="AQ24" s="657">
        <v>2.27</v>
      </c>
      <c r="AR24" s="657">
        <v>2.27</v>
      </c>
      <c r="AS24" s="657">
        <v>2.27</v>
      </c>
      <c r="AT24" s="657">
        <v>2.42</v>
      </c>
      <c r="AU24" s="657">
        <v>2.27</v>
      </c>
      <c r="AV24" s="657">
        <v>2.29</v>
      </c>
      <c r="AW24" s="657">
        <v>2.27</v>
      </c>
      <c r="AX24" s="657">
        <v>2.35</v>
      </c>
      <c r="AY24" s="657">
        <v>2.2999999999999998</v>
      </c>
      <c r="AZ24" s="657">
        <v>2.2999999999999998</v>
      </c>
      <c r="BA24" s="658">
        <f t="shared" si="11"/>
        <v>25</v>
      </c>
      <c r="BB24" s="658">
        <f t="shared" si="12"/>
        <v>25</v>
      </c>
      <c r="BC24" s="658">
        <f t="shared" si="13"/>
        <v>25</v>
      </c>
      <c r="BD24" s="658">
        <f t="shared" si="14"/>
        <v>25</v>
      </c>
      <c r="BE24" s="658">
        <f t="shared" si="15"/>
        <v>25</v>
      </c>
      <c r="BF24" s="658">
        <v>25</v>
      </c>
      <c r="BG24" s="1084"/>
      <c r="BH24" s="1084"/>
      <c r="BI24" s="1084"/>
      <c r="BJ24" s="1084"/>
      <c r="BK24" s="1084"/>
      <c r="BL24" s="1084"/>
      <c r="BM24" s="1084"/>
      <c r="BN24" s="1084"/>
      <c r="BO24" s="1084"/>
      <c r="BP24" s="1084"/>
      <c r="BQ24" s="1084"/>
      <c r="BR24" s="1084"/>
      <c r="BS24" s="1084"/>
      <c r="BT24" s="1084"/>
      <c r="BU24" s="1084"/>
      <c r="BV24" s="1084"/>
      <c r="BW24" s="1084"/>
      <c r="BX24" s="1084"/>
      <c r="BY24" s="1084"/>
      <c r="BZ24" s="1084"/>
      <c r="CA24" s="1084"/>
      <c r="CB24" s="1084"/>
      <c r="CC24" s="1084"/>
      <c r="CD24" s="1084"/>
      <c r="CE24" s="654"/>
      <c r="CF24" s="1084"/>
      <c r="CG24" s="1084"/>
      <c r="CH24" s="1084"/>
      <c r="CI24" s="1084"/>
      <c r="CJ24" s="658">
        <v>25</v>
      </c>
      <c r="CK24" s="1085"/>
      <c r="CL24" s="1085"/>
      <c r="CM24" s="1085"/>
      <c r="CN24" s="1085"/>
      <c r="CO24" s="1085"/>
      <c r="CP24" s="1085"/>
      <c r="CQ24" s="1085"/>
      <c r="CR24" s="1085"/>
      <c r="CS24" s="1085"/>
      <c r="CT24" s="1085"/>
      <c r="CU24" s="1085"/>
      <c r="CV24" s="1085"/>
      <c r="CW24" s="1085"/>
      <c r="CX24" s="1085"/>
      <c r="CY24" s="1085"/>
      <c r="CZ24" s="1085"/>
      <c r="DA24" s="1085"/>
      <c r="DB24" s="1085"/>
      <c r="DC24" s="1085"/>
      <c r="DD24" s="1085"/>
      <c r="DE24" s="1085"/>
      <c r="DF24" s="1085"/>
      <c r="DG24" s="1085"/>
      <c r="DH24" s="1085"/>
      <c r="DI24" s="654"/>
      <c r="DJ24" s="1086"/>
      <c r="DK24" s="1086"/>
      <c r="DL24" s="1086"/>
      <c r="DM24" s="1086"/>
      <c r="DN24" s="655">
        <v>12.5</v>
      </c>
      <c r="DO24" s="679"/>
      <c r="DP24" s="679"/>
      <c r="DQ24" s="679"/>
      <c r="DR24" s="679"/>
      <c r="DS24" s="679"/>
      <c r="DT24" s="679"/>
      <c r="DU24" s="679"/>
      <c r="DV24" s="679"/>
      <c r="DW24" s="679"/>
      <c r="DX24" s="679"/>
      <c r="DY24" s="679"/>
      <c r="DZ24" s="679"/>
      <c r="EA24" s="679"/>
      <c r="EB24" s="679"/>
      <c r="EC24" s="679"/>
      <c r="ED24" s="679"/>
      <c r="EE24" s="679"/>
      <c r="EF24" s="679"/>
      <c r="EG24" s="679"/>
      <c r="EH24" s="679"/>
      <c r="EI24" s="679"/>
      <c r="EJ24" s="679"/>
      <c r="EK24" s="679"/>
      <c r="EL24" s="679"/>
      <c r="EM24" s="680"/>
      <c r="EN24" s="681"/>
      <c r="EO24" s="681"/>
      <c r="EP24" s="681"/>
      <c r="EQ24" s="681"/>
      <c r="ER24" s="662">
        <f t="shared" si="6"/>
        <v>1</v>
      </c>
      <c r="ES24" s="794">
        <f t="shared" si="7"/>
        <v>1</v>
      </c>
      <c r="ET24" s="507">
        <f t="shared" si="8"/>
        <v>1</v>
      </c>
      <c r="EU24" s="663">
        <f t="shared" si="9"/>
        <v>0.98666666666666669</v>
      </c>
      <c r="EV24" s="664">
        <f t="shared" si="10"/>
        <v>0.37185929648241206</v>
      </c>
      <c r="EW24" s="1111" t="s">
        <v>554</v>
      </c>
      <c r="EX24" s="1096" t="s">
        <v>89</v>
      </c>
      <c r="EY24" s="1096" t="s">
        <v>90</v>
      </c>
      <c r="EZ24" s="1103" t="s">
        <v>160</v>
      </c>
      <c r="FA24" s="1104" t="s">
        <v>161</v>
      </c>
      <c r="FB24" s="98"/>
      <c r="FC24" s="98"/>
    </row>
    <row r="25" spans="1:160" s="105" customFormat="1" ht="18.75" thickBot="1" x14ac:dyDescent="0.3">
      <c r="A25" s="841"/>
      <c r="B25" s="843"/>
      <c r="C25" s="844"/>
      <c r="D25" s="845"/>
      <c r="E25" s="846"/>
      <c r="F25" s="99" t="s">
        <v>151</v>
      </c>
      <c r="G25" s="682">
        <f t="shared" si="25"/>
        <v>4807112302</v>
      </c>
      <c r="H25" s="600">
        <v>400000000</v>
      </c>
      <c r="I25" s="600">
        <v>0</v>
      </c>
      <c r="J25" s="600">
        <v>0</v>
      </c>
      <c r="K25" s="600">
        <v>0</v>
      </c>
      <c r="L25" s="600">
        <v>0</v>
      </c>
      <c r="M25" s="600">
        <v>246320000</v>
      </c>
      <c r="N25" s="600">
        <v>246320000</v>
      </c>
      <c r="O25" s="600">
        <v>55509000</v>
      </c>
      <c r="P25" s="600">
        <v>55509000</v>
      </c>
      <c r="Q25" s="600">
        <v>0</v>
      </c>
      <c r="R25" s="600">
        <v>0</v>
      </c>
      <c r="S25" s="600">
        <v>0</v>
      </c>
      <c r="T25" s="600">
        <v>0</v>
      </c>
      <c r="U25" s="600">
        <v>127129000</v>
      </c>
      <c r="V25" s="600">
        <v>124623000</v>
      </c>
      <c r="W25" s="605">
        <f t="shared" si="1"/>
        <v>428958000</v>
      </c>
      <c r="X25" s="605">
        <f t="shared" si="2"/>
        <v>428958000</v>
      </c>
      <c r="Y25" s="605">
        <f t="shared" si="3"/>
        <v>426452000</v>
      </c>
      <c r="Z25" s="601">
        <f t="shared" si="4"/>
        <v>428958000</v>
      </c>
      <c r="AA25" s="601">
        <f t="shared" si="5"/>
        <v>426452000</v>
      </c>
      <c r="AB25" s="600">
        <v>1585211000</v>
      </c>
      <c r="AC25" s="600">
        <v>0</v>
      </c>
      <c r="AD25" s="600">
        <v>0</v>
      </c>
      <c r="AE25" s="600">
        <v>753612000</v>
      </c>
      <c r="AF25" s="600">
        <v>753612000</v>
      </c>
      <c r="AG25" s="600">
        <v>714123000</v>
      </c>
      <c r="AH25" s="600">
        <v>714123000</v>
      </c>
      <c r="AI25" s="600">
        <v>75456000</v>
      </c>
      <c r="AJ25" s="600">
        <v>75456000</v>
      </c>
      <c r="AK25" s="600">
        <v>-78986600</v>
      </c>
      <c r="AL25" s="600">
        <v>-78986600</v>
      </c>
      <c r="AM25" s="600">
        <v>56196000</v>
      </c>
      <c r="AN25" s="600">
        <v>12840000</v>
      </c>
      <c r="AO25" s="600">
        <v>0</v>
      </c>
      <c r="AP25" s="600">
        <v>46830000</v>
      </c>
      <c r="AQ25" s="600"/>
      <c r="AR25" s="600"/>
      <c r="AS25" s="600"/>
      <c r="AT25" s="600">
        <v>0</v>
      </c>
      <c r="AU25" s="600">
        <v>65273302</v>
      </c>
      <c r="AV25" s="600">
        <v>71821234</v>
      </c>
      <c r="AW25" s="621"/>
      <c r="AX25" s="600">
        <v>32149000</v>
      </c>
      <c r="AY25" s="600">
        <v>64810600</v>
      </c>
      <c r="AZ25" s="600">
        <v>22242000</v>
      </c>
      <c r="BA25" s="601">
        <f>AC25+AE25+AG25+AI25+AK25+AM25+AO25+AQ25+AS25+AU25+AY25+AW25</f>
        <v>1650484302</v>
      </c>
      <c r="BB25" s="601">
        <f t="shared" si="12"/>
        <v>1650484302</v>
      </c>
      <c r="BC25" s="601">
        <f t="shared" si="13"/>
        <v>1650086634</v>
      </c>
      <c r="BD25" s="601">
        <f>AC25+AE25+AG25+AI25+AK25+AM25+AO25+AQ25+AS25+AU25+AY25+AW25</f>
        <v>1650484302</v>
      </c>
      <c r="BE25" s="601">
        <f t="shared" si="15"/>
        <v>1650086634</v>
      </c>
      <c r="BF25" s="601">
        <v>1230176000</v>
      </c>
      <c r="BG25" s="604"/>
      <c r="BH25" s="604"/>
      <c r="BI25" s="604"/>
      <c r="BJ25" s="604"/>
      <c r="BK25" s="604"/>
      <c r="BL25" s="604"/>
      <c r="BM25" s="604"/>
      <c r="BN25" s="604"/>
      <c r="BO25" s="604"/>
      <c r="BP25" s="604"/>
      <c r="BQ25" s="604"/>
      <c r="BR25" s="604"/>
      <c r="BS25" s="604"/>
      <c r="BT25" s="604"/>
      <c r="BU25" s="604"/>
      <c r="BV25" s="604"/>
      <c r="BW25" s="604"/>
      <c r="BX25" s="604"/>
      <c r="BY25" s="604"/>
      <c r="BZ25" s="604"/>
      <c r="CA25" s="604"/>
      <c r="CB25" s="604"/>
      <c r="CC25" s="604"/>
      <c r="CD25" s="604"/>
      <c r="CE25" s="615"/>
      <c r="CF25" s="604"/>
      <c r="CG25" s="604"/>
      <c r="CH25" s="604"/>
      <c r="CI25" s="604"/>
      <c r="CJ25" s="601">
        <v>1000000000</v>
      </c>
      <c r="CK25" s="622"/>
      <c r="CL25" s="622"/>
      <c r="CM25" s="622"/>
      <c r="CN25" s="622"/>
      <c r="CO25" s="622"/>
      <c r="CP25" s="622"/>
      <c r="CQ25" s="622"/>
      <c r="CR25" s="622"/>
      <c r="CS25" s="622"/>
      <c r="CT25" s="622"/>
      <c r="CU25" s="622"/>
      <c r="CV25" s="622"/>
      <c r="CW25" s="622"/>
      <c r="CX25" s="622"/>
      <c r="CY25" s="622"/>
      <c r="CZ25" s="622"/>
      <c r="DA25" s="622"/>
      <c r="DB25" s="622"/>
      <c r="DC25" s="622"/>
      <c r="DD25" s="622"/>
      <c r="DE25" s="622"/>
      <c r="DF25" s="622"/>
      <c r="DG25" s="622"/>
      <c r="DH25" s="622"/>
      <c r="DI25" s="615"/>
      <c r="DJ25" s="604"/>
      <c r="DK25" s="604"/>
      <c r="DL25" s="604"/>
      <c r="DM25" s="604"/>
      <c r="DN25" s="601">
        <v>500000000</v>
      </c>
      <c r="DO25" s="116"/>
      <c r="DP25" s="116"/>
      <c r="DQ25" s="116"/>
      <c r="DR25" s="116"/>
      <c r="DS25" s="116"/>
      <c r="DT25" s="116"/>
      <c r="DU25" s="116"/>
      <c r="DV25" s="116"/>
      <c r="DW25" s="116"/>
      <c r="DX25" s="116"/>
      <c r="DY25" s="116"/>
      <c r="DZ25" s="116"/>
      <c r="EA25" s="116"/>
      <c r="EB25" s="116"/>
      <c r="EC25" s="116"/>
      <c r="ED25" s="116"/>
      <c r="EE25" s="116"/>
      <c r="EF25" s="116"/>
      <c r="EG25" s="116"/>
      <c r="EH25" s="116"/>
      <c r="EI25" s="116"/>
      <c r="EJ25" s="116"/>
      <c r="EK25" s="116"/>
      <c r="EL25" s="116"/>
      <c r="EM25" s="48"/>
      <c r="EN25" s="103"/>
      <c r="EO25" s="103"/>
      <c r="EP25" s="103"/>
      <c r="EQ25" s="103"/>
      <c r="ER25" s="502">
        <f t="shared" si="6"/>
        <v>0.34318460251872379</v>
      </c>
      <c r="ES25" s="792">
        <f t="shared" si="7"/>
        <v>0.99975905981079727</v>
      </c>
      <c r="ET25" s="506">
        <f t="shared" si="8"/>
        <v>0.99975905981079727</v>
      </c>
      <c r="EU25" s="504">
        <f t="shared" si="9"/>
        <v>0.99860363136923436</v>
      </c>
      <c r="EV25" s="104">
        <f t="shared" si="10"/>
        <v>0.43197214950357116</v>
      </c>
      <c r="EW25" s="1112"/>
      <c r="EX25" s="1097"/>
      <c r="EY25" s="1097"/>
      <c r="EZ25" s="1106"/>
      <c r="FA25" s="1107"/>
      <c r="FB25" s="98"/>
      <c r="FC25" s="98"/>
    </row>
    <row r="26" spans="1:160" s="105" customFormat="1" ht="18.75" thickBot="1" x14ac:dyDescent="0.3">
      <c r="A26" s="841"/>
      <c r="B26" s="843"/>
      <c r="C26" s="844"/>
      <c r="D26" s="845"/>
      <c r="E26" s="846"/>
      <c r="F26" s="99" t="s">
        <v>152</v>
      </c>
      <c r="G26" s="682"/>
      <c r="H26" s="600"/>
      <c r="I26" s="600"/>
      <c r="J26" s="600"/>
      <c r="K26" s="600"/>
      <c r="L26" s="600"/>
      <c r="M26" s="600"/>
      <c r="N26" s="600"/>
      <c r="O26" s="600"/>
      <c r="P26" s="600"/>
      <c r="Q26" s="600"/>
      <c r="R26" s="600"/>
      <c r="S26" s="600"/>
      <c r="T26" s="600"/>
      <c r="U26" s="600"/>
      <c r="V26" s="600"/>
      <c r="W26" s="605">
        <f t="shared" si="1"/>
        <v>0</v>
      </c>
      <c r="X26" s="605">
        <f t="shared" si="2"/>
        <v>0</v>
      </c>
      <c r="Y26" s="605">
        <f t="shared" si="3"/>
        <v>0</v>
      </c>
      <c r="Z26" s="601">
        <f t="shared" si="4"/>
        <v>0</v>
      </c>
      <c r="AA26" s="601">
        <f t="shared" si="5"/>
        <v>0</v>
      </c>
      <c r="AB26" s="600">
        <v>1585211000</v>
      </c>
      <c r="AC26" s="600"/>
      <c r="AD26" s="600"/>
      <c r="AE26" s="600"/>
      <c r="AF26" s="600"/>
      <c r="AG26" s="600">
        <v>32719366</v>
      </c>
      <c r="AH26" s="600">
        <v>32719366</v>
      </c>
      <c r="AI26" s="600">
        <v>104617867</v>
      </c>
      <c r="AJ26" s="600">
        <v>104617867</v>
      </c>
      <c r="AK26" s="600">
        <v>168815633</v>
      </c>
      <c r="AL26" s="600">
        <v>168815633</v>
      </c>
      <c r="AM26" s="600">
        <v>163908467</v>
      </c>
      <c r="AN26" s="600">
        <v>163908467</v>
      </c>
      <c r="AO26" s="600">
        <v>163643000</v>
      </c>
      <c r="AP26" s="600">
        <v>163857000</v>
      </c>
      <c r="AQ26" s="600">
        <v>163643000</v>
      </c>
      <c r="AR26" s="600">
        <v>161742000</v>
      </c>
      <c r="AS26" s="600">
        <v>163643000</v>
      </c>
      <c r="AT26" s="600">
        <v>183873000</v>
      </c>
      <c r="AU26" s="600">
        <v>163643000</v>
      </c>
      <c r="AV26" s="600">
        <v>175149000</v>
      </c>
      <c r="AW26" s="600">
        <v>163643000</v>
      </c>
      <c r="AX26" s="600">
        <v>175149000</v>
      </c>
      <c r="AY26" s="600">
        <v>362207969</v>
      </c>
      <c r="AZ26" s="600">
        <v>253891166</v>
      </c>
      <c r="BA26" s="601">
        <f t="shared" si="11"/>
        <v>1650484302</v>
      </c>
      <c r="BB26" s="601">
        <f t="shared" si="12"/>
        <v>1650484302</v>
      </c>
      <c r="BC26" s="601">
        <f t="shared" si="13"/>
        <v>1583722499</v>
      </c>
      <c r="BD26" s="601">
        <f t="shared" ref="BD26:BD44" si="26">AC26+AE26+AG26+AI26+AK26+AM26+AO26+AQ26+AS26+AU26+AW26+AY26</f>
        <v>1650484302</v>
      </c>
      <c r="BE26" s="601">
        <f t="shared" si="15"/>
        <v>1583722499</v>
      </c>
      <c r="BF26" s="601"/>
      <c r="BG26" s="604"/>
      <c r="BH26" s="604"/>
      <c r="BI26" s="604"/>
      <c r="BJ26" s="604"/>
      <c r="BK26" s="604"/>
      <c r="BL26" s="604"/>
      <c r="BM26" s="604"/>
      <c r="BN26" s="604"/>
      <c r="BO26" s="604"/>
      <c r="BP26" s="604"/>
      <c r="BQ26" s="604"/>
      <c r="BR26" s="604"/>
      <c r="BS26" s="604"/>
      <c r="BT26" s="604"/>
      <c r="BU26" s="604"/>
      <c r="BV26" s="604"/>
      <c r="BW26" s="604"/>
      <c r="BX26" s="604"/>
      <c r="BY26" s="604"/>
      <c r="BZ26" s="604"/>
      <c r="CA26" s="604"/>
      <c r="CB26" s="604"/>
      <c r="CC26" s="604"/>
      <c r="CD26" s="604"/>
      <c r="CE26" s="615"/>
      <c r="CF26" s="604"/>
      <c r="CG26" s="604"/>
      <c r="CH26" s="604"/>
      <c r="CI26" s="604"/>
      <c r="CJ26" s="601"/>
      <c r="CK26" s="622"/>
      <c r="CL26" s="622"/>
      <c r="CM26" s="622"/>
      <c r="CN26" s="622"/>
      <c r="CO26" s="622"/>
      <c r="CP26" s="622"/>
      <c r="CQ26" s="622"/>
      <c r="CR26" s="622"/>
      <c r="CS26" s="622"/>
      <c r="CT26" s="622"/>
      <c r="CU26" s="622"/>
      <c r="CV26" s="622"/>
      <c r="CW26" s="622"/>
      <c r="CX26" s="622"/>
      <c r="CY26" s="622"/>
      <c r="CZ26" s="622"/>
      <c r="DA26" s="622"/>
      <c r="DB26" s="622"/>
      <c r="DC26" s="622"/>
      <c r="DD26" s="622"/>
      <c r="DE26" s="622"/>
      <c r="DF26" s="622"/>
      <c r="DG26" s="622"/>
      <c r="DH26" s="622"/>
      <c r="DI26" s="615"/>
      <c r="DJ26" s="604"/>
      <c r="DK26" s="604"/>
      <c r="DL26" s="604"/>
      <c r="DM26" s="604"/>
      <c r="DN26" s="601"/>
      <c r="DO26" s="116"/>
      <c r="DP26" s="116"/>
      <c r="DQ26" s="116"/>
      <c r="DR26" s="116"/>
      <c r="DS26" s="116"/>
      <c r="DT26" s="116"/>
      <c r="DU26" s="116"/>
      <c r="DV26" s="116"/>
      <c r="DW26" s="116"/>
      <c r="DX26" s="116"/>
      <c r="DY26" s="116"/>
      <c r="DZ26" s="116"/>
      <c r="EA26" s="116"/>
      <c r="EB26" s="116"/>
      <c r="EC26" s="116"/>
      <c r="ED26" s="116"/>
      <c r="EE26" s="116"/>
      <c r="EF26" s="116"/>
      <c r="EG26" s="116"/>
      <c r="EH26" s="116"/>
      <c r="EI26" s="116"/>
      <c r="EJ26" s="116"/>
      <c r="EK26" s="116"/>
      <c r="EL26" s="116"/>
      <c r="EM26" s="48"/>
      <c r="EN26" s="103"/>
      <c r="EO26" s="103"/>
      <c r="EP26" s="103"/>
      <c r="EQ26" s="103"/>
      <c r="ER26" s="502">
        <f t="shared" si="6"/>
        <v>0.70095411401619379</v>
      </c>
      <c r="ES26" s="792">
        <f t="shared" si="7"/>
        <v>0.95955017389798836</v>
      </c>
      <c r="ET26" s="506">
        <f t="shared" si="8"/>
        <v>0.95955017389798836</v>
      </c>
      <c r="EU26" s="505">
        <f t="shared" si="9"/>
        <v>0.95955017389798836</v>
      </c>
      <c r="EV26" s="104" t="e">
        <f t="shared" si="10"/>
        <v>#DIV/0!</v>
      </c>
      <c r="EW26" s="1112"/>
      <c r="EX26" s="1097"/>
      <c r="EY26" s="1097"/>
      <c r="EZ26" s="1106"/>
      <c r="FA26" s="1107"/>
      <c r="FB26" s="98"/>
      <c r="FC26" s="98"/>
    </row>
    <row r="27" spans="1:160" s="105" customFormat="1" ht="18.75" thickBot="1" x14ac:dyDescent="0.3">
      <c r="A27" s="841"/>
      <c r="B27" s="843"/>
      <c r="C27" s="844"/>
      <c r="D27" s="845"/>
      <c r="E27" s="846"/>
      <c r="F27" s="107" t="s">
        <v>153</v>
      </c>
      <c r="G27" s="682">
        <f t="shared" si="25"/>
        <v>0.46</v>
      </c>
      <c r="H27" s="606"/>
      <c r="I27" s="606"/>
      <c r="J27" s="606"/>
      <c r="K27" s="606"/>
      <c r="L27" s="606"/>
      <c r="M27" s="606"/>
      <c r="N27" s="606"/>
      <c r="O27" s="607"/>
      <c r="P27" s="606"/>
      <c r="Q27" s="606"/>
      <c r="R27" s="606"/>
      <c r="S27" s="606"/>
      <c r="T27" s="606"/>
      <c r="U27" s="607"/>
      <c r="V27" s="607"/>
      <c r="W27" s="605">
        <f t="shared" si="1"/>
        <v>0</v>
      </c>
      <c r="X27" s="605">
        <f t="shared" si="2"/>
        <v>0</v>
      </c>
      <c r="Y27" s="605">
        <f t="shared" si="3"/>
        <v>0</v>
      </c>
      <c r="Z27" s="601">
        <f t="shared" si="4"/>
        <v>0</v>
      </c>
      <c r="AA27" s="601">
        <f t="shared" si="5"/>
        <v>0</v>
      </c>
      <c r="AB27" s="30">
        <v>0.46</v>
      </c>
      <c r="AC27" s="30">
        <v>0.19</v>
      </c>
      <c r="AD27" s="30">
        <v>0.19</v>
      </c>
      <c r="AE27" s="30">
        <v>0.27</v>
      </c>
      <c r="AF27" s="30">
        <v>0.27</v>
      </c>
      <c r="AG27" s="30">
        <v>0</v>
      </c>
      <c r="AH27" s="30">
        <v>0</v>
      </c>
      <c r="AI27" s="30">
        <v>0</v>
      </c>
      <c r="AJ27" s="30">
        <v>0</v>
      </c>
      <c r="AK27" s="30">
        <v>0</v>
      </c>
      <c r="AL27" s="30">
        <v>0</v>
      </c>
      <c r="AM27" s="30"/>
      <c r="AN27" s="30"/>
      <c r="AO27" s="30"/>
      <c r="AP27" s="30"/>
      <c r="AQ27" s="30"/>
      <c r="AR27" s="30"/>
      <c r="AS27" s="30"/>
      <c r="AT27" s="30"/>
      <c r="AU27" s="30"/>
      <c r="AV27" s="30"/>
      <c r="AW27" s="30"/>
      <c r="AX27" s="30"/>
      <c r="AY27" s="608"/>
      <c r="AZ27" s="623"/>
      <c r="BA27" s="610">
        <f t="shared" si="11"/>
        <v>0.46</v>
      </c>
      <c r="BB27" s="610">
        <f t="shared" si="12"/>
        <v>0.46</v>
      </c>
      <c r="BC27" s="610">
        <f t="shared" si="13"/>
        <v>0.46</v>
      </c>
      <c r="BD27" s="610">
        <f t="shared" si="26"/>
        <v>0.46</v>
      </c>
      <c r="BE27" s="610">
        <f t="shared" si="15"/>
        <v>0.46</v>
      </c>
      <c r="BF27" s="605"/>
      <c r="BG27" s="624"/>
      <c r="BH27" s="624"/>
      <c r="BI27" s="624"/>
      <c r="BJ27" s="624"/>
      <c r="BK27" s="624"/>
      <c r="BL27" s="624"/>
      <c r="BM27" s="624"/>
      <c r="BN27" s="624"/>
      <c r="BO27" s="624"/>
      <c r="BP27" s="624"/>
      <c r="BQ27" s="624"/>
      <c r="BR27" s="624"/>
      <c r="BS27" s="624"/>
      <c r="BT27" s="624"/>
      <c r="BU27" s="624"/>
      <c r="BV27" s="624"/>
      <c r="BW27" s="624"/>
      <c r="BX27" s="624"/>
      <c r="BY27" s="624"/>
      <c r="BZ27" s="624"/>
      <c r="CA27" s="624"/>
      <c r="CB27" s="624"/>
      <c r="CC27" s="624"/>
      <c r="CD27" s="624"/>
      <c r="CE27" s="615"/>
      <c r="CF27" s="617"/>
      <c r="CG27" s="617"/>
      <c r="CH27" s="617"/>
      <c r="CI27" s="617"/>
      <c r="CJ27" s="605"/>
      <c r="CK27" s="625"/>
      <c r="CL27" s="625"/>
      <c r="CM27" s="625"/>
      <c r="CN27" s="625"/>
      <c r="CO27" s="625"/>
      <c r="CP27" s="625"/>
      <c r="CQ27" s="625"/>
      <c r="CR27" s="625"/>
      <c r="CS27" s="625"/>
      <c r="CT27" s="625"/>
      <c r="CU27" s="625"/>
      <c r="CV27" s="625"/>
      <c r="CW27" s="625"/>
      <c r="CX27" s="625"/>
      <c r="CY27" s="625"/>
      <c r="CZ27" s="625"/>
      <c r="DA27" s="625"/>
      <c r="DB27" s="625"/>
      <c r="DC27" s="625"/>
      <c r="DD27" s="625"/>
      <c r="DE27" s="625"/>
      <c r="DF27" s="625"/>
      <c r="DG27" s="625"/>
      <c r="DH27" s="625"/>
      <c r="DI27" s="615"/>
      <c r="DJ27" s="617"/>
      <c r="DK27" s="617"/>
      <c r="DL27" s="617"/>
      <c r="DM27" s="617"/>
      <c r="DN27" s="605"/>
      <c r="DO27" s="116"/>
      <c r="DP27" s="116"/>
      <c r="DQ27" s="116"/>
      <c r="DR27" s="116"/>
      <c r="DS27" s="116"/>
      <c r="DT27" s="116"/>
      <c r="DU27" s="116"/>
      <c r="DV27" s="116"/>
      <c r="DW27" s="116"/>
      <c r="DX27" s="116"/>
      <c r="DY27" s="116"/>
      <c r="DZ27" s="116"/>
      <c r="EA27" s="116"/>
      <c r="EB27" s="116"/>
      <c r="EC27" s="116"/>
      <c r="ED27" s="116"/>
      <c r="EE27" s="116"/>
      <c r="EF27" s="116"/>
      <c r="EG27" s="116"/>
      <c r="EH27" s="116"/>
      <c r="EI27" s="116"/>
      <c r="EJ27" s="116"/>
      <c r="EK27" s="116"/>
      <c r="EL27" s="116"/>
      <c r="EM27" s="48"/>
      <c r="EN27" s="103"/>
      <c r="EO27" s="103"/>
      <c r="EP27" s="103"/>
      <c r="EQ27" s="103"/>
      <c r="ER27" s="502" t="e">
        <f t="shared" si="6"/>
        <v>#DIV/0!</v>
      </c>
      <c r="ES27" s="792">
        <f t="shared" si="7"/>
        <v>1</v>
      </c>
      <c r="ET27" s="506">
        <f t="shared" si="8"/>
        <v>1</v>
      </c>
      <c r="EU27" s="505">
        <f t="shared" si="9"/>
        <v>1</v>
      </c>
      <c r="EV27" s="112">
        <f t="shared" si="10"/>
        <v>1</v>
      </c>
      <c r="EW27" s="1112"/>
      <c r="EX27" s="1097"/>
      <c r="EY27" s="1097"/>
      <c r="EZ27" s="1106"/>
      <c r="FA27" s="1107"/>
      <c r="FB27" s="98"/>
      <c r="FC27" s="98"/>
    </row>
    <row r="28" spans="1:160" s="105" customFormat="1" ht="18.75" thickBot="1" x14ac:dyDescent="0.3">
      <c r="A28" s="841"/>
      <c r="B28" s="843"/>
      <c r="C28" s="844"/>
      <c r="D28" s="845"/>
      <c r="E28" s="846"/>
      <c r="F28" s="99" t="s">
        <v>154</v>
      </c>
      <c r="G28" s="682">
        <f t="shared" si="25"/>
        <v>169458166</v>
      </c>
      <c r="H28" s="626"/>
      <c r="I28" s="606"/>
      <c r="J28" s="606"/>
      <c r="K28" s="606"/>
      <c r="L28" s="606"/>
      <c r="M28" s="606"/>
      <c r="N28" s="606"/>
      <c r="O28" s="606"/>
      <c r="P28" s="606"/>
      <c r="Q28" s="606"/>
      <c r="R28" s="606"/>
      <c r="S28" s="606"/>
      <c r="T28" s="606"/>
      <c r="U28" s="606"/>
      <c r="V28" s="606"/>
      <c r="W28" s="605">
        <f t="shared" si="1"/>
        <v>0</v>
      </c>
      <c r="X28" s="605">
        <f t="shared" si="2"/>
        <v>0</v>
      </c>
      <c r="Y28" s="605">
        <f t="shared" si="3"/>
        <v>0</v>
      </c>
      <c r="Z28" s="601">
        <f t="shared" si="4"/>
        <v>0</v>
      </c>
      <c r="AA28" s="601">
        <f t="shared" si="5"/>
        <v>0</v>
      </c>
      <c r="AB28" s="612">
        <v>169458166</v>
      </c>
      <c r="AC28" s="612">
        <v>45206600</v>
      </c>
      <c r="AD28" s="612">
        <v>45206600</v>
      </c>
      <c r="AE28" s="612">
        <v>77564200</v>
      </c>
      <c r="AF28" s="612">
        <v>77564200</v>
      </c>
      <c r="AG28" s="612">
        <v>31957233</v>
      </c>
      <c r="AH28" s="612">
        <v>31957233</v>
      </c>
      <c r="AI28" s="612">
        <v>14730133</v>
      </c>
      <c r="AJ28" s="612">
        <v>14730133</v>
      </c>
      <c r="AK28" s="612">
        <v>0</v>
      </c>
      <c r="AL28" s="612">
        <v>0</v>
      </c>
      <c r="AM28" s="612"/>
      <c r="AN28" s="612"/>
      <c r="AO28" s="612"/>
      <c r="AP28" s="612"/>
      <c r="AQ28" s="612"/>
      <c r="AR28" s="612"/>
      <c r="AS28" s="612"/>
      <c r="AT28" s="612"/>
      <c r="AU28" s="612"/>
      <c r="AV28" s="612"/>
      <c r="AW28" s="612"/>
      <c r="AX28" s="612"/>
      <c r="AY28" s="612"/>
      <c r="AZ28" s="612"/>
      <c r="BA28" s="601">
        <f t="shared" si="11"/>
        <v>169458166</v>
      </c>
      <c r="BB28" s="601">
        <f t="shared" si="12"/>
        <v>169458166</v>
      </c>
      <c r="BC28" s="601">
        <f t="shared" si="13"/>
        <v>169458166</v>
      </c>
      <c r="BD28" s="601">
        <f t="shared" si="26"/>
        <v>169458166</v>
      </c>
      <c r="BE28" s="601">
        <f t="shared" si="15"/>
        <v>169458166</v>
      </c>
      <c r="BF28" s="605"/>
      <c r="BG28" s="624"/>
      <c r="BH28" s="624"/>
      <c r="BI28" s="624"/>
      <c r="BJ28" s="624"/>
      <c r="BK28" s="624"/>
      <c r="BL28" s="624"/>
      <c r="BM28" s="624"/>
      <c r="BN28" s="624"/>
      <c r="BO28" s="624"/>
      <c r="BP28" s="624"/>
      <c r="BQ28" s="624"/>
      <c r="BR28" s="624"/>
      <c r="BS28" s="624"/>
      <c r="BT28" s="624"/>
      <c r="BU28" s="624"/>
      <c r="BV28" s="624"/>
      <c r="BW28" s="624"/>
      <c r="BX28" s="624"/>
      <c r="BY28" s="624"/>
      <c r="BZ28" s="624"/>
      <c r="CA28" s="624"/>
      <c r="CB28" s="624"/>
      <c r="CC28" s="624"/>
      <c r="CD28" s="624"/>
      <c r="CE28" s="615"/>
      <c r="CF28" s="617"/>
      <c r="CG28" s="617"/>
      <c r="CH28" s="617"/>
      <c r="CI28" s="617"/>
      <c r="CJ28" s="605"/>
      <c r="CK28" s="625"/>
      <c r="CL28" s="625"/>
      <c r="CM28" s="625"/>
      <c r="CN28" s="625"/>
      <c r="CO28" s="625"/>
      <c r="CP28" s="625"/>
      <c r="CQ28" s="625"/>
      <c r="CR28" s="625"/>
      <c r="CS28" s="625"/>
      <c r="CT28" s="625"/>
      <c r="CU28" s="625"/>
      <c r="CV28" s="625"/>
      <c r="CW28" s="625"/>
      <c r="CX28" s="625"/>
      <c r="CY28" s="625"/>
      <c r="CZ28" s="625"/>
      <c r="DA28" s="625"/>
      <c r="DB28" s="625"/>
      <c r="DC28" s="625"/>
      <c r="DD28" s="625"/>
      <c r="DE28" s="625"/>
      <c r="DF28" s="625"/>
      <c r="DG28" s="625"/>
      <c r="DH28" s="625"/>
      <c r="DI28" s="615"/>
      <c r="DJ28" s="617"/>
      <c r="DK28" s="617"/>
      <c r="DL28" s="617"/>
      <c r="DM28" s="617"/>
      <c r="DN28" s="605"/>
      <c r="DO28" s="116"/>
      <c r="DP28" s="116"/>
      <c r="DQ28" s="116"/>
      <c r="DR28" s="116"/>
      <c r="DS28" s="116"/>
      <c r="DT28" s="116"/>
      <c r="DU28" s="116"/>
      <c r="DV28" s="116"/>
      <c r="DW28" s="116"/>
      <c r="DX28" s="116"/>
      <c r="DY28" s="116"/>
      <c r="DZ28" s="116"/>
      <c r="EA28" s="116"/>
      <c r="EB28" s="116"/>
      <c r="EC28" s="116"/>
      <c r="ED28" s="116"/>
      <c r="EE28" s="116"/>
      <c r="EF28" s="116"/>
      <c r="EG28" s="116"/>
      <c r="EH28" s="116"/>
      <c r="EI28" s="116"/>
      <c r="EJ28" s="116"/>
      <c r="EK28" s="116"/>
      <c r="EL28" s="116"/>
      <c r="EM28" s="48"/>
      <c r="EN28" s="103"/>
      <c r="EO28" s="103"/>
      <c r="EP28" s="103"/>
      <c r="EQ28" s="103"/>
      <c r="ER28" s="502" t="e">
        <f t="shared" si="6"/>
        <v>#DIV/0!</v>
      </c>
      <c r="ES28" s="792">
        <f t="shared" si="7"/>
        <v>1</v>
      </c>
      <c r="ET28" s="506">
        <f t="shared" si="8"/>
        <v>1</v>
      </c>
      <c r="EU28" s="505">
        <f t="shared" si="9"/>
        <v>1</v>
      </c>
      <c r="EV28" s="112">
        <f t="shared" si="10"/>
        <v>1</v>
      </c>
      <c r="EW28" s="1112"/>
      <c r="EX28" s="1097"/>
      <c r="EY28" s="1097"/>
      <c r="EZ28" s="1106"/>
      <c r="FA28" s="1107"/>
      <c r="FB28" s="98"/>
      <c r="FC28" s="98"/>
    </row>
    <row r="29" spans="1:160" s="118" customFormat="1" ht="18.75" thickBot="1" x14ac:dyDescent="0.3">
      <c r="A29" s="841"/>
      <c r="B29" s="843"/>
      <c r="C29" s="844"/>
      <c r="D29" s="845"/>
      <c r="E29" s="846"/>
      <c r="F29" s="117" t="s">
        <v>155</v>
      </c>
      <c r="G29" s="683">
        <f t="shared" si="25"/>
        <v>99.96</v>
      </c>
      <c r="H29" s="637">
        <v>12.5</v>
      </c>
      <c r="I29" s="641">
        <v>0</v>
      </c>
      <c r="J29" s="641">
        <v>0</v>
      </c>
      <c r="K29" s="637">
        <f t="shared" ref="K29:V29" si="27">K24+K27</f>
        <v>0</v>
      </c>
      <c r="L29" s="637">
        <f t="shared" si="27"/>
        <v>0</v>
      </c>
      <c r="M29" s="637">
        <f t="shared" si="27"/>
        <v>2.5</v>
      </c>
      <c r="N29" s="637">
        <f t="shared" si="27"/>
        <v>2.5</v>
      </c>
      <c r="O29" s="637">
        <f t="shared" si="27"/>
        <v>2.5</v>
      </c>
      <c r="P29" s="637">
        <f t="shared" si="27"/>
        <v>2.5</v>
      </c>
      <c r="Q29" s="637">
        <f t="shared" si="27"/>
        <v>1.8</v>
      </c>
      <c r="R29" s="637">
        <f t="shared" si="27"/>
        <v>1.8</v>
      </c>
      <c r="S29" s="637">
        <f t="shared" si="27"/>
        <v>1.48</v>
      </c>
      <c r="T29" s="637">
        <f t="shared" si="27"/>
        <v>1.48</v>
      </c>
      <c r="U29" s="637">
        <f t="shared" si="27"/>
        <v>4.22</v>
      </c>
      <c r="V29" s="637">
        <f t="shared" si="27"/>
        <v>3.72</v>
      </c>
      <c r="W29" s="640">
        <f t="shared" si="1"/>
        <v>12.5</v>
      </c>
      <c r="X29" s="640">
        <f t="shared" si="2"/>
        <v>12.5</v>
      </c>
      <c r="Y29" s="640">
        <f t="shared" si="3"/>
        <v>12</v>
      </c>
      <c r="Z29" s="640">
        <f t="shared" si="4"/>
        <v>12.5</v>
      </c>
      <c r="AA29" s="640">
        <f t="shared" si="5"/>
        <v>12</v>
      </c>
      <c r="AB29" s="637">
        <f t="shared" ref="AB29:AZ29" si="28">AB24+AB27</f>
        <v>25.46</v>
      </c>
      <c r="AC29" s="637">
        <f t="shared" si="28"/>
        <v>0.19</v>
      </c>
      <c r="AD29" s="637">
        <f t="shared" si="28"/>
        <v>0.19</v>
      </c>
      <c r="AE29" s="637">
        <f t="shared" si="28"/>
        <v>2.54</v>
      </c>
      <c r="AF29" s="637">
        <f t="shared" si="28"/>
        <v>2.54</v>
      </c>
      <c r="AG29" s="637">
        <f t="shared" si="28"/>
        <v>2.27</v>
      </c>
      <c r="AH29" s="637">
        <f t="shared" si="28"/>
        <v>2.27</v>
      </c>
      <c r="AI29" s="637">
        <f t="shared" si="28"/>
        <v>2.27</v>
      </c>
      <c r="AJ29" s="637">
        <f t="shared" si="28"/>
        <v>2.27</v>
      </c>
      <c r="AK29" s="637">
        <f t="shared" si="28"/>
        <v>2.27</v>
      </c>
      <c r="AL29" s="637">
        <f t="shared" si="28"/>
        <v>2.1</v>
      </c>
      <c r="AM29" s="637">
        <f t="shared" si="28"/>
        <v>2.27</v>
      </c>
      <c r="AN29" s="637">
        <f t="shared" si="28"/>
        <v>2.27</v>
      </c>
      <c r="AO29" s="637">
        <f t="shared" si="28"/>
        <v>2.27</v>
      </c>
      <c r="AP29" s="637">
        <f t="shared" si="28"/>
        <v>2.19</v>
      </c>
      <c r="AQ29" s="637">
        <f t="shared" si="28"/>
        <v>2.27</v>
      </c>
      <c r="AR29" s="637">
        <f t="shared" si="28"/>
        <v>2.27</v>
      </c>
      <c r="AS29" s="637">
        <f t="shared" si="28"/>
        <v>2.27</v>
      </c>
      <c r="AT29" s="637">
        <f t="shared" si="28"/>
        <v>2.42</v>
      </c>
      <c r="AU29" s="637">
        <f t="shared" si="28"/>
        <v>2.27</v>
      </c>
      <c r="AV29" s="637">
        <f t="shared" si="28"/>
        <v>2.29</v>
      </c>
      <c r="AW29" s="637">
        <f t="shared" si="28"/>
        <v>2.27</v>
      </c>
      <c r="AX29" s="637">
        <f t="shared" si="28"/>
        <v>2.35</v>
      </c>
      <c r="AY29" s="637">
        <f t="shared" si="28"/>
        <v>2.2999999999999998</v>
      </c>
      <c r="AZ29" s="637">
        <f t="shared" si="28"/>
        <v>2.2999999999999998</v>
      </c>
      <c r="BA29" s="640">
        <f t="shared" si="11"/>
        <v>25.459999999999997</v>
      </c>
      <c r="BB29" s="640">
        <f t="shared" si="12"/>
        <v>25.459999999999997</v>
      </c>
      <c r="BC29" s="640">
        <f t="shared" si="13"/>
        <v>25.459999999999997</v>
      </c>
      <c r="BD29" s="640">
        <f t="shared" si="26"/>
        <v>25.459999999999997</v>
      </c>
      <c r="BE29" s="640">
        <f t="shared" si="15"/>
        <v>25.459999999999997</v>
      </c>
      <c r="BF29" s="640">
        <v>25</v>
      </c>
      <c r="BG29" s="684"/>
      <c r="BH29" s="684"/>
      <c r="BI29" s="684"/>
      <c r="BJ29" s="684"/>
      <c r="BK29" s="684"/>
      <c r="BL29" s="684"/>
      <c r="BM29" s="684"/>
      <c r="BN29" s="684"/>
      <c r="BO29" s="684"/>
      <c r="BP29" s="684"/>
      <c r="BQ29" s="684"/>
      <c r="BR29" s="684"/>
      <c r="BS29" s="684"/>
      <c r="BT29" s="684"/>
      <c r="BU29" s="684"/>
      <c r="BV29" s="684"/>
      <c r="BW29" s="684"/>
      <c r="BX29" s="684"/>
      <c r="BY29" s="684"/>
      <c r="BZ29" s="684"/>
      <c r="CA29" s="684"/>
      <c r="CB29" s="684"/>
      <c r="CC29" s="684"/>
      <c r="CD29" s="684"/>
      <c r="CE29" s="685"/>
      <c r="CF29" s="684"/>
      <c r="CG29" s="684"/>
      <c r="CH29" s="684"/>
      <c r="CI29" s="684"/>
      <c r="CJ29" s="640">
        <v>25</v>
      </c>
      <c r="CK29" s="686"/>
      <c r="CL29" s="686"/>
      <c r="CM29" s="686"/>
      <c r="CN29" s="686"/>
      <c r="CO29" s="686"/>
      <c r="CP29" s="686"/>
      <c r="CQ29" s="686"/>
      <c r="CR29" s="686"/>
      <c r="CS29" s="686"/>
      <c r="CT29" s="686"/>
      <c r="CU29" s="686"/>
      <c r="CV29" s="686"/>
      <c r="CW29" s="686"/>
      <c r="CX29" s="686"/>
      <c r="CY29" s="686"/>
      <c r="CZ29" s="686"/>
      <c r="DA29" s="686"/>
      <c r="DB29" s="686"/>
      <c r="DC29" s="686"/>
      <c r="DD29" s="686"/>
      <c r="DE29" s="686"/>
      <c r="DF29" s="686"/>
      <c r="DG29" s="686"/>
      <c r="DH29" s="686"/>
      <c r="DI29" s="685"/>
      <c r="DJ29" s="684"/>
      <c r="DK29" s="684"/>
      <c r="DL29" s="684"/>
      <c r="DM29" s="684"/>
      <c r="DN29" s="640">
        <v>12.5</v>
      </c>
      <c r="DO29" s="687"/>
      <c r="DP29" s="687"/>
      <c r="DQ29" s="687"/>
      <c r="DR29" s="687"/>
      <c r="DS29" s="687"/>
      <c r="DT29" s="687"/>
      <c r="DU29" s="687"/>
      <c r="DV29" s="687"/>
      <c r="DW29" s="687"/>
      <c r="DX29" s="687"/>
      <c r="DY29" s="687"/>
      <c r="DZ29" s="687"/>
      <c r="EA29" s="687"/>
      <c r="EB29" s="687"/>
      <c r="EC29" s="687"/>
      <c r="ED29" s="687"/>
      <c r="EE29" s="687"/>
      <c r="EF29" s="687"/>
      <c r="EG29" s="687"/>
      <c r="EH29" s="687"/>
      <c r="EI29" s="687"/>
      <c r="EJ29" s="687"/>
      <c r="EK29" s="687"/>
      <c r="EL29" s="687"/>
      <c r="EM29" s="688"/>
      <c r="EN29" s="689"/>
      <c r="EO29" s="689"/>
      <c r="EP29" s="689"/>
      <c r="EQ29" s="689"/>
      <c r="ER29" s="649">
        <f t="shared" si="6"/>
        <v>1</v>
      </c>
      <c r="ES29" s="793">
        <f t="shared" si="7"/>
        <v>1</v>
      </c>
      <c r="ET29" s="650">
        <f t="shared" si="8"/>
        <v>1</v>
      </c>
      <c r="EU29" s="651">
        <f t="shared" si="9"/>
        <v>0.98682824025289784</v>
      </c>
      <c r="EV29" s="652">
        <f t="shared" si="10"/>
        <v>0.37474989995998398</v>
      </c>
      <c r="EW29" s="1112"/>
      <c r="EX29" s="1097"/>
      <c r="EY29" s="1097"/>
      <c r="EZ29" s="1106"/>
      <c r="FA29" s="1107"/>
      <c r="FC29" s="98"/>
    </row>
    <row r="30" spans="1:160" s="105" customFormat="1" ht="27.75" thickBot="1" x14ac:dyDescent="0.3">
      <c r="A30" s="841"/>
      <c r="B30" s="843"/>
      <c r="C30" s="844"/>
      <c r="D30" s="845"/>
      <c r="E30" s="846"/>
      <c r="F30" s="115" t="s">
        <v>156</v>
      </c>
      <c r="G30" s="665">
        <f>AA30+AB30+BF30+CJ30+DN30</f>
        <v>4651121166</v>
      </c>
      <c r="H30" s="666">
        <v>400000000</v>
      </c>
      <c r="I30" s="695">
        <v>0</v>
      </c>
      <c r="J30" s="695">
        <v>0</v>
      </c>
      <c r="K30" s="666">
        <f t="shared" ref="K30:V30" si="29">K25+K28</f>
        <v>0</v>
      </c>
      <c r="L30" s="666">
        <f t="shared" si="29"/>
        <v>0</v>
      </c>
      <c r="M30" s="666">
        <f t="shared" si="29"/>
        <v>246320000</v>
      </c>
      <c r="N30" s="666">
        <f t="shared" si="29"/>
        <v>246320000</v>
      </c>
      <c r="O30" s="666">
        <f t="shared" si="29"/>
        <v>55509000</v>
      </c>
      <c r="P30" s="666">
        <f t="shared" si="29"/>
        <v>55509000</v>
      </c>
      <c r="Q30" s="666">
        <f t="shared" si="29"/>
        <v>0</v>
      </c>
      <c r="R30" s="666">
        <f t="shared" si="29"/>
        <v>0</v>
      </c>
      <c r="S30" s="666">
        <f t="shared" si="29"/>
        <v>0</v>
      </c>
      <c r="T30" s="666">
        <f t="shared" si="29"/>
        <v>0</v>
      </c>
      <c r="U30" s="666">
        <f t="shared" si="29"/>
        <v>127129000</v>
      </c>
      <c r="V30" s="666">
        <f t="shared" si="29"/>
        <v>124623000</v>
      </c>
      <c r="W30" s="668">
        <f t="shared" si="1"/>
        <v>428958000</v>
      </c>
      <c r="X30" s="668">
        <f t="shared" si="2"/>
        <v>428958000</v>
      </c>
      <c r="Y30" s="668">
        <f t="shared" si="3"/>
        <v>426452000</v>
      </c>
      <c r="Z30" s="669">
        <f t="shared" si="4"/>
        <v>428958000</v>
      </c>
      <c r="AA30" s="669">
        <f t="shared" si="5"/>
        <v>426452000</v>
      </c>
      <c r="AB30" s="666">
        <f t="shared" ref="AB30:AJ30" si="30">AB25+AB28</f>
        <v>1754669166</v>
      </c>
      <c r="AC30" s="666">
        <f t="shared" si="30"/>
        <v>45206600</v>
      </c>
      <c r="AD30" s="666">
        <f t="shared" si="30"/>
        <v>45206600</v>
      </c>
      <c r="AE30" s="666">
        <f t="shared" si="30"/>
        <v>831176200</v>
      </c>
      <c r="AF30" s="666">
        <f t="shared" si="30"/>
        <v>831176200</v>
      </c>
      <c r="AG30" s="666">
        <f t="shared" si="30"/>
        <v>746080233</v>
      </c>
      <c r="AH30" s="666">
        <f t="shared" si="30"/>
        <v>746080233</v>
      </c>
      <c r="AI30" s="666">
        <f t="shared" si="30"/>
        <v>90186133</v>
      </c>
      <c r="AJ30" s="666">
        <f t="shared" si="30"/>
        <v>90186133</v>
      </c>
      <c r="AK30" s="666">
        <v>-78986600</v>
      </c>
      <c r="AL30" s="666">
        <f t="shared" ref="AL30:AZ30" si="31">AL25+AL28</f>
        <v>-78986600</v>
      </c>
      <c r="AM30" s="666">
        <f t="shared" si="31"/>
        <v>56196000</v>
      </c>
      <c r="AN30" s="666">
        <f t="shared" si="31"/>
        <v>12840000</v>
      </c>
      <c r="AO30" s="666">
        <f t="shared" si="31"/>
        <v>0</v>
      </c>
      <c r="AP30" s="666">
        <f t="shared" si="31"/>
        <v>46830000</v>
      </c>
      <c r="AQ30" s="666">
        <f t="shared" si="31"/>
        <v>0</v>
      </c>
      <c r="AR30" s="666">
        <f t="shared" si="31"/>
        <v>0</v>
      </c>
      <c r="AS30" s="666">
        <f t="shared" si="31"/>
        <v>0</v>
      </c>
      <c r="AT30" s="666">
        <f t="shared" si="31"/>
        <v>0</v>
      </c>
      <c r="AU30" s="666">
        <f>AU25+AU28</f>
        <v>65273302</v>
      </c>
      <c r="AV30" s="666">
        <f t="shared" si="31"/>
        <v>71821234</v>
      </c>
      <c r="AW30" s="666">
        <f>AU25+AW28</f>
        <v>65273302</v>
      </c>
      <c r="AX30" s="666">
        <f t="shared" si="31"/>
        <v>32149000</v>
      </c>
      <c r="AY30" s="666">
        <f t="shared" si="31"/>
        <v>64810600</v>
      </c>
      <c r="AZ30" s="666">
        <f t="shared" si="31"/>
        <v>22242000</v>
      </c>
      <c r="BA30" s="669">
        <f t="shared" si="11"/>
        <v>1885215770</v>
      </c>
      <c r="BB30" s="669">
        <f t="shared" si="12"/>
        <v>1885215770</v>
      </c>
      <c r="BC30" s="669">
        <f t="shared" si="13"/>
        <v>1819544800</v>
      </c>
      <c r="BD30" s="669">
        <f t="shared" si="26"/>
        <v>1885215770</v>
      </c>
      <c r="BE30" s="669">
        <f t="shared" si="15"/>
        <v>1819544800</v>
      </c>
      <c r="BF30" s="669">
        <v>970000000</v>
      </c>
      <c r="BG30" s="670"/>
      <c r="BH30" s="670"/>
      <c r="BI30" s="670"/>
      <c r="BJ30" s="670"/>
      <c r="BK30" s="670"/>
      <c r="BL30" s="670"/>
      <c r="BM30" s="670"/>
      <c r="BN30" s="670"/>
      <c r="BO30" s="670"/>
      <c r="BP30" s="670"/>
      <c r="BQ30" s="670"/>
      <c r="BR30" s="670"/>
      <c r="BS30" s="670"/>
      <c r="BT30" s="670"/>
      <c r="BU30" s="670"/>
      <c r="BV30" s="670"/>
      <c r="BW30" s="670"/>
      <c r="BX30" s="670"/>
      <c r="BY30" s="670"/>
      <c r="BZ30" s="670"/>
      <c r="CA30" s="670"/>
      <c r="CB30" s="670"/>
      <c r="CC30" s="670"/>
      <c r="CD30" s="670"/>
      <c r="CE30" s="671"/>
      <c r="CF30" s="670"/>
      <c r="CG30" s="670"/>
      <c r="CH30" s="670"/>
      <c r="CI30" s="670"/>
      <c r="CJ30" s="669">
        <v>1000000000</v>
      </c>
      <c r="CK30" s="672"/>
      <c r="CL30" s="672"/>
      <c r="CM30" s="672"/>
      <c r="CN30" s="672"/>
      <c r="CO30" s="672"/>
      <c r="CP30" s="672"/>
      <c r="CQ30" s="672"/>
      <c r="CR30" s="672"/>
      <c r="CS30" s="672"/>
      <c r="CT30" s="672"/>
      <c r="CU30" s="672"/>
      <c r="CV30" s="672"/>
      <c r="CW30" s="672"/>
      <c r="CX30" s="672"/>
      <c r="CY30" s="672"/>
      <c r="CZ30" s="672"/>
      <c r="DA30" s="672"/>
      <c r="DB30" s="672"/>
      <c r="DC30" s="672"/>
      <c r="DD30" s="672"/>
      <c r="DE30" s="672"/>
      <c r="DF30" s="672"/>
      <c r="DG30" s="672"/>
      <c r="DH30" s="672"/>
      <c r="DI30" s="671"/>
      <c r="DJ30" s="670"/>
      <c r="DK30" s="670"/>
      <c r="DL30" s="670"/>
      <c r="DM30" s="670"/>
      <c r="DN30" s="669">
        <v>500000000</v>
      </c>
      <c r="DO30" s="673"/>
      <c r="DP30" s="673"/>
      <c r="DQ30" s="673"/>
      <c r="DR30" s="673"/>
      <c r="DS30" s="673"/>
      <c r="DT30" s="673"/>
      <c r="DU30" s="673"/>
      <c r="DV30" s="673"/>
      <c r="DW30" s="673"/>
      <c r="DX30" s="673"/>
      <c r="DY30" s="673"/>
      <c r="DZ30" s="673"/>
      <c r="EA30" s="673"/>
      <c r="EB30" s="673"/>
      <c r="EC30" s="673"/>
      <c r="ED30" s="673"/>
      <c r="EE30" s="673"/>
      <c r="EF30" s="673"/>
      <c r="EG30" s="673"/>
      <c r="EH30" s="673"/>
      <c r="EI30" s="673"/>
      <c r="EJ30" s="673"/>
      <c r="EK30" s="673"/>
      <c r="EL30" s="673"/>
      <c r="EM30" s="674"/>
      <c r="EN30" s="675"/>
      <c r="EO30" s="675"/>
      <c r="EP30" s="675"/>
      <c r="EQ30" s="675"/>
      <c r="ER30" s="676">
        <f t="shared" si="6"/>
        <v>0.34318460251872379</v>
      </c>
      <c r="ES30" s="677">
        <f t="shared" si="7"/>
        <v>0.96516527654550655</v>
      </c>
      <c r="ET30" s="677">
        <f t="shared" si="8"/>
        <v>0.96516527654550655</v>
      </c>
      <c r="EU30" s="678">
        <f t="shared" si="9"/>
        <v>0.97053939039331516</v>
      </c>
      <c r="EV30" s="1095">
        <f t="shared" si="10"/>
        <v>0.48289363356482379</v>
      </c>
      <c r="EW30" s="1113"/>
      <c r="EX30" s="1098"/>
      <c r="EY30" s="1098"/>
      <c r="EZ30" s="1109"/>
      <c r="FA30" s="1110"/>
      <c r="FB30" s="98"/>
      <c r="FC30" s="98"/>
    </row>
    <row r="31" spans="1:160" s="98" customFormat="1" ht="24" customHeight="1" thickBot="1" x14ac:dyDescent="0.3">
      <c r="A31" s="841"/>
      <c r="B31" s="843">
        <v>4</v>
      </c>
      <c r="C31" s="844" t="s">
        <v>162</v>
      </c>
      <c r="D31" s="845" t="s">
        <v>88</v>
      </c>
      <c r="E31" s="846">
        <v>274</v>
      </c>
      <c r="F31" s="93" t="s">
        <v>149</v>
      </c>
      <c r="G31" s="690">
        <f t="shared" ref="G31:G36" si="32">AA31+BA31+BF31+CJ31+DN31</f>
        <v>1</v>
      </c>
      <c r="H31" s="657">
        <v>0.15</v>
      </c>
      <c r="I31" s="654">
        <v>0</v>
      </c>
      <c r="J31" s="654">
        <v>0</v>
      </c>
      <c r="K31" s="657">
        <v>0</v>
      </c>
      <c r="L31" s="657">
        <v>0</v>
      </c>
      <c r="M31" s="657">
        <v>0.04</v>
      </c>
      <c r="N31" s="657">
        <v>0.04</v>
      </c>
      <c r="O31" s="657">
        <v>0.05</v>
      </c>
      <c r="P31" s="657">
        <v>0.05</v>
      </c>
      <c r="Q31" s="657">
        <v>0.02</v>
      </c>
      <c r="R31" s="657">
        <v>0.02</v>
      </c>
      <c r="S31" s="657">
        <v>0.03</v>
      </c>
      <c r="T31" s="657">
        <v>0.03</v>
      </c>
      <c r="U31" s="657">
        <v>0.01</v>
      </c>
      <c r="V31" s="657">
        <v>0.01</v>
      </c>
      <c r="W31" s="796">
        <f t="shared" si="1"/>
        <v>0.15000000000000002</v>
      </c>
      <c r="X31" s="796">
        <f t="shared" si="2"/>
        <v>0.15000000000000002</v>
      </c>
      <c r="Y31" s="796">
        <f>J31+L31+N31+P31+R31+T31+V31</f>
        <v>0.15000000000000002</v>
      </c>
      <c r="Z31" s="796">
        <f t="shared" si="4"/>
        <v>0.15000000000000002</v>
      </c>
      <c r="AA31" s="796">
        <f>Y31</f>
        <v>0.15000000000000002</v>
      </c>
      <c r="AB31" s="657">
        <v>0.25</v>
      </c>
      <c r="AC31" s="657">
        <v>0</v>
      </c>
      <c r="AD31" s="657">
        <v>0</v>
      </c>
      <c r="AE31" s="657">
        <v>0.01</v>
      </c>
      <c r="AF31" s="657">
        <v>0.01</v>
      </c>
      <c r="AG31" s="657">
        <v>0.01</v>
      </c>
      <c r="AH31" s="657">
        <v>0.01</v>
      </c>
      <c r="AI31" s="657">
        <v>0.02</v>
      </c>
      <c r="AJ31" s="657">
        <v>0.02</v>
      </c>
      <c r="AK31" s="657">
        <v>0.01</v>
      </c>
      <c r="AL31" s="657">
        <v>0.01</v>
      </c>
      <c r="AM31" s="657">
        <v>0.03</v>
      </c>
      <c r="AN31" s="657">
        <v>0.01</v>
      </c>
      <c r="AO31" s="657">
        <v>0.02</v>
      </c>
      <c r="AP31" s="657">
        <v>0.02</v>
      </c>
      <c r="AQ31" s="657">
        <v>0.02</v>
      </c>
      <c r="AR31" s="696">
        <v>2.5000000000000001E-2</v>
      </c>
      <c r="AS31" s="657">
        <v>0.02</v>
      </c>
      <c r="AT31" s="657">
        <v>0.03</v>
      </c>
      <c r="AU31" s="657">
        <v>0.03</v>
      </c>
      <c r="AV31" s="657">
        <v>2.3E-2</v>
      </c>
      <c r="AW31" s="657">
        <v>0.04</v>
      </c>
      <c r="AX31" s="657">
        <v>0.05</v>
      </c>
      <c r="AY31" s="657">
        <v>0.04</v>
      </c>
      <c r="AZ31" s="657">
        <v>0.04</v>
      </c>
      <c r="BA31" s="796">
        <f t="shared" si="11"/>
        <v>0.25</v>
      </c>
      <c r="BB31" s="796">
        <f t="shared" si="12"/>
        <v>0.25</v>
      </c>
      <c r="BC31" s="796">
        <f>AD31+AF31+AH31+AJ31+AL31+AN31+AP31+AR31+AT31+AV31+AX31+AZ31</f>
        <v>0.24800000000000003</v>
      </c>
      <c r="BD31" s="796">
        <f>AC31+AE31+AG31+AI31+AK31+AM31+AO31+AQ31+AS31+AU31+AW31+AY31</f>
        <v>0.25</v>
      </c>
      <c r="BE31" s="796">
        <f t="shared" si="15"/>
        <v>0.24800000000000003</v>
      </c>
      <c r="BF31" s="656">
        <v>0.24</v>
      </c>
      <c r="BG31" s="657"/>
      <c r="BH31" s="657"/>
      <c r="BI31" s="657"/>
      <c r="BJ31" s="657"/>
      <c r="BK31" s="656"/>
      <c r="BL31" s="657"/>
      <c r="BM31" s="656"/>
      <c r="BN31" s="656"/>
      <c r="BO31" s="657"/>
      <c r="BP31" s="657"/>
      <c r="BQ31" s="657"/>
      <c r="BR31" s="657"/>
      <c r="BS31" s="657"/>
      <c r="BT31" s="657"/>
      <c r="BU31" s="657"/>
      <c r="BV31" s="657"/>
      <c r="BW31" s="657"/>
      <c r="BX31" s="657"/>
      <c r="BY31" s="657"/>
      <c r="BZ31" s="657"/>
      <c r="CA31" s="657"/>
      <c r="CB31" s="657"/>
      <c r="CC31" s="657"/>
      <c r="CD31" s="657"/>
      <c r="CE31" s="656"/>
      <c r="CF31" s="657"/>
      <c r="CG31" s="656"/>
      <c r="CH31" s="1087"/>
      <c r="CI31" s="657"/>
      <c r="CJ31" s="656">
        <v>0.24</v>
      </c>
      <c r="CK31" s="657"/>
      <c r="CL31" s="657"/>
      <c r="CM31" s="657"/>
      <c r="CN31" s="657"/>
      <c r="CO31" s="657"/>
      <c r="CP31" s="657"/>
      <c r="CQ31" s="657"/>
      <c r="CR31" s="657"/>
      <c r="CS31" s="657"/>
      <c r="CT31" s="657"/>
      <c r="CU31" s="657"/>
      <c r="CV31" s="657"/>
      <c r="CW31" s="657"/>
      <c r="CX31" s="657"/>
      <c r="CY31" s="657"/>
      <c r="CZ31" s="657"/>
      <c r="DA31" s="657"/>
      <c r="DB31" s="657"/>
      <c r="DC31" s="657"/>
      <c r="DD31" s="657"/>
      <c r="DE31" s="657"/>
      <c r="DF31" s="657"/>
      <c r="DG31" s="657"/>
      <c r="DH31" s="657"/>
      <c r="DI31" s="656">
        <f>DG31+DE31+DC31+DA31+CY31+CW31+CU31+CS31+CQ31+CO31+CM31+CK31</f>
        <v>0</v>
      </c>
      <c r="DJ31" s="657">
        <f t="shared" ref="DJ31:DK36" si="33">CK31+CM31+CO31+CQ31</f>
        <v>0</v>
      </c>
      <c r="DK31" s="656">
        <f t="shared" si="33"/>
        <v>0</v>
      </c>
      <c r="DL31" s="1087">
        <f>CM31+CO31+CQ31+CS31+CU31+CW31+CY31+DA31+DC31+DE31+DG31+CK31</f>
        <v>0</v>
      </c>
      <c r="DM31" s="657">
        <f>CL31+CN31+CP31+CR31</f>
        <v>0</v>
      </c>
      <c r="DN31" s="656">
        <v>0.12</v>
      </c>
      <c r="DO31" s="691"/>
      <c r="DP31" s="691"/>
      <c r="DQ31" s="691"/>
      <c r="DR31" s="691"/>
      <c r="DS31" s="691"/>
      <c r="DT31" s="691"/>
      <c r="DU31" s="691"/>
      <c r="DV31" s="691"/>
      <c r="DW31" s="691"/>
      <c r="DX31" s="691"/>
      <c r="DY31" s="691"/>
      <c r="DZ31" s="691"/>
      <c r="EA31" s="691"/>
      <c r="EB31" s="691"/>
      <c r="EC31" s="691"/>
      <c r="ED31" s="691"/>
      <c r="EE31" s="691"/>
      <c r="EF31" s="691"/>
      <c r="EG31" s="680"/>
      <c r="EH31" s="680"/>
      <c r="EI31" s="680"/>
      <c r="EJ31" s="680"/>
      <c r="EK31" s="680"/>
      <c r="EL31" s="680"/>
      <c r="EM31" s="692">
        <f>EK31+EI31+EG31+EE31+EC31+EA31+DY31+DW31+DU31+DS31+DQ31+DO31</f>
        <v>0</v>
      </c>
      <c r="EN31" s="680">
        <f t="shared" ref="EN31:EO36" si="34">DO31+DQ31+DS31+DU31</f>
        <v>0</v>
      </c>
      <c r="EO31" s="693">
        <f t="shared" si="34"/>
        <v>0</v>
      </c>
      <c r="EP31" s="694">
        <f>DQ31+DS31+DU31+DW31+DY31+EA31+EC31+EE31+EG31+EI31+EK31+DO31</f>
        <v>0</v>
      </c>
      <c r="EQ31" s="680">
        <f>DP31+DR31+DT31+DV31</f>
        <v>0</v>
      </c>
      <c r="ER31" s="662">
        <f t="shared" si="6"/>
        <v>1</v>
      </c>
      <c r="ES31" s="794">
        <f t="shared" si="7"/>
        <v>0.9920000000000001</v>
      </c>
      <c r="ET31" s="507">
        <f t="shared" si="8"/>
        <v>0.9920000000000001</v>
      </c>
      <c r="EU31" s="663">
        <f t="shared" si="9"/>
        <v>0.995</v>
      </c>
      <c r="EV31" s="664">
        <f t="shared" si="10"/>
        <v>0.39800000000000002</v>
      </c>
      <c r="EW31" s="1111" t="s">
        <v>562</v>
      </c>
      <c r="EX31" s="1103" t="s">
        <v>563</v>
      </c>
      <c r="EY31" s="1103" t="s">
        <v>547</v>
      </c>
      <c r="EZ31" s="1103" t="s">
        <v>163</v>
      </c>
      <c r="FA31" s="1104" t="s">
        <v>97</v>
      </c>
      <c r="FB31" s="1094"/>
    </row>
    <row r="32" spans="1:160" s="120" customFormat="1" ht="18.75" thickBot="1" x14ac:dyDescent="0.3">
      <c r="A32" s="841"/>
      <c r="B32" s="843"/>
      <c r="C32" s="844"/>
      <c r="D32" s="845"/>
      <c r="E32" s="846"/>
      <c r="F32" s="99" t="s">
        <v>151</v>
      </c>
      <c r="G32" s="682">
        <f t="shared" si="32"/>
        <v>13273458676</v>
      </c>
      <c r="H32" s="600">
        <v>1984550000</v>
      </c>
      <c r="I32" s="628">
        <v>0</v>
      </c>
      <c r="J32" s="628">
        <v>0</v>
      </c>
      <c r="K32" s="600">
        <v>24305000</v>
      </c>
      <c r="L32" s="600">
        <v>24305000</v>
      </c>
      <c r="M32" s="600">
        <v>188163000</v>
      </c>
      <c r="N32" s="600">
        <v>188163000</v>
      </c>
      <c r="O32" s="600">
        <v>42879000</v>
      </c>
      <c r="P32" s="600">
        <v>42879000</v>
      </c>
      <c r="Q32" s="600">
        <v>0</v>
      </c>
      <c r="R32" s="600">
        <v>0</v>
      </c>
      <c r="S32" s="600">
        <v>10246000</v>
      </c>
      <c r="T32" s="600">
        <v>10246000</v>
      </c>
      <c r="U32" s="600">
        <v>1469799000</v>
      </c>
      <c r="V32" s="600">
        <v>1082100630</v>
      </c>
      <c r="W32" s="605">
        <f t="shared" si="1"/>
        <v>1735392000</v>
      </c>
      <c r="X32" s="605">
        <f t="shared" si="2"/>
        <v>1735392000</v>
      </c>
      <c r="Y32" s="605">
        <f t="shared" si="3"/>
        <v>1347693630</v>
      </c>
      <c r="Z32" s="601">
        <f t="shared" si="4"/>
        <v>1735392000</v>
      </c>
      <c r="AA32" s="601">
        <f t="shared" si="5"/>
        <v>1347693630</v>
      </c>
      <c r="AB32" s="600">
        <v>2139022000</v>
      </c>
      <c r="AC32" s="600">
        <v>0</v>
      </c>
      <c r="AD32" s="600">
        <v>0</v>
      </c>
      <c r="AE32" s="600">
        <v>224010000</v>
      </c>
      <c r="AF32" s="600">
        <v>224010000</v>
      </c>
      <c r="AG32" s="600">
        <v>381603000</v>
      </c>
      <c r="AH32" s="600">
        <v>381603000</v>
      </c>
      <c r="AI32" s="600">
        <v>72560000</v>
      </c>
      <c r="AJ32" s="600">
        <v>72560000</v>
      </c>
      <c r="AK32" s="600">
        <v>38080000</v>
      </c>
      <c r="AL32" s="600">
        <v>38080000</v>
      </c>
      <c r="AM32" s="600">
        <v>949417000</v>
      </c>
      <c r="AN32" s="600">
        <v>934417000</v>
      </c>
      <c r="AO32" s="600">
        <v>116348000</v>
      </c>
      <c r="AP32" s="600">
        <v>7200000</v>
      </c>
      <c r="AQ32" s="600"/>
      <c r="AR32" s="600"/>
      <c r="AS32" s="600">
        <v>319390698</v>
      </c>
      <c r="AT32" s="600">
        <v>178960357</v>
      </c>
      <c r="AU32" s="600">
        <v>109508000</v>
      </c>
      <c r="AV32" s="600">
        <v>8595000</v>
      </c>
      <c r="AW32" s="600">
        <v>-18000000</v>
      </c>
      <c r="AX32" s="600">
        <v>44259767</v>
      </c>
      <c r="AY32" s="600">
        <f>16057000-14800000+207432348</f>
        <v>208689348</v>
      </c>
      <c r="AZ32" s="600">
        <v>294821160</v>
      </c>
      <c r="BA32" s="601">
        <f t="shared" si="11"/>
        <v>2401606046</v>
      </c>
      <c r="BB32" s="601">
        <f t="shared" si="12"/>
        <v>2401606046</v>
      </c>
      <c r="BC32" s="601">
        <f t="shared" si="13"/>
        <v>2184506284</v>
      </c>
      <c r="BD32" s="601">
        <f t="shared" si="26"/>
        <v>2401606046</v>
      </c>
      <c r="BE32" s="601">
        <f t="shared" si="15"/>
        <v>2184506284</v>
      </c>
      <c r="BF32" s="601">
        <v>3658882000</v>
      </c>
      <c r="BG32" s="622"/>
      <c r="BH32" s="604"/>
      <c r="BI32" s="604"/>
      <c r="BJ32" s="604"/>
      <c r="BK32" s="604"/>
      <c r="BL32" s="604"/>
      <c r="BM32" s="604"/>
      <c r="BN32" s="604"/>
      <c r="BO32" s="604"/>
      <c r="BP32" s="604"/>
      <c r="BQ32" s="604"/>
      <c r="BR32" s="604"/>
      <c r="BS32" s="604"/>
      <c r="BT32" s="604"/>
      <c r="BU32" s="604"/>
      <c r="BV32" s="604"/>
      <c r="BW32" s="604"/>
      <c r="BX32" s="604"/>
      <c r="BY32" s="604"/>
      <c r="BZ32" s="604"/>
      <c r="CA32" s="604"/>
      <c r="CB32" s="604"/>
      <c r="CC32" s="604"/>
      <c r="CD32" s="604"/>
      <c r="CE32" s="615"/>
      <c r="CF32" s="604"/>
      <c r="CG32" s="604"/>
      <c r="CH32" s="603"/>
      <c r="CI32" s="604"/>
      <c r="CJ32" s="601">
        <v>3994607000</v>
      </c>
      <c r="CK32" s="604"/>
      <c r="CL32" s="604"/>
      <c r="CM32" s="604"/>
      <c r="CN32" s="604"/>
      <c r="CO32" s="604"/>
      <c r="CP32" s="604"/>
      <c r="CQ32" s="604"/>
      <c r="CR32" s="604"/>
      <c r="CS32" s="604"/>
      <c r="CT32" s="604"/>
      <c r="CU32" s="604"/>
      <c r="CV32" s="604"/>
      <c r="CW32" s="604"/>
      <c r="CX32" s="604"/>
      <c r="CY32" s="604"/>
      <c r="CZ32" s="604"/>
      <c r="DA32" s="604"/>
      <c r="DB32" s="604"/>
      <c r="DC32" s="604"/>
      <c r="DD32" s="604"/>
      <c r="DE32" s="604"/>
      <c r="DF32" s="604"/>
      <c r="DG32" s="604"/>
      <c r="DH32" s="604"/>
      <c r="DI32" s="615">
        <f>DG32+DE32+DC32+DA32+CY32+CW32+CU32+CS32+CQ32+CO32+CM32+CK32</f>
        <v>0</v>
      </c>
      <c r="DJ32" s="604">
        <f t="shared" si="33"/>
        <v>0</v>
      </c>
      <c r="DK32" s="604">
        <f t="shared" si="33"/>
        <v>0</v>
      </c>
      <c r="DL32" s="603">
        <f>CM32+CO32+CQ32+CS32+CU32+CW32+CY32+DA32+DC32+DE32+DG32+CK32</f>
        <v>0</v>
      </c>
      <c r="DM32" s="604">
        <f>CL32+CN32+CP32+CR32</f>
        <v>0</v>
      </c>
      <c r="DN32" s="601">
        <v>1870670000</v>
      </c>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48">
        <f>EK32+EI32+EG32+EE32+EC32+EA32+DY32+DW32+DU32+DS32+DQ32+DO32</f>
        <v>0</v>
      </c>
      <c r="EN32" s="103">
        <f t="shared" si="34"/>
        <v>0</v>
      </c>
      <c r="EO32" s="103">
        <f t="shared" si="34"/>
        <v>0</v>
      </c>
      <c r="EP32" s="119">
        <f>DQ32+DS32+DU32+DW32+DY32+EA32+EC32+EE32+EG32+EI32+EK32+DO32</f>
        <v>0</v>
      </c>
      <c r="EQ32" s="103">
        <f>DP32+DR32+DT32+DV32</f>
        <v>0</v>
      </c>
      <c r="ER32" s="502">
        <f t="shared" si="6"/>
        <v>1.4127273999629344</v>
      </c>
      <c r="ES32" s="792">
        <f t="shared" si="7"/>
        <v>0.90960225872116252</v>
      </c>
      <c r="ET32" s="506">
        <f t="shared" si="8"/>
        <v>0.90960225872116252</v>
      </c>
      <c r="EU32" s="504">
        <f t="shared" si="9"/>
        <v>0.85380748908383697</v>
      </c>
      <c r="EV32" s="104">
        <f t="shared" si="10"/>
        <v>0.26610998687076487</v>
      </c>
      <c r="EW32" s="1112"/>
      <c r="EX32" s="1106"/>
      <c r="EY32" s="1106"/>
      <c r="EZ32" s="1106"/>
      <c r="FA32" s="1107"/>
      <c r="FB32" s="1094"/>
      <c r="FC32" s="98"/>
    </row>
    <row r="33" spans="1:159" s="120" customFormat="1" ht="18.75" thickBot="1" x14ac:dyDescent="0.3">
      <c r="A33" s="841"/>
      <c r="B33" s="843"/>
      <c r="C33" s="844"/>
      <c r="D33" s="845"/>
      <c r="E33" s="846"/>
      <c r="F33" s="99" t="s">
        <v>152</v>
      </c>
      <c r="G33" s="682"/>
      <c r="H33" s="600"/>
      <c r="I33" s="600"/>
      <c r="J33" s="600"/>
      <c r="K33" s="600"/>
      <c r="L33" s="600"/>
      <c r="M33" s="600"/>
      <c r="N33" s="600"/>
      <c r="O33" s="600"/>
      <c r="P33" s="600"/>
      <c r="Q33" s="600"/>
      <c r="R33" s="600"/>
      <c r="S33" s="600"/>
      <c r="T33" s="600"/>
      <c r="U33" s="600"/>
      <c r="V33" s="600"/>
      <c r="W33" s="605">
        <f t="shared" si="1"/>
        <v>0</v>
      </c>
      <c r="X33" s="605">
        <f t="shared" si="2"/>
        <v>0</v>
      </c>
      <c r="Y33" s="605">
        <f t="shared" si="3"/>
        <v>0</v>
      </c>
      <c r="Z33" s="601">
        <f t="shared" si="4"/>
        <v>0</v>
      </c>
      <c r="AA33" s="601">
        <f t="shared" si="5"/>
        <v>0</v>
      </c>
      <c r="AB33" s="600">
        <v>2139022000</v>
      </c>
      <c r="AC33" s="600"/>
      <c r="AD33" s="600"/>
      <c r="AE33" s="600"/>
      <c r="AF33" s="600"/>
      <c r="AG33" s="600">
        <v>2635800</v>
      </c>
      <c r="AH33" s="600">
        <v>2635800</v>
      </c>
      <c r="AI33" s="600">
        <v>34586066</v>
      </c>
      <c r="AJ33" s="600">
        <v>34586066</v>
      </c>
      <c r="AK33" s="600">
        <v>62233034</v>
      </c>
      <c r="AL33" s="600">
        <v>62233034</v>
      </c>
      <c r="AM33" s="600">
        <v>83003401</v>
      </c>
      <c r="AN33" s="600">
        <v>79481400</v>
      </c>
      <c r="AO33" s="600">
        <v>78449000</v>
      </c>
      <c r="AP33" s="600">
        <v>86246433</v>
      </c>
      <c r="AQ33" s="600">
        <v>434840400</v>
      </c>
      <c r="AR33" s="600">
        <v>88552242</v>
      </c>
      <c r="AS33" s="600">
        <v>265332400</v>
      </c>
      <c r="AT33" s="600">
        <v>85262615</v>
      </c>
      <c r="AU33" s="600">
        <v>289180400</v>
      </c>
      <c r="AV33" s="600">
        <v>86753474</v>
      </c>
      <c r="AW33" s="600">
        <v>322832400</v>
      </c>
      <c r="AX33" s="600">
        <v>506185740</v>
      </c>
      <c r="AY33" s="600">
        <f>653880797+207432348-14800000-18000000</f>
        <v>828513145</v>
      </c>
      <c r="AZ33" s="600">
        <v>503515234</v>
      </c>
      <c r="BA33" s="601">
        <f t="shared" si="11"/>
        <v>2401606046</v>
      </c>
      <c r="BB33" s="601">
        <f t="shared" si="12"/>
        <v>2401606046</v>
      </c>
      <c r="BC33" s="601">
        <f t="shared" si="13"/>
        <v>1535452038</v>
      </c>
      <c r="BD33" s="601">
        <f t="shared" si="26"/>
        <v>2401606046</v>
      </c>
      <c r="BE33" s="601">
        <f t="shared" si="15"/>
        <v>1535452038</v>
      </c>
      <c r="BF33" s="601"/>
      <c r="BG33" s="604"/>
      <c r="BH33" s="604"/>
      <c r="BI33" s="604"/>
      <c r="BJ33" s="604"/>
      <c r="BK33" s="622"/>
      <c r="BL33" s="622"/>
      <c r="BM33" s="622"/>
      <c r="BN33" s="604"/>
      <c r="BO33" s="604"/>
      <c r="BP33" s="604"/>
      <c r="BQ33" s="622"/>
      <c r="BR33" s="622"/>
      <c r="BS33" s="604"/>
      <c r="BT33" s="604"/>
      <c r="BU33" s="604"/>
      <c r="BV33" s="604"/>
      <c r="BW33" s="604"/>
      <c r="BX33" s="604"/>
      <c r="BY33" s="604"/>
      <c r="BZ33" s="604"/>
      <c r="CA33" s="604"/>
      <c r="CB33" s="604"/>
      <c r="CC33" s="604"/>
      <c r="CD33" s="604"/>
      <c r="CE33" s="615"/>
      <c r="CF33" s="604"/>
      <c r="CG33" s="604"/>
      <c r="CH33" s="603"/>
      <c r="CI33" s="604"/>
      <c r="CJ33" s="601"/>
      <c r="CK33" s="604"/>
      <c r="CL33" s="604"/>
      <c r="CM33" s="604"/>
      <c r="CN33" s="604"/>
      <c r="CO33" s="604"/>
      <c r="CP33" s="604"/>
      <c r="CQ33" s="604"/>
      <c r="CR33" s="604"/>
      <c r="CS33" s="604"/>
      <c r="CT33" s="604"/>
      <c r="CU33" s="604"/>
      <c r="CV33" s="604"/>
      <c r="CW33" s="604"/>
      <c r="CX33" s="604"/>
      <c r="CY33" s="604"/>
      <c r="CZ33" s="604"/>
      <c r="DA33" s="604"/>
      <c r="DB33" s="604"/>
      <c r="DC33" s="604"/>
      <c r="DD33" s="604"/>
      <c r="DE33" s="604"/>
      <c r="DF33" s="604"/>
      <c r="DG33" s="604"/>
      <c r="DH33" s="604"/>
      <c r="DI33" s="615">
        <f>DE33+DC33+DA33+CY33+CW33+CU33+CS33+CQ33+CO33+CM33+CK33+DG33</f>
        <v>0</v>
      </c>
      <c r="DJ33" s="604">
        <f t="shared" si="33"/>
        <v>0</v>
      </c>
      <c r="DK33" s="604">
        <f t="shared" si="33"/>
        <v>0</v>
      </c>
      <c r="DL33" s="603">
        <f>CM33+CO33+CQ33+CS33+CU33+CW33+CY33+DA33+DC33+DE33+DG33</f>
        <v>0</v>
      </c>
      <c r="DM33" s="604">
        <f>CL33+CN33+CP33+CR33</f>
        <v>0</v>
      </c>
      <c r="DN33" s="601"/>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48">
        <f>EI33+EG33+EE33+EC33+EA33+DY33+DW33+DU33+DS33+DQ33+DO33+EK33</f>
        <v>0</v>
      </c>
      <c r="EN33" s="103">
        <f t="shared" si="34"/>
        <v>0</v>
      </c>
      <c r="EO33" s="103">
        <f t="shared" si="34"/>
        <v>0</v>
      </c>
      <c r="EP33" s="102">
        <f>DQ33+DS33+DU33+DW33+DY33+EA33+EC33+EE33+EG33+EI33+EK33</f>
        <v>0</v>
      </c>
      <c r="EQ33" s="103">
        <f>DP33+DR33+DT33+DV33</f>
        <v>0</v>
      </c>
      <c r="ER33" s="502">
        <f t="shared" si="6"/>
        <v>0.60773354899517018</v>
      </c>
      <c r="ES33" s="792">
        <f t="shared" si="7"/>
        <v>0.63934384265786448</v>
      </c>
      <c r="ET33" s="506">
        <f t="shared" si="8"/>
        <v>0.63934384265786448</v>
      </c>
      <c r="EU33" s="504">
        <f t="shared" si="9"/>
        <v>0.63934384265786448</v>
      </c>
      <c r="EV33" s="104" t="e">
        <f t="shared" si="10"/>
        <v>#DIV/0!</v>
      </c>
      <c r="EW33" s="1112"/>
      <c r="EX33" s="1106"/>
      <c r="EY33" s="1106"/>
      <c r="EZ33" s="1106"/>
      <c r="FA33" s="1107"/>
      <c r="FB33" s="1094"/>
      <c r="FC33" s="98"/>
    </row>
    <row r="34" spans="1:159" s="98" customFormat="1" ht="18.75" thickBot="1" x14ac:dyDescent="0.3">
      <c r="A34" s="841"/>
      <c r="B34" s="843"/>
      <c r="C34" s="844"/>
      <c r="D34" s="845"/>
      <c r="E34" s="846"/>
      <c r="F34" s="107" t="s">
        <v>153</v>
      </c>
      <c r="G34" s="682">
        <f t="shared" si="32"/>
        <v>0</v>
      </c>
      <c r="H34" s="606"/>
      <c r="I34" s="606"/>
      <c r="J34" s="606"/>
      <c r="K34" s="606"/>
      <c r="L34" s="606"/>
      <c r="M34" s="607"/>
      <c r="N34" s="606"/>
      <c r="O34" s="607"/>
      <c r="P34" s="606"/>
      <c r="Q34" s="606"/>
      <c r="R34" s="606"/>
      <c r="S34" s="606"/>
      <c r="T34" s="607"/>
      <c r="U34" s="607"/>
      <c r="V34" s="607"/>
      <c r="W34" s="605">
        <f t="shared" si="1"/>
        <v>0</v>
      </c>
      <c r="X34" s="605">
        <f t="shared" si="2"/>
        <v>0</v>
      </c>
      <c r="Y34" s="605">
        <f t="shared" si="3"/>
        <v>0</v>
      </c>
      <c r="Z34" s="601">
        <f t="shared" si="4"/>
        <v>0</v>
      </c>
      <c r="AA34" s="601">
        <f t="shared" si="5"/>
        <v>0</v>
      </c>
      <c r="AB34" s="30">
        <v>0</v>
      </c>
      <c r="AC34" s="30">
        <v>0</v>
      </c>
      <c r="AD34" s="30">
        <v>0</v>
      </c>
      <c r="AE34" s="30">
        <v>0</v>
      </c>
      <c r="AF34" s="30">
        <v>0</v>
      </c>
      <c r="AG34" s="30">
        <v>0</v>
      </c>
      <c r="AH34" s="30">
        <v>0</v>
      </c>
      <c r="AI34" s="30">
        <v>0</v>
      </c>
      <c r="AJ34" s="30">
        <v>0</v>
      </c>
      <c r="AK34" s="30">
        <v>0</v>
      </c>
      <c r="AL34" s="30">
        <v>0</v>
      </c>
      <c r="AM34" s="30"/>
      <c r="AN34" s="30"/>
      <c r="AO34" s="30"/>
      <c r="AP34" s="30"/>
      <c r="AQ34" s="30"/>
      <c r="AR34" s="30"/>
      <c r="AS34" s="30"/>
      <c r="AT34" s="608"/>
      <c r="AU34" s="30"/>
      <c r="AV34" s="30"/>
      <c r="AW34" s="30"/>
      <c r="AX34" s="30"/>
      <c r="AY34" s="608"/>
      <c r="AZ34" s="608"/>
      <c r="BA34" s="601">
        <f t="shared" si="11"/>
        <v>0</v>
      </c>
      <c r="BB34" s="601">
        <f t="shared" si="12"/>
        <v>0</v>
      </c>
      <c r="BC34" s="601">
        <f t="shared" si="13"/>
        <v>0</v>
      </c>
      <c r="BD34" s="601">
        <f t="shared" si="26"/>
        <v>0</v>
      </c>
      <c r="BE34" s="601">
        <f t="shared" si="15"/>
        <v>0</v>
      </c>
      <c r="BF34" s="605"/>
      <c r="BG34" s="30"/>
      <c r="BH34" s="30"/>
      <c r="BI34" s="629"/>
      <c r="BJ34" s="630"/>
      <c r="BK34" s="629"/>
      <c r="BL34" s="629"/>
      <c r="BM34" s="629"/>
      <c r="BN34" s="30"/>
      <c r="BO34" s="30"/>
      <c r="BP34" s="30"/>
      <c r="BQ34" s="30"/>
      <c r="BR34" s="30"/>
      <c r="BS34" s="30"/>
      <c r="BT34" s="30"/>
      <c r="BU34" s="30"/>
      <c r="BV34" s="30"/>
      <c r="BW34" s="30"/>
      <c r="BX34" s="30"/>
      <c r="BY34" s="30"/>
      <c r="BZ34" s="30"/>
      <c r="CA34" s="30"/>
      <c r="CB34" s="30"/>
      <c r="CC34" s="30"/>
      <c r="CD34" s="30"/>
      <c r="CE34" s="627"/>
      <c r="CF34" s="631"/>
      <c r="CG34" s="631"/>
      <c r="CH34" s="632"/>
      <c r="CI34" s="627"/>
      <c r="CJ34" s="605"/>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627">
        <f>DE34+DC34+DA34+CY34+CW34+CU34+CS34+CQ34+CO34+CM34+CK34+DG34</f>
        <v>0</v>
      </c>
      <c r="DJ34" s="631">
        <f t="shared" si="33"/>
        <v>0</v>
      </c>
      <c r="DK34" s="631">
        <f t="shared" si="33"/>
        <v>0</v>
      </c>
      <c r="DL34" s="632">
        <f>CM34+CO34+CQ34+CS34+CU34+CW34+CY34+DA34+DC34+DE34+DG34</f>
        <v>0</v>
      </c>
      <c r="DM34" s="627">
        <f>CL34+CN34+CP34+CR34</f>
        <v>0</v>
      </c>
      <c r="DN34" s="605"/>
      <c r="DO34" s="121"/>
      <c r="DP34" s="121"/>
      <c r="DQ34" s="121"/>
      <c r="DR34" s="121"/>
      <c r="DS34" s="121"/>
      <c r="DT34" s="121"/>
      <c r="DU34" s="121"/>
      <c r="DV34" s="121"/>
      <c r="DW34" s="121"/>
      <c r="DX34" s="121"/>
      <c r="DY34" s="121"/>
      <c r="DZ34" s="121"/>
      <c r="EA34" s="121"/>
      <c r="EB34" s="121"/>
      <c r="EC34" s="121"/>
      <c r="ED34" s="121"/>
      <c r="EE34" s="121"/>
      <c r="EF34" s="121"/>
      <c r="EG34" s="121"/>
      <c r="EH34" s="121"/>
      <c r="EI34" s="121"/>
      <c r="EJ34" s="121"/>
      <c r="EK34" s="121"/>
      <c r="EL34" s="121"/>
      <c r="EM34" s="50">
        <f>EI34+EG34+EE34+EC34+EA34+DY34+DW34+DU34+DS34+DQ34+DO34+EK34</f>
        <v>0</v>
      </c>
      <c r="EN34" s="38">
        <f t="shared" si="34"/>
        <v>0</v>
      </c>
      <c r="EO34" s="38">
        <f t="shared" si="34"/>
        <v>0</v>
      </c>
      <c r="EP34" s="49">
        <f>DQ34+DS34+DU34+DW34+DY34+EA34+EC34+EE34+EG34+EI34+EK34</f>
        <v>0</v>
      </c>
      <c r="EQ34" s="50">
        <f>DP34+DR34+DT34+DV34</f>
        <v>0</v>
      </c>
      <c r="ER34" s="502" t="e">
        <f t="shared" si="6"/>
        <v>#DIV/0!</v>
      </c>
      <c r="ES34" s="792">
        <v>0</v>
      </c>
      <c r="ET34" s="506"/>
      <c r="EU34" s="505">
        <v>0</v>
      </c>
      <c r="EV34" s="112">
        <v>0</v>
      </c>
      <c r="EW34" s="1112"/>
      <c r="EX34" s="1106"/>
      <c r="EY34" s="1106"/>
      <c r="EZ34" s="1106"/>
      <c r="FA34" s="1107"/>
      <c r="FB34" s="1094"/>
    </row>
    <row r="35" spans="1:159" s="98" customFormat="1" ht="18.75" thickBot="1" x14ac:dyDescent="0.3">
      <c r="A35" s="841"/>
      <c r="B35" s="843"/>
      <c r="C35" s="844"/>
      <c r="D35" s="845"/>
      <c r="E35" s="846"/>
      <c r="F35" s="99" t="s">
        <v>154</v>
      </c>
      <c r="G35" s="682">
        <f t="shared" si="32"/>
        <v>1148470263</v>
      </c>
      <c r="H35" s="606"/>
      <c r="I35" s="606"/>
      <c r="J35" s="606"/>
      <c r="K35" s="606"/>
      <c r="L35" s="606"/>
      <c r="M35" s="606"/>
      <c r="N35" s="606"/>
      <c r="O35" s="606"/>
      <c r="P35" s="606"/>
      <c r="Q35" s="606"/>
      <c r="R35" s="606"/>
      <c r="S35" s="606"/>
      <c r="T35" s="606"/>
      <c r="U35" s="606"/>
      <c r="V35" s="606"/>
      <c r="W35" s="605">
        <f t="shared" si="1"/>
        <v>0</v>
      </c>
      <c r="X35" s="605">
        <f t="shared" si="2"/>
        <v>0</v>
      </c>
      <c r="Y35" s="605">
        <f t="shared" si="3"/>
        <v>0</v>
      </c>
      <c r="Z35" s="601">
        <f t="shared" si="4"/>
        <v>0</v>
      </c>
      <c r="AA35" s="601">
        <f t="shared" si="5"/>
        <v>0</v>
      </c>
      <c r="AB35" s="612">
        <v>1148470263</v>
      </c>
      <c r="AC35" s="612">
        <v>52606533</v>
      </c>
      <c r="AD35" s="612">
        <v>52606533</v>
      </c>
      <c r="AE35" s="612">
        <v>93212912.670000017</v>
      </c>
      <c r="AF35" s="612">
        <v>93212912.670000017</v>
      </c>
      <c r="AG35" s="612">
        <v>58157720.329999983</v>
      </c>
      <c r="AH35" s="612">
        <v>58157720.329999983</v>
      </c>
      <c r="AI35" s="612">
        <v>6547334</v>
      </c>
      <c r="AJ35" s="612">
        <v>6547334</v>
      </c>
      <c r="AK35" s="612">
        <v>5153333</v>
      </c>
      <c r="AL35" s="612">
        <v>5153333</v>
      </c>
      <c r="AM35" s="612">
        <v>14161430</v>
      </c>
      <c r="AN35" s="612">
        <v>7351630</v>
      </c>
      <c r="AO35" s="612">
        <v>918631000</v>
      </c>
      <c r="AP35" s="612"/>
      <c r="AQ35" s="612"/>
      <c r="AR35" s="612"/>
      <c r="AS35" s="612"/>
      <c r="AT35" s="612">
        <v>3452800</v>
      </c>
      <c r="AU35" s="612"/>
      <c r="AV35" s="612">
        <v>918631000</v>
      </c>
      <c r="AW35" s="612"/>
      <c r="AX35" s="612">
        <v>3357000</v>
      </c>
      <c r="AY35" s="612"/>
      <c r="AZ35" s="612"/>
      <c r="BA35" s="601">
        <f t="shared" si="11"/>
        <v>1148470263</v>
      </c>
      <c r="BB35" s="601">
        <f t="shared" si="12"/>
        <v>1148470263</v>
      </c>
      <c r="BC35" s="601">
        <f t="shared" si="13"/>
        <v>1148470263</v>
      </c>
      <c r="BD35" s="601">
        <f t="shared" si="26"/>
        <v>1148470263</v>
      </c>
      <c r="BE35" s="601">
        <f t="shared" si="15"/>
        <v>1148470263</v>
      </c>
      <c r="BF35" s="605"/>
      <c r="BG35" s="617"/>
      <c r="BH35" s="617"/>
      <c r="BI35" s="617"/>
      <c r="BJ35" s="617"/>
      <c r="BK35" s="617"/>
      <c r="BL35" s="624"/>
      <c r="BM35" s="624"/>
      <c r="BN35" s="624"/>
      <c r="BO35" s="624"/>
      <c r="BP35" s="624"/>
      <c r="BQ35" s="624"/>
      <c r="BR35" s="624"/>
      <c r="BS35" s="624"/>
      <c r="BT35" s="624"/>
      <c r="BU35" s="624"/>
      <c r="BV35" s="624"/>
      <c r="BW35" s="624"/>
      <c r="BX35" s="624"/>
      <c r="BY35" s="624"/>
      <c r="BZ35" s="624"/>
      <c r="CA35" s="624"/>
      <c r="CB35" s="624"/>
      <c r="CC35" s="624"/>
      <c r="CD35" s="624"/>
      <c r="CE35" s="627"/>
      <c r="CF35" s="617"/>
      <c r="CG35" s="617"/>
      <c r="CH35" s="614"/>
      <c r="CI35" s="617"/>
      <c r="CJ35" s="605"/>
      <c r="CK35" s="624"/>
      <c r="CL35" s="624"/>
      <c r="CM35" s="624"/>
      <c r="CN35" s="624"/>
      <c r="CO35" s="624"/>
      <c r="CP35" s="624"/>
      <c r="CQ35" s="624"/>
      <c r="CR35" s="624"/>
      <c r="CS35" s="624"/>
      <c r="CT35" s="624"/>
      <c r="CU35" s="624"/>
      <c r="CV35" s="624"/>
      <c r="CW35" s="624"/>
      <c r="CX35" s="624"/>
      <c r="CY35" s="624"/>
      <c r="CZ35" s="624"/>
      <c r="DA35" s="624"/>
      <c r="DB35" s="624"/>
      <c r="DC35" s="624"/>
      <c r="DD35" s="624"/>
      <c r="DE35" s="624"/>
      <c r="DF35" s="624"/>
      <c r="DG35" s="624"/>
      <c r="DH35" s="624"/>
      <c r="DI35" s="627">
        <f>DE35+DC35+DA35+CY35+CW35+CU35+CS35+CQ35+CO35+CM35+CK35+DG35</f>
        <v>0</v>
      </c>
      <c r="DJ35" s="617">
        <f t="shared" si="33"/>
        <v>0</v>
      </c>
      <c r="DK35" s="617">
        <f t="shared" si="33"/>
        <v>0</v>
      </c>
      <c r="DL35" s="614">
        <f>CM35+CO35+CQ35+CS35+CU35+CW35+CY35+DA35+DC35+DE35+DG35+CK35</f>
        <v>0</v>
      </c>
      <c r="DM35" s="617">
        <f>CL35+CN35+CP35+CR35</f>
        <v>0</v>
      </c>
      <c r="DN35" s="605"/>
      <c r="DO35" s="122"/>
      <c r="DP35" s="122"/>
      <c r="DQ35" s="122"/>
      <c r="DR35" s="122"/>
      <c r="DS35" s="122"/>
      <c r="DT35" s="122"/>
      <c r="DU35" s="122"/>
      <c r="DV35" s="122"/>
      <c r="DW35" s="122"/>
      <c r="DX35" s="122"/>
      <c r="DY35" s="122"/>
      <c r="DZ35" s="122"/>
      <c r="EA35" s="122"/>
      <c r="EB35" s="122"/>
      <c r="EC35" s="122"/>
      <c r="ED35" s="122"/>
      <c r="EE35" s="122"/>
      <c r="EF35" s="122"/>
      <c r="EG35" s="122"/>
      <c r="EH35" s="122"/>
      <c r="EI35" s="122"/>
      <c r="EJ35" s="122"/>
      <c r="EK35" s="122"/>
      <c r="EL35" s="122"/>
      <c r="EM35" s="50">
        <f>EI35+EG35+EE35+EC35+EA35+DY35+DW35+DU35+DS35+DQ35+DO35+EK35</f>
        <v>0</v>
      </c>
      <c r="EN35" s="103">
        <f t="shared" si="34"/>
        <v>0</v>
      </c>
      <c r="EO35" s="103">
        <f t="shared" si="34"/>
        <v>0</v>
      </c>
      <c r="EP35" s="102">
        <f>DQ35+DS35+DU35+DW35+DY35+EA35+EC35+EE35+EG35+EI35+EK35+DO35</f>
        <v>0</v>
      </c>
      <c r="EQ35" s="103">
        <f>DP35+DR35+DT35+DV35</f>
        <v>0</v>
      </c>
      <c r="ER35" s="502" t="e">
        <f t="shared" si="6"/>
        <v>#DIV/0!</v>
      </c>
      <c r="ES35" s="792">
        <f t="shared" ref="ES35:ES40" si="35">BC35/BB35</f>
        <v>1</v>
      </c>
      <c r="ET35" s="506">
        <f t="shared" ref="ET35:ET44" si="36">BE35/BD35</f>
        <v>1</v>
      </c>
      <c r="EU35" s="504">
        <f t="shared" ref="EU35:EU40" si="37">(BC35+AA35)/(Z35+BB35)</f>
        <v>1</v>
      </c>
      <c r="EV35" s="104">
        <f t="shared" ref="EV35:EV40" si="38">(BC35+AA35)/G35</f>
        <v>1</v>
      </c>
      <c r="EW35" s="1112"/>
      <c r="EX35" s="1106"/>
      <c r="EY35" s="1106"/>
      <c r="EZ35" s="1106"/>
      <c r="FA35" s="1107"/>
      <c r="FB35" s="1094"/>
    </row>
    <row r="36" spans="1:159" s="98" customFormat="1" ht="18.75" thickBot="1" x14ac:dyDescent="0.3">
      <c r="A36" s="841"/>
      <c r="B36" s="843"/>
      <c r="C36" s="844"/>
      <c r="D36" s="845"/>
      <c r="E36" s="846"/>
      <c r="F36" s="107" t="s">
        <v>155</v>
      </c>
      <c r="G36" s="697">
        <f t="shared" si="32"/>
        <v>1</v>
      </c>
      <c r="H36" s="637">
        <v>0.15</v>
      </c>
      <c r="I36" s="635">
        <v>0</v>
      </c>
      <c r="J36" s="635">
        <v>0</v>
      </c>
      <c r="K36" s="637">
        <f t="shared" ref="K36:V36" si="39">K31+K34</f>
        <v>0</v>
      </c>
      <c r="L36" s="637">
        <f t="shared" si="39"/>
        <v>0</v>
      </c>
      <c r="M36" s="637">
        <f t="shared" si="39"/>
        <v>0.04</v>
      </c>
      <c r="N36" s="637">
        <f t="shared" si="39"/>
        <v>0.04</v>
      </c>
      <c r="O36" s="637">
        <f t="shared" si="39"/>
        <v>0.05</v>
      </c>
      <c r="P36" s="637">
        <f t="shared" si="39"/>
        <v>0.05</v>
      </c>
      <c r="Q36" s="637">
        <f t="shared" si="39"/>
        <v>0.02</v>
      </c>
      <c r="R36" s="637">
        <f t="shared" si="39"/>
        <v>0.02</v>
      </c>
      <c r="S36" s="637">
        <f t="shared" si="39"/>
        <v>0.03</v>
      </c>
      <c r="T36" s="637">
        <f t="shared" si="39"/>
        <v>0.03</v>
      </c>
      <c r="U36" s="637">
        <f t="shared" si="39"/>
        <v>0.01</v>
      </c>
      <c r="V36" s="637">
        <f t="shared" si="39"/>
        <v>0.01</v>
      </c>
      <c r="W36" s="640">
        <f t="shared" si="1"/>
        <v>0.15000000000000002</v>
      </c>
      <c r="X36" s="640">
        <f t="shared" si="2"/>
        <v>0.15000000000000002</v>
      </c>
      <c r="Y36" s="640">
        <f t="shared" si="3"/>
        <v>0.15000000000000002</v>
      </c>
      <c r="Z36" s="639">
        <f t="shared" si="4"/>
        <v>0.15000000000000002</v>
      </c>
      <c r="AA36" s="639">
        <f t="shared" si="5"/>
        <v>0.15000000000000002</v>
      </c>
      <c r="AB36" s="637">
        <v>0.25</v>
      </c>
      <c r="AC36" s="637">
        <f t="shared" ref="AC36:AY36" si="40">AC31+AC34</f>
        <v>0</v>
      </c>
      <c r="AD36" s="637">
        <f t="shared" si="40"/>
        <v>0</v>
      </c>
      <c r="AE36" s="637">
        <f t="shared" si="40"/>
        <v>0.01</v>
      </c>
      <c r="AF36" s="637">
        <f t="shared" si="40"/>
        <v>0.01</v>
      </c>
      <c r="AG36" s="637">
        <f t="shared" si="40"/>
        <v>0.01</v>
      </c>
      <c r="AH36" s="637">
        <f t="shared" si="40"/>
        <v>0.01</v>
      </c>
      <c r="AI36" s="637">
        <f t="shared" si="40"/>
        <v>0.02</v>
      </c>
      <c r="AJ36" s="637">
        <f t="shared" si="40"/>
        <v>0.02</v>
      </c>
      <c r="AK36" s="637">
        <f t="shared" si="40"/>
        <v>0.01</v>
      </c>
      <c r="AL36" s="637">
        <f t="shared" si="40"/>
        <v>0.01</v>
      </c>
      <c r="AM36" s="637">
        <f t="shared" si="40"/>
        <v>0.03</v>
      </c>
      <c r="AN36" s="637">
        <f t="shared" si="40"/>
        <v>0.01</v>
      </c>
      <c r="AO36" s="637">
        <f t="shared" si="40"/>
        <v>0.02</v>
      </c>
      <c r="AP36" s="637">
        <f t="shared" si="40"/>
        <v>0.02</v>
      </c>
      <c r="AQ36" s="637">
        <f t="shared" si="40"/>
        <v>0.02</v>
      </c>
      <c r="AR36" s="637">
        <f t="shared" si="40"/>
        <v>2.5000000000000001E-2</v>
      </c>
      <c r="AS36" s="637">
        <f t="shared" si="40"/>
        <v>0.02</v>
      </c>
      <c r="AT36" s="637">
        <f t="shared" si="40"/>
        <v>0.03</v>
      </c>
      <c r="AU36" s="637">
        <f t="shared" si="40"/>
        <v>0.03</v>
      </c>
      <c r="AV36" s="637">
        <f t="shared" si="40"/>
        <v>2.3E-2</v>
      </c>
      <c r="AW36" s="637">
        <f t="shared" si="40"/>
        <v>0.04</v>
      </c>
      <c r="AX36" s="637">
        <f t="shared" si="40"/>
        <v>0.05</v>
      </c>
      <c r="AY36" s="637">
        <f t="shared" si="40"/>
        <v>0.04</v>
      </c>
      <c r="AZ36" s="637"/>
      <c r="BA36" s="640">
        <f t="shared" si="11"/>
        <v>0.25</v>
      </c>
      <c r="BB36" s="640">
        <f t="shared" si="12"/>
        <v>0.25</v>
      </c>
      <c r="BC36" s="640">
        <f t="shared" si="13"/>
        <v>0.20800000000000002</v>
      </c>
      <c r="BD36" s="640">
        <f t="shared" si="26"/>
        <v>0.25</v>
      </c>
      <c r="BE36" s="640">
        <f t="shared" si="15"/>
        <v>0.20800000000000002</v>
      </c>
      <c r="BF36" s="638">
        <v>0.24</v>
      </c>
      <c r="BG36" s="641"/>
      <c r="BH36" s="641"/>
      <c r="BI36" s="641"/>
      <c r="BJ36" s="641"/>
      <c r="BK36" s="641"/>
      <c r="BL36" s="641"/>
      <c r="BM36" s="641"/>
      <c r="BN36" s="641"/>
      <c r="BO36" s="641"/>
      <c r="BP36" s="641"/>
      <c r="BQ36" s="641"/>
      <c r="BR36" s="641"/>
      <c r="BS36" s="641"/>
      <c r="BT36" s="641"/>
      <c r="BU36" s="641"/>
      <c r="BV36" s="641"/>
      <c r="BW36" s="641"/>
      <c r="BX36" s="641"/>
      <c r="BY36" s="641"/>
      <c r="BZ36" s="641"/>
      <c r="CA36" s="641"/>
      <c r="CB36" s="641"/>
      <c r="CC36" s="641"/>
      <c r="CD36" s="641"/>
      <c r="CE36" s="685"/>
      <c r="CF36" s="698"/>
      <c r="CG36" s="698"/>
      <c r="CH36" s="699"/>
      <c r="CI36" s="698"/>
      <c r="CJ36" s="638">
        <v>0.24</v>
      </c>
      <c r="CK36" s="637"/>
      <c r="CL36" s="637"/>
      <c r="CM36" s="637"/>
      <c r="CN36" s="637"/>
      <c r="CO36" s="637"/>
      <c r="CP36" s="637"/>
      <c r="CQ36" s="637"/>
      <c r="CR36" s="637"/>
      <c r="CS36" s="637"/>
      <c r="CT36" s="637"/>
      <c r="CU36" s="637"/>
      <c r="CV36" s="637"/>
      <c r="CW36" s="637"/>
      <c r="CX36" s="637"/>
      <c r="CY36" s="637"/>
      <c r="CZ36" s="637"/>
      <c r="DA36" s="637"/>
      <c r="DB36" s="637"/>
      <c r="DC36" s="637"/>
      <c r="DD36" s="637"/>
      <c r="DE36" s="637"/>
      <c r="DF36" s="637"/>
      <c r="DG36" s="637"/>
      <c r="DH36" s="637"/>
      <c r="DI36" s="685">
        <f>DE36+DC36+DA36+CY36+CW36+CU36+CS36+CQ36+CO36+CM36+CK36+DG36</f>
        <v>0</v>
      </c>
      <c r="DJ36" s="698">
        <f t="shared" si="33"/>
        <v>0</v>
      </c>
      <c r="DK36" s="698">
        <f t="shared" si="33"/>
        <v>0</v>
      </c>
      <c r="DL36" s="699">
        <f>CM36+CO36+CQ36+CS36+CU36+CW36+CY36+DA36+DC36+DE36+DG36+CK36</f>
        <v>0</v>
      </c>
      <c r="DM36" s="698">
        <f>CN36+CP36+CR36+CL36</f>
        <v>0</v>
      </c>
      <c r="DN36" s="638">
        <v>0.12</v>
      </c>
      <c r="DO36" s="700"/>
      <c r="DP36" s="700"/>
      <c r="DQ36" s="700"/>
      <c r="DR36" s="700"/>
      <c r="DS36" s="700"/>
      <c r="DT36" s="700"/>
      <c r="DU36" s="700"/>
      <c r="DV36" s="700"/>
      <c r="DW36" s="700"/>
      <c r="DX36" s="700"/>
      <c r="DY36" s="700"/>
      <c r="DZ36" s="700"/>
      <c r="EA36" s="700"/>
      <c r="EB36" s="700"/>
      <c r="EC36" s="700"/>
      <c r="ED36" s="700"/>
      <c r="EE36" s="700"/>
      <c r="EF36" s="700"/>
      <c r="EG36" s="700"/>
      <c r="EH36" s="700"/>
      <c r="EI36" s="700"/>
      <c r="EJ36" s="700"/>
      <c r="EK36" s="700"/>
      <c r="EL36" s="700"/>
      <c r="EM36" s="688">
        <f>EI36+EG36+EE36+EC36+EA36+DY36+DW36+DU36+DS36+DQ36+DO36+EK36</f>
        <v>0</v>
      </c>
      <c r="EN36" s="701">
        <f t="shared" si="34"/>
        <v>0</v>
      </c>
      <c r="EO36" s="701">
        <f t="shared" si="34"/>
        <v>0</v>
      </c>
      <c r="EP36" s="702">
        <f>DQ36+DS36+DU36+DW36+DY36+EA36+EC36+EE36+EG36+EI36+EK36+DO36</f>
        <v>0</v>
      </c>
      <c r="EQ36" s="701">
        <f>DR36+DT36+DV36+DP36</f>
        <v>0</v>
      </c>
      <c r="ER36" s="649">
        <f t="shared" si="6"/>
        <v>0</v>
      </c>
      <c r="ES36" s="793">
        <f t="shared" si="35"/>
        <v>0.83200000000000007</v>
      </c>
      <c r="ET36" s="650">
        <f t="shared" si="36"/>
        <v>0.83200000000000007</v>
      </c>
      <c r="EU36" s="651">
        <f t="shared" si="37"/>
        <v>0.89500000000000002</v>
      </c>
      <c r="EV36" s="652">
        <f t="shared" si="38"/>
        <v>0.35800000000000004</v>
      </c>
      <c r="EW36" s="1112"/>
      <c r="EX36" s="1106"/>
      <c r="EY36" s="1106"/>
      <c r="EZ36" s="1106"/>
      <c r="FA36" s="1107"/>
      <c r="FB36" s="1094"/>
    </row>
    <row r="37" spans="1:159" s="123" customFormat="1" ht="27.75" thickBot="1" x14ac:dyDescent="0.3">
      <c r="A37" s="841"/>
      <c r="B37" s="843"/>
      <c r="C37" s="844"/>
      <c r="D37" s="845"/>
      <c r="E37" s="846"/>
      <c r="F37" s="115" t="s">
        <v>156</v>
      </c>
      <c r="G37" s="665">
        <f>AA37+AB37+BF37+CJ37+DN37</f>
        <v>14385802893</v>
      </c>
      <c r="H37" s="666">
        <f>H32+H35</f>
        <v>1984550000</v>
      </c>
      <c r="I37" s="667">
        <v>0</v>
      </c>
      <c r="J37" s="667">
        <f>J32+J35</f>
        <v>0</v>
      </c>
      <c r="K37" s="666">
        <f t="shared" ref="K37:V37" si="41">K32+K35</f>
        <v>24305000</v>
      </c>
      <c r="L37" s="666">
        <f t="shared" si="41"/>
        <v>24305000</v>
      </c>
      <c r="M37" s="666">
        <f t="shared" si="41"/>
        <v>188163000</v>
      </c>
      <c r="N37" s="666">
        <f t="shared" si="41"/>
        <v>188163000</v>
      </c>
      <c r="O37" s="666">
        <f t="shared" si="41"/>
        <v>42879000</v>
      </c>
      <c r="P37" s="666">
        <f t="shared" si="41"/>
        <v>42879000</v>
      </c>
      <c r="Q37" s="666">
        <f t="shared" si="41"/>
        <v>0</v>
      </c>
      <c r="R37" s="666">
        <f t="shared" si="41"/>
        <v>0</v>
      </c>
      <c r="S37" s="666">
        <f t="shared" si="41"/>
        <v>10246000</v>
      </c>
      <c r="T37" s="666">
        <f t="shared" si="41"/>
        <v>10246000</v>
      </c>
      <c r="U37" s="666">
        <f t="shared" si="41"/>
        <v>1469799000</v>
      </c>
      <c r="V37" s="666">
        <f t="shared" si="41"/>
        <v>1082100630</v>
      </c>
      <c r="W37" s="668">
        <f t="shared" si="1"/>
        <v>1735392000</v>
      </c>
      <c r="X37" s="668">
        <f t="shared" si="2"/>
        <v>1735392000</v>
      </c>
      <c r="Y37" s="668">
        <f t="shared" si="3"/>
        <v>1347693630</v>
      </c>
      <c r="Z37" s="669">
        <f t="shared" si="4"/>
        <v>1735392000</v>
      </c>
      <c r="AA37" s="669">
        <f t="shared" si="5"/>
        <v>1347693630</v>
      </c>
      <c r="AB37" s="666">
        <f>AB32+AB35</f>
        <v>3287492263</v>
      </c>
      <c r="AC37" s="666">
        <f t="shared" ref="AC37:AZ37" si="42">AC32+AC35</f>
        <v>52606533</v>
      </c>
      <c r="AD37" s="666">
        <f t="shared" si="42"/>
        <v>52606533</v>
      </c>
      <c r="AE37" s="666">
        <f t="shared" si="42"/>
        <v>317222912.67000002</v>
      </c>
      <c r="AF37" s="666">
        <f t="shared" si="42"/>
        <v>317222912.67000002</v>
      </c>
      <c r="AG37" s="666">
        <f t="shared" si="42"/>
        <v>439760720.32999998</v>
      </c>
      <c r="AH37" s="666">
        <f t="shared" si="42"/>
        <v>439760720.32999998</v>
      </c>
      <c r="AI37" s="666">
        <f t="shared" si="42"/>
        <v>79107334</v>
      </c>
      <c r="AJ37" s="666">
        <f t="shared" si="42"/>
        <v>79107334</v>
      </c>
      <c r="AK37" s="666">
        <f t="shared" si="42"/>
        <v>43233333</v>
      </c>
      <c r="AL37" s="666">
        <f t="shared" si="42"/>
        <v>43233333</v>
      </c>
      <c r="AM37" s="666">
        <f t="shared" si="42"/>
        <v>963578430</v>
      </c>
      <c r="AN37" s="666">
        <f t="shared" si="42"/>
        <v>941768630</v>
      </c>
      <c r="AO37" s="666">
        <f t="shared" si="42"/>
        <v>1034979000</v>
      </c>
      <c r="AP37" s="666">
        <f t="shared" si="42"/>
        <v>7200000</v>
      </c>
      <c r="AQ37" s="666">
        <f t="shared" si="42"/>
        <v>0</v>
      </c>
      <c r="AR37" s="666">
        <f t="shared" si="42"/>
        <v>0</v>
      </c>
      <c r="AS37" s="666">
        <f t="shared" si="42"/>
        <v>319390698</v>
      </c>
      <c r="AT37" s="666">
        <f>AT32+AT35</f>
        <v>182413157</v>
      </c>
      <c r="AU37" s="666">
        <f t="shared" si="42"/>
        <v>109508000</v>
      </c>
      <c r="AV37" s="666">
        <f t="shared" si="42"/>
        <v>927226000</v>
      </c>
      <c r="AW37" s="666">
        <f t="shared" si="42"/>
        <v>-18000000</v>
      </c>
      <c r="AX37" s="666">
        <f t="shared" si="42"/>
        <v>47616767</v>
      </c>
      <c r="AY37" s="666">
        <f t="shared" si="42"/>
        <v>208689348</v>
      </c>
      <c r="AZ37" s="666">
        <f t="shared" si="42"/>
        <v>294821160</v>
      </c>
      <c r="BA37" s="669">
        <f t="shared" si="11"/>
        <v>3550076309</v>
      </c>
      <c r="BB37" s="669">
        <f t="shared" si="12"/>
        <v>3550076309</v>
      </c>
      <c r="BC37" s="669">
        <f t="shared" si="13"/>
        <v>3332976547</v>
      </c>
      <c r="BD37" s="669">
        <f t="shared" si="26"/>
        <v>3550076309</v>
      </c>
      <c r="BE37" s="669">
        <f t="shared" si="15"/>
        <v>3332976547</v>
      </c>
      <c r="BF37" s="669">
        <v>3885340000</v>
      </c>
      <c r="BG37" s="670"/>
      <c r="BH37" s="670"/>
      <c r="BI37" s="670"/>
      <c r="BJ37" s="670"/>
      <c r="BK37" s="670"/>
      <c r="BL37" s="670"/>
      <c r="BM37" s="670"/>
      <c r="BN37" s="670"/>
      <c r="BO37" s="670"/>
      <c r="BP37" s="670"/>
      <c r="BQ37" s="670"/>
      <c r="BR37" s="670"/>
      <c r="BS37" s="670"/>
      <c r="BT37" s="670"/>
      <c r="BU37" s="670"/>
      <c r="BV37" s="670"/>
      <c r="BW37" s="670"/>
      <c r="BX37" s="670"/>
      <c r="BY37" s="670"/>
      <c r="BZ37" s="670"/>
      <c r="CA37" s="670"/>
      <c r="CB37" s="670"/>
      <c r="CC37" s="670"/>
      <c r="CD37" s="670"/>
      <c r="CE37" s="671"/>
      <c r="CF37" s="670"/>
      <c r="CG37" s="670"/>
      <c r="CH37" s="670"/>
      <c r="CI37" s="670"/>
      <c r="CJ37" s="669">
        <v>3994607000</v>
      </c>
      <c r="CK37" s="672"/>
      <c r="CL37" s="672"/>
      <c r="CM37" s="672"/>
      <c r="CN37" s="672"/>
      <c r="CO37" s="672"/>
      <c r="CP37" s="672"/>
      <c r="CQ37" s="672"/>
      <c r="CR37" s="672"/>
      <c r="CS37" s="672"/>
      <c r="CT37" s="672"/>
      <c r="CU37" s="672"/>
      <c r="CV37" s="672"/>
      <c r="CW37" s="672"/>
      <c r="CX37" s="672"/>
      <c r="CY37" s="672"/>
      <c r="CZ37" s="672"/>
      <c r="DA37" s="672"/>
      <c r="DB37" s="672"/>
      <c r="DC37" s="672"/>
      <c r="DD37" s="672"/>
      <c r="DE37" s="672"/>
      <c r="DF37" s="672"/>
      <c r="DG37" s="672"/>
      <c r="DH37" s="672"/>
      <c r="DI37" s="671">
        <f>DG37+DE37+DC37+DA37+CY37+CW37+CU37+CS37+CQ37+CO37+CM37+CK37</f>
        <v>0</v>
      </c>
      <c r="DJ37" s="670">
        <f>+DJ32+DJ35</f>
        <v>0</v>
      </c>
      <c r="DK37" s="670">
        <f>DK32+DK35</f>
        <v>0</v>
      </c>
      <c r="DL37" s="670">
        <f>+DL32+DL35</f>
        <v>0</v>
      </c>
      <c r="DM37" s="670">
        <f>+DM32+DM35</f>
        <v>0</v>
      </c>
      <c r="DN37" s="669">
        <f>DN32+DN35</f>
        <v>1870670000</v>
      </c>
      <c r="DO37" s="709"/>
      <c r="DP37" s="709"/>
      <c r="DQ37" s="709"/>
      <c r="DR37" s="709"/>
      <c r="DS37" s="709"/>
      <c r="DT37" s="709"/>
      <c r="DU37" s="709"/>
      <c r="DV37" s="709"/>
      <c r="DW37" s="709"/>
      <c r="DX37" s="709"/>
      <c r="DY37" s="709"/>
      <c r="DZ37" s="709"/>
      <c r="EA37" s="709"/>
      <c r="EB37" s="709"/>
      <c r="EC37" s="709"/>
      <c r="ED37" s="709"/>
      <c r="EE37" s="709"/>
      <c r="EF37" s="709"/>
      <c r="EG37" s="709"/>
      <c r="EH37" s="709"/>
      <c r="EI37" s="709"/>
      <c r="EJ37" s="709"/>
      <c r="EK37" s="709"/>
      <c r="EL37" s="709"/>
      <c r="EM37" s="674">
        <f>EK37+EI37+EG37+EE37+EC37+EA37+DY37+DW37+DU37+DS37+DQ37+DO37</f>
        <v>0</v>
      </c>
      <c r="EN37" s="675">
        <f>+EN32+EN35</f>
        <v>0</v>
      </c>
      <c r="EO37" s="675">
        <f>EO32+EO35</f>
        <v>0</v>
      </c>
      <c r="EP37" s="675">
        <f>+EP32+EP35</f>
        <v>0</v>
      </c>
      <c r="EQ37" s="675">
        <f>+EQ32+EQ35</f>
        <v>0</v>
      </c>
      <c r="ER37" s="676">
        <f t="shared" si="6"/>
        <v>1.4127273999629344</v>
      </c>
      <c r="ES37" s="677">
        <f t="shared" si="35"/>
        <v>0.93884645199044936</v>
      </c>
      <c r="ET37" s="677">
        <f t="shared" si="36"/>
        <v>0.93884645199044936</v>
      </c>
      <c r="EU37" s="678">
        <f t="shared" si="37"/>
        <v>0.88557340681238017</v>
      </c>
      <c r="EV37" s="1095">
        <f t="shared" si="38"/>
        <v>0.32536732303468241</v>
      </c>
      <c r="EW37" s="1113"/>
      <c r="EX37" s="1109"/>
      <c r="EY37" s="1109"/>
      <c r="EZ37" s="1109"/>
      <c r="FA37" s="1110"/>
      <c r="FB37" s="1094"/>
      <c r="FC37" s="98"/>
    </row>
    <row r="38" spans="1:159" s="98" customFormat="1" ht="21" customHeight="1" thickBot="1" x14ac:dyDescent="0.3">
      <c r="A38" s="841"/>
      <c r="B38" s="843">
        <v>5</v>
      </c>
      <c r="C38" s="844" t="s">
        <v>164</v>
      </c>
      <c r="D38" s="845" t="s">
        <v>88</v>
      </c>
      <c r="E38" s="846">
        <v>274</v>
      </c>
      <c r="F38" s="93" t="s">
        <v>149</v>
      </c>
      <c r="G38" s="703">
        <f t="shared" ref="G38:G43" si="43">AA38+BA38+BF38+CJ38+DN38</f>
        <v>5</v>
      </c>
      <c r="H38" s="654">
        <v>1</v>
      </c>
      <c r="I38" s="654">
        <v>0</v>
      </c>
      <c r="J38" s="654">
        <v>0</v>
      </c>
      <c r="K38" s="654">
        <v>0</v>
      </c>
      <c r="L38" s="654">
        <v>0</v>
      </c>
      <c r="M38" s="657">
        <v>0.15</v>
      </c>
      <c r="N38" s="657">
        <v>0.15</v>
      </c>
      <c r="O38" s="657">
        <v>0.19</v>
      </c>
      <c r="P38" s="657">
        <v>0.19</v>
      </c>
      <c r="Q38" s="657">
        <v>0.06</v>
      </c>
      <c r="R38" s="657">
        <v>0.06</v>
      </c>
      <c r="S38" s="657">
        <v>0.25</v>
      </c>
      <c r="T38" s="657">
        <v>0.25</v>
      </c>
      <c r="U38" s="657">
        <v>0.35</v>
      </c>
      <c r="V38" s="657">
        <v>0.35</v>
      </c>
      <c r="W38" s="655">
        <f t="shared" si="1"/>
        <v>0.99999999999999989</v>
      </c>
      <c r="X38" s="655">
        <f t="shared" si="2"/>
        <v>0.99999999999999989</v>
      </c>
      <c r="Y38" s="655">
        <f t="shared" si="3"/>
        <v>0.99999999999999989</v>
      </c>
      <c r="Z38" s="658">
        <f t="shared" si="4"/>
        <v>0.99999999999999989</v>
      </c>
      <c r="AA38" s="658">
        <f t="shared" si="5"/>
        <v>0.99999999999999989</v>
      </c>
      <c r="AB38" s="654">
        <v>1</v>
      </c>
      <c r="AC38" s="654">
        <v>0</v>
      </c>
      <c r="AD38" s="654">
        <v>0</v>
      </c>
      <c r="AE38" s="657">
        <v>0.1</v>
      </c>
      <c r="AF38" s="657">
        <v>0.1</v>
      </c>
      <c r="AG38" s="657">
        <v>0.1</v>
      </c>
      <c r="AH38" s="657">
        <v>0.1</v>
      </c>
      <c r="AI38" s="657">
        <v>0.1</v>
      </c>
      <c r="AJ38" s="657">
        <v>0.1</v>
      </c>
      <c r="AK38" s="657">
        <v>0.05</v>
      </c>
      <c r="AL38" s="657">
        <v>0.05</v>
      </c>
      <c r="AM38" s="657">
        <v>0.05</v>
      </c>
      <c r="AN38" s="657">
        <v>0.05</v>
      </c>
      <c r="AO38" s="657">
        <v>0.05</v>
      </c>
      <c r="AP38" s="657">
        <v>0.02</v>
      </c>
      <c r="AQ38" s="657">
        <v>0.05</v>
      </c>
      <c r="AR38" s="657">
        <v>0.03</v>
      </c>
      <c r="AS38" s="657">
        <v>0.1</v>
      </c>
      <c r="AT38" s="657">
        <v>0.1</v>
      </c>
      <c r="AU38" s="657">
        <v>0.1</v>
      </c>
      <c r="AV38" s="657">
        <v>0.05</v>
      </c>
      <c r="AW38" s="657">
        <v>0.1</v>
      </c>
      <c r="AX38" s="657">
        <v>0.12</v>
      </c>
      <c r="AY38" s="657">
        <v>0.2</v>
      </c>
      <c r="AZ38" s="657">
        <v>0.28000000000000003</v>
      </c>
      <c r="BA38" s="655">
        <f t="shared" si="11"/>
        <v>1</v>
      </c>
      <c r="BB38" s="655">
        <f t="shared" si="12"/>
        <v>1</v>
      </c>
      <c r="BC38" s="655">
        <f t="shared" si="13"/>
        <v>1</v>
      </c>
      <c r="BD38" s="655">
        <f t="shared" si="26"/>
        <v>1</v>
      </c>
      <c r="BE38" s="658">
        <f t="shared" si="15"/>
        <v>1</v>
      </c>
      <c r="BF38" s="655">
        <v>1</v>
      </c>
      <c r="BG38" s="1088"/>
      <c r="BH38" s="1089"/>
      <c r="BI38" s="1090"/>
      <c r="BJ38" s="1091"/>
      <c r="BK38" s="1091"/>
      <c r="BL38" s="1091"/>
      <c r="BM38" s="1091"/>
      <c r="BN38" s="1090"/>
      <c r="BO38" s="1090"/>
      <c r="BP38" s="1090"/>
      <c r="BQ38" s="1090"/>
      <c r="BR38" s="1090"/>
      <c r="BS38" s="1090"/>
      <c r="BT38" s="1090"/>
      <c r="BU38" s="1090"/>
      <c r="BV38" s="1090"/>
      <c r="BW38" s="1090"/>
      <c r="BX38" s="1090"/>
      <c r="BY38" s="1090"/>
      <c r="BZ38" s="1090"/>
      <c r="CA38" s="1090"/>
      <c r="CB38" s="1090"/>
      <c r="CC38" s="1089"/>
      <c r="CD38" s="1090"/>
      <c r="CE38" s="658"/>
      <c r="CF38" s="654"/>
      <c r="CG38" s="656"/>
      <c r="CH38" s="1092"/>
      <c r="CI38" s="657"/>
      <c r="CJ38" s="655">
        <v>1</v>
      </c>
      <c r="CK38" s="1090"/>
      <c r="CL38" s="1090"/>
      <c r="CM38" s="1090"/>
      <c r="CN38" s="1090"/>
      <c r="CO38" s="1090"/>
      <c r="CP38" s="1090"/>
      <c r="CQ38" s="1090"/>
      <c r="CR38" s="1090"/>
      <c r="CS38" s="1090"/>
      <c r="CT38" s="1090"/>
      <c r="CU38" s="1090"/>
      <c r="CV38" s="1090"/>
      <c r="CW38" s="1090"/>
      <c r="CX38" s="1090"/>
      <c r="CY38" s="1090"/>
      <c r="CZ38" s="1090"/>
      <c r="DA38" s="1090"/>
      <c r="DB38" s="1090"/>
      <c r="DC38" s="1090"/>
      <c r="DD38" s="1090"/>
      <c r="DE38" s="1090"/>
      <c r="DF38" s="1090"/>
      <c r="DG38" s="1090"/>
      <c r="DH38" s="1090"/>
      <c r="DI38" s="658">
        <f>DG38+DE38+DC38+DA38+CY38+CW38+CU38+CS38+CQ38+CO38+CM38+CK38</f>
        <v>0</v>
      </c>
      <c r="DJ38" s="654">
        <f t="shared" ref="DJ38:DK42" si="44">CK38+CM38+CO38+CQ38</f>
        <v>0</v>
      </c>
      <c r="DK38" s="656">
        <f t="shared" si="44"/>
        <v>0</v>
      </c>
      <c r="DL38" s="1092">
        <f>CM38+CO38+CQ38+CS38+CU38+CW38+CY38+DA38+DC38+DE38+DG38+CK38</f>
        <v>0</v>
      </c>
      <c r="DM38" s="657">
        <f>CL38+CN38+CP38+CR38</f>
        <v>0</v>
      </c>
      <c r="DN38" s="655">
        <v>1</v>
      </c>
      <c r="DO38" s="704"/>
      <c r="DP38" s="704"/>
      <c r="DQ38" s="704"/>
      <c r="DR38" s="704"/>
      <c r="DS38" s="704"/>
      <c r="DT38" s="704"/>
      <c r="DU38" s="704"/>
      <c r="DV38" s="704"/>
      <c r="DW38" s="704"/>
      <c r="DX38" s="704"/>
      <c r="DY38" s="704"/>
      <c r="DZ38" s="704"/>
      <c r="EA38" s="704"/>
      <c r="EB38" s="704"/>
      <c r="EC38" s="704"/>
      <c r="ED38" s="704"/>
      <c r="EE38" s="704"/>
      <c r="EF38" s="704"/>
      <c r="EG38" s="705"/>
      <c r="EH38" s="705"/>
      <c r="EI38" s="705"/>
      <c r="EJ38" s="705"/>
      <c r="EK38" s="705"/>
      <c r="EL38" s="705"/>
      <c r="EM38" s="706">
        <f>EK38+EI38+EG38+EE38+EC38+EA38+DY38+DW38+DU38+DS38+DQ38+DO38</f>
        <v>0</v>
      </c>
      <c r="EN38" s="680">
        <f t="shared" ref="EN38:EO42" si="45">DO38+DQ38+DS38+DU38</f>
        <v>0</v>
      </c>
      <c r="EO38" s="707">
        <f t="shared" si="45"/>
        <v>0</v>
      </c>
      <c r="EP38" s="708">
        <f>DQ38+DS38+DU38+DW38+DY38+EA38+EC38+EE38+EG38+EI38+EK38+DO38</f>
        <v>0</v>
      </c>
      <c r="EQ38" s="691">
        <f>DP38+DR38+DT38+DV38</f>
        <v>0</v>
      </c>
      <c r="ER38" s="662">
        <f t="shared" si="6"/>
        <v>1.4000000000000001</v>
      </c>
      <c r="ES38" s="794">
        <f t="shared" si="35"/>
        <v>1</v>
      </c>
      <c r="ET38" s="507">
        <f t="shared" si="36"/>
        <v>1</v>
      </c>
      <c r="EU38" s="663">
        <f t="shared" si="37"/>
        <v>1</v>
      </c>
      <c r="EV38" s="664">
        <f t="shared" si="38"/>
        <v>0.4</v>
      </c>
      <c r="EW38" s="1111" t="s">
        <v>564</v>
      </c>
      <c r="EX38" s="1103" t="s">
        <v>89</v>
      </c>
      <c r="EY38" s="1103" t="s">
        <v>90</v>
      </c>
      <c r="EZ38" s="1103" t="s">
        <v>165</v>
      </c>
      <c r="FA38" s="1104" t="s">
        <v>97</v>
      </c>
      <c r="FB38" s="1094"/>
    </row>
    <row r="39" spans="1:159" s="105" customFormat="1" ht="18.75" thickBot="1" x14ac:dyDescent="0.3">
      <c r="A39" s="841"/>
      <c r="B39" s="843"/>
      <c r="C39" s="844"/>
      <c r="D39" s="845"/>
      <c r="E39" s="846"/>
      <c r="F39" s="99" t="s">
        <v>151</v>
      </c>
      <c r="G39" s="682">
        <f t="shared" si="43"/>
        <v>995296000</v>
      </c>
      <c r="H39" s="600">
        <v>101225000</v>
      </c>
      <c r="I39" s="600">
        <v>0</v>
      </c>
      <c r="J39" s="600">
        <v>0</v>
      </c>
      <c r="K39" s="600">
        <v>30690000</v>
      </c>
      <c r="L39" s="600">
        <v>30690000</v>
      </c>
      <c r="M39" s="600">
        <v>14984000</v>
      </c>
      <c r="N39" s="600">
        <v>14984000</v>
      </c>
      <c r="O39" s="600">
        <v>0</v>
      </c>
      <c r="P39" s="600">
        <v>0</v>
      </c>
      <c r="Q39" s="600">
        <v>16500000</v>
      </c>
      <c r="R39" s="600">
        <v>16500000</v>
      </c>
      <c r="S39" s="600">
        <v>0</v>
      </c>
      <c r="T39" s="600">
        <v>0</v>
      </c>
      <c r="U39" s="600">
        <v>39051000</v>
      </c>
      <c r="V39" s="600">
        <v>25268000</v>
      </c>
      <c r="W39" s="605">
        <f t="shared" si="1"/>
        <v>101225000</v>
      </c>
      <c r="X39" s="605">
        <f t="shared" si="2"/>
        <v>101225000</v>
      </c>
      <c r="Y39" s="605">
        <f t="shared" si="3"/>
        <v>87442000</v>
      </c>
      <c r="Z39" s="601">
        <f t="shared" si="4"/>
        <v>101225000</v>
      </c>
      <c r="AA39" s="601">
        <f t="shared" si="5"/>
        <v>87442000</v>
      </c>
      <c r="AB39" s="600">
        <v>204662000</v>
      </c>
      <c r="AC39" s="600">
        <v>0</v>
      </c>
      <c r="AD39" s="600">
        <v>0</v>
      </c>
      <c r="AE39" s="600">
        <v>0</v>
      </c>
      <c r="AF39" s="600">
        <v>0</v>
      </c>
      <c r="AG39" s="600">
        <v>141777000</v>
      </c>
      <c r="AH39" s="600">
        <v>141777000</v>
      </c>
      <c r="AI39" s="600">
        <v>24480000</v>
      </c>
      <c r="AJ39" s="600">
        <v>24480000</v>
      </c>
      <c r="AK39" s="600">
        <v>0</v>
      </c>
      <c r="AL39" s="600">
        <v>0</v>
      </c>
      <c r="AM39" s="600">
        <v>30261000</v>
      </c>
      <c r="AN39" s="600">
        <v>0</v>
      </c>
      <c r="AO39" s="600"/>
      <c r="AP39" s="600">
        <v>21615000</v>
      </c>
      <c r="AQ39" s="600"/>
      <c r="AR39" s="600"/>
      <c r="AS39" s="600"/>
      <c r="AT39" s="600">
        <v>0</v>
      </c>
      <c r="AU39" s="600"/>
      <c r="AW39" s="600"/>
      <c r="AX39" s="600">
        <v>0</v>
      </c>
      <c r="AY39" s="600">
        <v>8144000</v>
      </c>
      <c r="AZ39" s="600">
        <v>12564367</v>
      </c>
      <c r="BA39" s="601">
        <f t="shared" si="11"/>
        <v>204662000</v>
      </c>
      <c r="BB39" s="601">
        <f t="shared" si="12"/>
        <v>204662000</v>
      </c>
      <c r="BC39" s="601">
        <f t="shared" si="13"/>
        <v>200436367</v>
      </c>
      <c r="BD39" s="601">
        <f t="shared" si="26"/>
        <v>204662000</v>
      </c>
      <c r="BE39" s="601">
        <f t="shared" si="15"/>
        <v>200436367</v>
      </c>
      <c r="BF39" s="601">
        <v>310151000</v>
      </c>
      <c r="BG39" s="604"/>
      <c r="BH39" s="604"/>
      <c r="BI39" s="604"/>
      <c r="BJ39" s="604"/>
      <c r="BK39" s="604"/>
      <c r="BL39" s="604"/>
      <c r="BM39" s="604"/>
      <c r="BN39" s="604"/>
      <c r="BO39" s="604"/>
      <c r="BP39" s="604"/>
      <c r="BQ39" s="604"/>
      <c r="BR39" s="604"/>
      <c r="BS39" s="604"/>
      <c r="BT39" s="604"/>
      <c r="BU39" s="604"/>
      <c r="BV39" s="604"/>
      <c r="BW39" s="604"/>
      <c r="BX39" s="604"/>
      <c r="BY39" s="604"/>
      <c r="BZ39" s="604"/>
      <c r="CA39" s="604"/>
      <c r="CB39" s="604"/>
      <c r="CC39" s="604"/>
      <c r="CD39" s="604"/>
      <c r="CE39" s="615"/>
      <c r="CF39" s="604"/>
      <c r="CG39" s="604"/>
      <c r="CH39" s="603"/>
      <c r="CI39" s="604"/>
      <c r="CJ39" s="601">
        <v>257697000</v>
      </c>
      <c r="CK39" s="604"/>
      <c r="CL39" s="604"/>
      <c r="CM39" s="604"/>
      <c r="CN39" s="604"/>
      <c r="CO39" s="604"/>
      <c r="CP39" s="604"/>
      <c r="CQ39" s="604"/>
      <c r="CR39" s="604"/>
      <c r="CS39" s="604"/>
      <c r="CT39" s="604"/>
      <c r="CU39" s="604"/>
      <c r="CV39" s="604"/>
      <c r="CW39" s="604"/>
      <c r="CX39" s="604"/>
      <c r="CY39" s="604"/>
      <c r="CZ39" s="604"/>
      <c r="DA39" s="604"/>
      <c r="DB39" s="604"/>
      <c r="DC39" s="604"/>
      <c r="DD39" s="604"/>
      <c r="DE39" s="604"/>
      <c r="DF39" s="604"/>
      <c r="DG39" s="604"/>
      <c r="DH39" s="604"/>
      <c r="DI39" s="615">
        <f>DG39+DE39+DC39+DA39+CY39+CW39+CU39+CS39+CQ39+CO39+CM39+CK39</f>
        <v>0</v>
      </c>
      <c r="DJ39" s="604">
        <f t="shared" si="44"/>
        <v>0</v>
      </c>
      <c r="DK39" s="604">
        <f t="shared" si="44"/>
        <v>0</v>
      </c>
      <c r="DL39" s="603">
        <f>CM39+CO39+CQ39+CS39+CU39+CW39+CY39+DA39+DC39+DE39+DG39+CK39</f>
        <v>0</v>
      </c>
      <c r="DM39" s="604">
        <f>CL39+CN39+CP39+CR39</f>
        <v>0</v>
      </c>
      <c r="DN39" s="601">
        <v>135344000</v>
      </c>
      <c r="DO39" s="122"/>
      <c r="DP39" s="122"/>
      <c r="DQ39" s="122"/>
      <c r="DR39" s="122"/>
      <c r="DS39" s="122"/>
      <c r="DT39" s="122"/>
      <c r="DU39" s="122"/>
      <c r="DV39" s="122"/>
      <c r="DW39" s="122"/>
      <c r="DX39" s="122"/>
      <c r="DY39" s="122"/>
      <c r="DZ39" s="122"/>
      <c r="EA39" s="122"/>
      <c r="EB39" s="122"/>
      <c r="EC39" s="122"/>
      <c r="ED39" s="122"/>
      <c r="EE39" s="122"/>
      <c r="EF39" s="122"/>
      <c r="EG39" s="122"/>
      <c r="EH39" s="122"/>
      <c r="EI39" s="122"/>
      <c r="EJ39" s="122"/>
      <c r="EK39" s="122"/>
      <c r="EL39" s="122"/>
      <c r="EM39" s="48">
        <f>EK39+EI39+EG39+EE39+EC39+EA39+DY39+DW39+DU39+DS39+DQ39+DO39</f>
        <v>0</v>
      </c>
      <c r="EN39" s="103">
        <f t="shared" si="45"/>
        <v>0</v>
      </c>
      <c r="EO39" s="103">
        <f t="shared" si="45"/>
        <v>0</v>
      </c>
      <c r="EP39" s="119">
        <f>DQ39+DS39+DU39+DW39+DY39+EA39+EC39+EE39+EG39+EI39+EK39+DO39</f>
        <v>0</v>
      </c>
      <c r="EQ39" s="103">
        <f>DP39+DR39+DT39+DV39</f>
        <v>0</v>
      </c>
      <c r="ER39" s="502">
        <f t="shared" si="6"/>
        <v>1.5427759086444008</v>
      </c>
      <c r="ES39" s="792">
        <f t="shared" si="35"/>
        <v>0.97935311391464952</v>
      </c>
      <c r="ET39" s="506">
        <f t="shared" si="36"/>
        <v>0.97935311391464952</v>
      </c>
      <c r="EU39" s="504">
        <f t="shared" si="37"/>
        <v>0.94112651730867936</v>
      </c>
      <c r="EV39" s="104">
        <f t="shared" si="38"/>
        <v>0.28923894700671959</v>
      </c>
      <c r="EW39" s="1112"/>
      <c r="EX39" s="1106"/>
      <c r="EY39" s="1106"/>
      <c r="EZ39" s="1106"/>
      <c r="FA39" s="1107"/>
      <c r="FB39" s="1094"/>
      <c r="FC39" s="98"/>
    </row>
    <row r="40" spans="1:159" s="105" customFormat="1" ht="18.75" thickBot="1" x14ac:dyDescent="0.3">
      <c r="A40" s="841"/>
      <c r="B40" s="843"/>
      <c r="C40" s="844"/>
      <c r="D40" s="845"/>
      <c r="E40" s="846"/>
      <c r="F40" s="99" t="s">
        <v>152</v>
      </c>
      <c r="G40" s="682"/>
      <c r="H40" s="600"/>
      <c r="I40" s="600"/>
      <c r="J40" s="600"/>
      <c r="K40" s="600"/>
      <c r="L40" s="600"/>
      <c r="M40" s="600"/>
      <c r="N40" s="600"/>
      <c r="O40" s="600"/>
      <c r="P40" s="600"/>
      <c r="Q40" s="600"/>
      <c r="R40" s="600"/>
      <c r="S40" s="600"/>
      <c r="T40" s="600"/>
      <c r="U40" s="600"/>
      <c r="V40" s="600"/>
      <c r="W40" s="605">
        <f t="shared" si="1"/>
        <v>0</v>
      </c>
      <c r="X40" s="605">
        <f t="shared" si="2"/>
        <v>0</v>
      </c>
      <c r="Y40" s="605">
        <f t="shared" si="3"/>
        <v>0</v>
      </c>
      <c r="Z40" s="601">
        <f t="shared" si="4"/>
        <v>0</v>
      </c>
      <c r="AA40" s="601">
        <f t="shared" si="5"/>
        <v>0</v>
      </c>
      <c r="AB40" s="600">
        <v>204662000</v>
      </c>
      <c r="AC40" s="600"/>
      <c r="AD40" s="600"/>
      <c r="AE40" s="600"/>
      <c r="AF40" s="600"/>
      <c r="AG40" s="600"/>
      <c r="AH40" s="600"/>
      <c r="AI40" s="600">
        <v>7313366</v>
      </c>
      <c r="AJ40" s="600">
        <v>7313366</v>
      </c>
      <c r="AK40" s="600">
        <v>17475667</v>
      </c>
      <c r="AL40" s="600">
        <v>17475667</v>
      </c>
      <c r="AM40" s="600">
        <v>18473000</v>
      </c>
      <c r="AN40" s="600">
        <v>18473000</v>
      </c>
      <c r="AO40" s="600">
        <v>18473000</v>
      </c>
      <c r="AP40" s="600">
        <v>18473000</v>
      </c>
      <c r="AQ40" s="600">
        <v>22796000</v>
      </c>
      <c r="AR40" s="600">
        <v>20778600</v>
      </c>
      <c r="AS40" s="600">
        <v>22796000</v>
      </c>
      <c r="AT40" s="600">
        <v>22796000</v>
      </c>
      <c r="AU40" s="600">
        <v>22796000</v>
      </c>
      <c r="AV40" s="600">
        <v>22796000</v>
      </c>
      <c r="AW40" s="600">
        <v>22796000</v>
      </c>
      <c r="AX40" s="600">
        <v>22796000</v>
      </c>
      <c r="AY40" s="600">
        <v>51742967</v>
      </c>
      <c r="AZ40" s="600">
        <v>26632000</v>
      </c>
      <c r="BA40" s="601">
        <f t="shared" si="11"/>
        <v>204662000</v>
      </c>
      <c r="BB40" s="601">
        <f t="shared" si="12"/>
        <v>204662000</v>
      </c>
      <c r="BC40" s="601">
        <f t="shared" si="13"/>
        <v>177533633</v>
      </c>
      <c r="BD40" s="601">
        <f t="shared" si="26"/>
        <v>204662000</v>
      </c>
      <c r="BE40" s="601">
        <f t="shared" si="15"/>
        <v>177533633</v>
      </c>
      <c r="BF40" s="601"/>
      <c r="BG40" s="604"/>
      <c r="BH40" s="604"/>
      <c r="BI40" s="604"/>
      <c r="BJ40" s="604"/>
      <c r="BK40" s="604"/>
      <c r="BL40" s="604"/>
      <c r="BM40" s="604"/>
      <c r="BN40" s="604"/>
      <c r="BO40" s="604"/>
      <c r="BP40" s="604"/>
      <c r="BQ40" s="604"/>
      <c r="BR40" s="604"/>
      <c r="BS40" s="604"/>
      <c r="BT40" s="604"/>
      <c r="BU40" s="604"/>
      <c r="BV40" s="604"/>
      <c r="BW40" s="604"/>
      <c r="BX40" s="604"/>
      <c r="BY40" s="604"/>
      <c r="BZ40" s="604"/>
      <c r="CA40" s="604"/>
      <c r="CB40" s="604"/>
      <c r="CC40" s="604"/>
      <c r="CD40" s="604"/>
      <c r="CE40" s="615"/>
      <c r="CF40" s="604"/>
      <c r="CG40" s="604"/>
      <c r="CH40" s="603"/>
      <c r="CI40" s="604"/>
      <c r="CJ40" s="601"/>
      <c r="CK40" s="604"/>
      <c r="CL40" s="604"/>
      <c r="CM40" s="604"/>
      <c r="CN40" s="604"/>
      <c r="CO40" s="604"/>
      <c r="CP40" s="604"/>
      <c r="CQ40" s="604"/>
      <c r="CR40" s="604"/>
      <c r="CS40" s="604"/>
      <c r="CT40" s="604"/>
      <c r="CU40" s="604"/>
      <c r="CV40" s="604"/>
      <c r="CW40" s="604"/>
      <c r="CX40" s="604"/>
      <c r="CY40" s="604"/>
      <c r="CZ40" s="604"/>
      <c r="DA40" s="604"/>
      <c r="DB40" s="604"/>
      <c r="DC40" s="604"/>
      <c r="DD40" s="604"/>
      <c r="DE40" s="604"/>
      <c r="DF40" s="604"/>
      <c r="DG40" s="604"/>
      <c r="DH40" s="604"/>
      <c r="DI40" s="615">
        <f>DE40+DC40+DA40+CY40+CW40+CU40+CS40+CQ40+CO40+CM40+CK40+DG40</f>
        <v>0</v>
      </c>
      <c r="DJ40" s="604">
        <f t="shared" si="44"/>
        <v>0</v>
      </c>
      <c r="DK40" s="604">
        <f t="shared" si="44"/>
        <v>0</v>
      </c>
      <c r="DL40" s="603">
        <f>CM40+CO40+CQ40+CS40+CU40+CW40+CY40+DA40+DC40+DE40+DG40</f>
        <v>0</v>
      </c>
      <c r="DM40" s="604">
        <f>CL40+CN40+CP40+CR40</f>
        <v>0</v>
      </c>
      <c r="DN40" s="601"/>
      <c r="DO40" s="122"/>
      <c r="DP40" s="122"/>
      <c r="DQ40" s="122"/>
      <c r="DR40" s="122"/>
      <c r="DS40" s="122"/>
      <c r="DT40" s="122"/>
      <c r="DU40" s="122"/>
      <c r="DV40" s="122"/>
      <c r="DW40" s="122"/>
      <c r="DX40" s="122"/>
      <c r="DY40" s="122"/>
      <c r="DZ40" s="122"/>
      <c r="EA40" s="122"/>
      <c r="EB40" s="122"/>
      <c r="EC40" s="122"/>
      <c r="ED40" s="122"/>
      <c r="EE40" s="122"/>
      <c r="EF40" s="122"/>
      <c r="EG40" s="122"/>
      <c r="EH40" s="122"/>
      <c r="EI40" s="122"/>
      <c r="EJ40" s="122"/>
      <c r="EK40" s="122"/>
      <c r="EL40" s="122"/>
      <c r="EM40" s="48">
        <f>EI40+EG40+EE40+EC40+EA40+DY40+DW40+DU40+DS40+DQ40+DO40+EK40</f>
        <v>0</v>
      </c>
      <c r="EN40" s="103">
        <f t="shared" si="45"/>
        <v>0</v>
      </c>
      <c r="EO40" s="103">
        <f t="shared" si="45"/>
        <v>0</v>
      </c>
      <c r="EP40" s="102">
        <f>DQ40+DS40+DU40+DW40+DY40+EA40+EC40+EE40+EG40+EI40+EK40</f>
        <v>0</v>
      </c>
      <c r="EQ40" s="103">
        <f>DP40+DR40+DT40+DV40</f>
        <v>0</v>
      </c>
      <c r="ER40" s="502">
        <f t="shared" si="6"/>
        <v>0.51469796851811767</v>
      </c>
      <c r="ES40" s="792">
        <f t="shared" si="35"/>
        <v>0.86744795321065948</v>
      </c>
      <c r="ET40" s="506">
        <f t="shared" si="36"/>
        <v>0.86744795321065948</v>
      </c>
      <c r="EU40" s="504">
        <f t="shared" si="37"/>
        <v>0.86744795321065948</v>
      </c>
      <c r="EV40" s="104" t="e">
        <f t="shared" si="38"/>
        <v>#DIV/0!</v>
      </c>
      <c r="EW40" s="1112"/>
      <c r="EX40" s="1106"/>
      <c r="EY40" s="1106"/>
      <c r="EZ40" s="1106"/>
      <c r="FA40" s="1107"/>
      <c r="FB40" s="1094"/>
      <c r="FC40" s="98"/>
    </row>
    <row r="41" spans="1:159" s="98" customFormat="1" ht="18.75" thickBot="1" x14ac:dyDescent="0.3">
      <c r="A41" s="841"/>
      <c r="B41" s="843"/>
      <c r="C41" s="844"/>
      <c r="D41" s="845"/>
      <c r="E41" s="846"/>
      <c r="F41" s="107" t="s">
        <v>153</v>
      </c>
      <c r="G41" s="682">
        <f t="shared" si="43"/>
        <v>0</v>
      </c>
      <c r="H41" s="606"/>
      <c r="I41" s="606"/>
      <c r="J41" s="606"/>
      <c r="K41" s="606"/>
      <c r="L41" s="607"/>
      <c r="M41" s="606"/>
      <c r="N41" s="606"/>
      <c r="O41" s="606"/>
      <c r="P41" s="606"/>
      <c r="Q41" s="606"/>
      <c r="R41" s="607"/>
      <c r="S41" s="606"/>
      <c r="T41" s="606"/>
      <c r="U41" s="607"/>
      <c r="V41" s="607"/>
      <c r="W41" s="605">
        <f t="shared" si="1"/>
        <v>0</v>
      </c>
      <c r="X41" s="605">
        <f t="shared" si="2"/>
        <v>0</v>
      </c>
      <c r="Y41" s="605">
        <f t="shared" si="3"/>
        <v>0</v>
      </c>
      <c r="Z41" s="601">
        <f t="shared" si="4"/>
        <v>0</v>
      </c>
      <c r="AA41" s="601">
        <f t="shared" si="5"/>
        <v>0</v>
      </c>
      <c r="AB41" s="30">
        <v>0</v>
      </c>
      <c r="AC41" s="30">
        <v>0</v>
      </c>
      <c r="AD41" s="30">
        <v>0</v>
      </c>
      <c r="AE41" s="30">
        <v>0</v>
      </c>
      <c r="AF41" s="30">
        <v>0</v>
      </c>
      <c r="AG41" s="30">
        <v>0</v>
      </c>
      <c r="AH41" s="30">
        <v>0</v>
      </c>
      <c r="AI41" s="30">
        <v>0</v>
      </c>
      <c r="AJ41" s="30">
        <v>0</v>
      </c>
      <c r="AK41" s="30">
        <v>0</v>
      </c>
      <c r="AL41" s="30">
        <v>0</v>
      </c>
      <c r="AM41" s="30"/>
      <c r="AN41" s="30"/>
      <c r="AO41" s="30"/>
      <c r="AP41" s="30"/>
      <c r="AQ41" s="30"/>
      <c r="AR41" s="30"/>
      <c r="AS41" s="30"/>
      <c r="AT41" s="30"/>
      <c r="AU41" s="30"/>
      <c r="AV41" s="30"/>
      <c r="AW41" s="30"/>
      <c r="AX41" s="30"/>
      <c r="AY41" s="30"/>
      <c r="AZ41" s="30"/>
      <c r="BA41" s="601">
        <f t="shared" si="11"/>
        <v>0</v>
      </c>
      <c r="BB41" s="601">
        <f t="shared" si="12"/>
        <v>0</v>
      </c>
      <c r="BC41" s="601">
        <f t="shared" si="13"/>
        <v>0</v>
      </c>
      <c r="BD41" s="601">
        <f t="shared" si="26"/>
        <v>0</v>
      </c>
      <c r="BE41" s="601">
        <f t="shared" si="15"/>
        <v>0</v>
      </c>
      <c r="BF41" s="605"/>
      <c r="BG41" s="633"/>
      <c r="BH41" s="633"/>
      <c r="BI41" s="633"/>
      <c r="BJ41" s="633"/>
      <c r="BK41" s="633"/>
      <c r="BL41" s="633"/>
      <c r="BM41" s="633"/>
      <c r="BN41" s="633"/>
      <c r="BO41" s="633"/>
      <c r="BP41" s="633"/>
      <c r="BQ41" s="633"/>
      <c r="BR41" s="633"/>
      <c r="BS41" s="633"/>
      <c r="BT41" s="633"/>
      <c r="BU41" s="633"/>
      <c r="BV41" s="633"/>
      <c r="BW41" s="633"/>
      <c r="BX41" s="633"/>
      <c r="BY41" s="633"/>
      <c r="BZ41" s="633"/>
      <c r="CA41" s="633"/>
      <c r="CB41" s="633"/>
      <c r="CC41" s="633"/>
      <c r="CD41" s="633"/>
      <c r="CE41" s="627"/>
      <c r="CF41" s="631"/>
      <c r="CG41" s="631"/>
      <c r="CH41" s="632"/>
      <c r="CI41" s="30"/>
      <c r="CJ41" s="605"/>
      <c r="CK41" s="633"/>
      <c r="CL41" s="633"/>
      <c r="CM41" s="633"/>
      <c r="CN41" s="633"/>
      <c r="CO41" s="633"/>
      <c r="CP41" s="633"/>
      <c r="CQ41" s="633"/>
      <c r="CR41" s="633"/>
      <c r="CS41" s="633"/>
      <c r="CT41" s="633"/>
      <c r="CU41" s="633"/>
      <c r="CV41" s="633"/>
      <c r="CW41" s="633"/>
      <c r="CX41" s="633"/>
      <c r="CY41" s="633"/>
      <c r="CZ41" s="633"/>
      <c r="DA41" s="633"/>
      <c r="DB41" s="633"/>
      <c r="DC41" s="633"/>
      <c r="DD41" s="633"/>
      <c r="DE41" s="633"/>
      <c r="DF41" s="633"/>
      <c r="DG41" s="633"/>
      <c r="DH41" s="633"/>
      <c r="DI41" s="627">
        <f>DE41+DC41+DA41+CY41+CW41+CU41+CS41+CQ41+CO41+CM41+CK41+DG41</f>
        <v>0</v>
      </c>
      <c r="DJ41" s="631">
        <f t="shared" si="44"/>
        <v>0</v>
      </c>
      <c r="DK41" s="631">
        <f t="shared" si="44"/>
        <v>0</v>
      </c>
      <c r="DL41" s="632">
        <f>CM41+CO41+CQ41+CS41+CU41+CW41+CY41+DA41+DC41+DE41+DG41</f>
        <v>0</v>
      </c>
      <c r="DM41" s="30">
        <v>0</v>
      </c>
      <c r="DN41" s="605"/>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50">
        <f>EI41+EG41+EE41+EC41+EA41+DY41+DW41+DU41+DS41+DQ41+DO41+EK41</f>
        <v>0</v>
      </c>
      <c r="EN41" s="38">
        <f t="shared" si="45"/>
        <v>0</v>
      </c>
      <c r="EO41" s="38">
        <f t="shared" si="45"/>
        <v>0</v>
      </c>
      <c r="EP41" s="49">
        <f>DQ41+DS41+DU41+DW41+DY41+EA41+EC41+EE41+EG41+EI41+EK41</f>
        <v>0</v>
      </c>
      <c r="EQ41" s="121">
        <v>0</v>
      </c>
      <c r="ER41" s="502" t="e">
        <f t="shared" si="6"/>
        <v>#DIV/0!</v>
      </c>
      <c r="ES41" s="792">
        <v>0</v>
      </c>
      <c r="ET41" s="506" t="e">
        <f t="shared" si="36"/>
        <v>#DIV/0!</v>
      </c>
      <c r="EU41" s="504">
        <v>0</v>
      </c>
      <c r="EV41" s="104">
        <v>0</v>
      </c>
      <c r="EW41" s="1112"/>
      <c r="EX41" s="1106"/>
      <c r="EY41" s="1106"/>
      <c r="EZ41" s="1106"/>
      <c r="FA41" s="1107"/>
      <c r="FB41" s="1094"/>
    </row>
    <row r="42" spans="1:159" s="105" customFormat="1" ht="18.75" thickBot="1" x14ac:dyDescent="0.3">
      <c r="A42" s="841"/>
      <c r="B42" s="843"/>
      <c r="C42" s="844"/>
      <c r="D42" s="845"/>
      <c r="E42" s="846"/>
      <c r="F42" s="99" t="s">
        <v>154</v>
      </c>
      <c r="G42" s="682">
        <f t="shared" si="43"/>
        <v>52744200</v>
      </c>
      <c r="H42" s="606"/>
      <c r="I42" s="606"/>
      <c r="J42" s="606"/>
      <c r="K42" s="606"/>
      <c r="L42" s="606"/>
      <c r="M42" s="606"/>
      <c r="N42" s="606"/>
      <c r="O42" s="606"/>
      <c r="P42" s="606"/>
      <c r="Q42" s="606"/>
      <c r="R42" s="606"/>
      <c r="S42" s="606"/>
      <c r="T42" s="606"/>
      <c r="U42" s="606"/>
      <c r="V42" s="606"/>
      <c r="W42" s="605">
        <f t="shared" si="1"/>
        <v>0</v>
      </c>
      <c r="X42" s="605">
        <f t="shared" si="2"/>
        <v>0</v>
      </c>
      <c r="Y42" s="605">
        <f t="shared" si="3"/>
        <v>0</v>
      </c>
      <c r="Z42" s="601">
        <f t="shared" si="4"/>
        <v>0</v>
      </c>
      <c r="AA42" s="601">
        <f t="shared" si="5"/>
        <v>0</v>
      </c>
      <c r="AB42" s="612">
        <v>52744200</v>
      </c>
      <c r="AC42" s="612">
        <v>20517333</v>
      </c>
      <c r="AD42" s="612">
        <v>20517333</v>
      </c>
      <c r="AE42" s="612">
        <v>15384000</v>
      </c>
      <c r="AF42" s="612">
        <v>15384000</v>
      </c>
      <c r="AG42" s="612">
        <v>5866667</v>
      </c>
      <c r="AH42" s="612">
        <v>5866667</v>
      </c>
      <c r="AI42" s="612">
        <v>10976200</v>
      </c>
      <c r="AJ42" s="612">
        <v>10976200</v>
      </c>
      <c r="AK42" s="612">
        <v>0</v>
      </c>
      <c r="AL42" s="612">
        <v>0</v>
      </c>
      <c r="AM42" s="612"/>
      <c r="AN42" s="612"/>
      <c r="AO42" s="612"/>
      <c r="AP42" s="612"/>
      <c r="AQ42" s="612"/>
      <c r="AR42" s="612"/>
      <c r="AS42" s="612"/>
      <c r="AT42" s="612"/>
      <c r="AU42" s="612"/>
      <c r="AV42" s="612"/>
      <c r="AW42" s="612"/>
      <c r="AX42" s="612"/>
      <c r="AY42" s="612"/>
      <c r="AZ42" s="612"/>
      <c r="BA42" s="601">
        <f t="shared" si="11"/>
        <v>52744200</v>
      </c>
      <c r="BB42" s="601">
        <f t="shared" si="12"/>
        <v>52744200</v>
      </c>
      <c r="BC42" s="601">
        <f t="shared" si="13"/>
        <v>52744200</v>
      </c>
      <c r="BD42" s="601">
        <f t="shared" si="26"/>
        <v>52744200</v>
      </c>
      <c r="BE42" s="601">
        <f t="shared" si="15"/>
        <v>52744200</v>
      </c>
      <c r="BF42" s="605"/>
      <c r="BG42" s="617"/>
      <c r="BH42" s="617"/>
      <c r="BI42" s="617"/>
      <c r="BJ42" s="617"/>
      <c r="BK42" s="617"/>
      <c r="BL42" s="624"/>
      <c r="BM42" s="624"/>
      <c r="BN42" s="624"/>
      <c r="BO42" s="624"/>
      <c r="BP42" s="624"/>
      <c r="BQ42" s="624"/>
      <c r="BR42" s="624"/>
      <c r="BS42" s="624"/>
      <c r="BT42" s="624"/>
      <c r="BU42" s="624"/>
      <c r="BV42" s="624"/>
      <c r="BW42" s="624"/>
      <c r="BX42" s="624"/>
      <c r="BY42" s="624"/>
      <c r="BZ42" s="624"/>
      <c r="CA42" s="624"/>
      <c r="CB42" s="624"/>
      <c r="CC42" s="624"/>
      <c r="CD42" s="624"/>
      <c r="CE42" s="627"/>
      <c r="CF42" s="617"/>
      <c r="CG42" s="617"/>
      <c r="CH42" s="614"/>
      <c r="CI42" s="617"/>
      <c r="CJ42" s="605"/>
      <c r="CK42" s="624"/>
      <c r="CL42" s="624"/>
      <c r="CM42" s="624"/>
      <c r="CN42" s="624"/>
      <c r="CO42" s="624"/>
      <c r="CP42" s="624"/>
      <c r="CQ42" s="624"/>
      <c r="CR42" s="624"/>
      <c r="CS42" s="624"/>
      <c r="CT42" s="624"/>
      <c r="CU42" s="624"/>
      <c r="CV42" s="624"/>
      <c r="CW42" s="624"/>
      <c r="CX42" s="624"/>
      <c r="CY42" s="624"/>
      <c r="CZ42" s="624"/>
      <c r="DA42" s="624"/>
      <c r="DB42" s="624"/>
      <c r="DC42" s="624"/>
      <c r="DD42" s="624"/>
      <c r="DE42" s="624"/>
      <c r="DF42" s="624"/>
      <c r="DG42" s="624"/>
      <c r="DH42" s="624"/>
      <c r="DI42" s="627">
        <f>DE42+DC42+DA42+CY42+CW42+CU42+CS42+CQ42+CO42+CM42+CK42+DG42</f>
        <v>0</v>
      </c>
      <c r="DJ42" s="617">
        <f t="shared" si="44"/>
        <v>0</v>
      </c>
      <c r="DK42" s="617">
        <f t="shared" si="44"/>
        <v>0</v>
      </c>
      <c r="DL42" s="614">
        <f>CM42+CO42+CQ42+CS42+CU42+CW42+CY42+DA42+DC42+DE42+DG42+CK42</f>
        <v>0</v>
      </c>
      <c r="DM42" s="617">
        <f>CL42+CN42+CP42+CR42</f>
        <v>0</v>
      </c>
      <c r="DN42" s="605"/>
      <c r="DO42" s="122"/>
      <c r="DP42" s="122"/>
      <c r="DQ42" s="122"/>
      <c r="DR42" s="122"/>
      <c r="DS42" s="122"/>
      <c r="DT42" s="122"/>
      <c r="DU42" s="122"/>
      <c r="DV42" s="122"/>
      <c r="DW42" s="122"/>
      <c r="DX42" s="122"/>
      <c r="DY42" s="122"/>
      <c r="DZ42" s="122"/>
      <c r="EA42" s="122"/>
      <c r="EB42" s="122"/>
      <c r="EC42" s="122"/>
      <c r="ED42" s="122"/>
      <c r="EE42" s="122"/>
      <c r="EF42" s="122"/>
      <c r="EG42" s="122"/>
      <c r="EH42" s="122"/>
      <c r="EI42" s="122"/>
      <c r="EJ42" s="122"/>
      <c r="EK42" s="122"/>
      <c r="EL42" s="122"/>
      <c r="EM42" s="50">
        <f>EI42+EG42+EE42+EC42+EA42+DY42+DW42+DU42+DS42+DQ42+DO42+EK42</f>
        <v>0</v>
      </c>
      <c r="EN42" s="103">
        <f t="shared" si="45"/>
        <v>0</v>
      </c>
      <c r="EO42" s="103">
        <f t="shared" si="45"/>
        <v>0</v>
      </c>
      <c r="EP42" s="102">
        <f>DQ42+DS42+DU42+DW42+DY42+EA42+EC42+EE42+EG42+EI42+EK42+DO42</f>
        <v>0</v>
      </c>
      <c r="EQ42" s="103">
        <f>DP42+DR42+DT42+DV42</f>
        <v>0</v>
      </c>
      <c r="ER42" s="502" t="e">
        <f t="shared" si="6"/>
        <v>#DIV/0!</v>
      </c>
      <c r="ES42" s="792">
        <f>BC42/BB42</f>
        <v>1</v>
      </c>
      <c r="ET42" s="506">
        <f t="shared" si="36"/>
        <v>1</v>
      </c>
      <c r="EU42" s="505">
        <f>(BC42+AA42)/(Z42+BB42)</f>
        <v>1</v>
      </c>
      <c r="EV42" s="112">
        <f>(BC42+AA42)/G42</f>
        <v>1</v>
      </c>
      <c r="EW42" s="1112"/>
      <c r="EX42" s="1106"/>
      <c r="EY42" s="1106"/>
      <c r="EZ42" s="1106"/>
      <c r="FA42" s="1107"/>
      <c r="FB42" s="1094"/>
      <c r="FC42" s="98"/>
    </row>
    <row r="43" spans="1:159" s="98" customFormat="1" ht="18.75" thickBot="1" x14ac:dyDescent="0.3">
      <c r="A43" s="841"/>
      <c r="B43" s="843"/>
      <c r="C43" s="844"/>
      <c r="D43" s="845"/>
      <c r="E43" s="846"/>
      <c r="F43" s="107" t="s">
        <v>155</v>
      </c>
      <c r="G43" s="683">
        <f t="shared" si="43"/>
        <v>5</v>
      </c>
      <c r="H43" s="636">
        <v>1</v>
      </c>
      <c r="I43" s="635">
        <v>0</v>
      </c>
      <c r="J43" s="635">
        <v>0</v>
      </c>
      <c r="K43" s="637">
        <f t="shared" ref="K43:V43" si="46">K38+K41</f>
        <v>0</v>
      </c>
      <c r="L43" s="637">
        <f t="shared" si="46"/>
        <v>0</v>
      </c>
      <c r="M43" s="637">
        <f t="shared" si="46"/>
        <v>0.15</v>
      </c>
      <c r="N43" s="637">
        <f t="shared" si="46"/>
        <v>0.15</v>
      </c>
      <c r="O43" s="637">
        <f t="shared" si="46"/>
        <v>0.19</v>
      </c>
      <c r="P43" s="637">
        <f t="shared" si="46"/>
        <v>0.19</v>
      </c>
      <c r="Q43" s="637">
        <f t="shared" si="46"/>
        <v>0.06</v>
      </c>
      <c r="R43" s="637">
        <f t="shared" si="46"/>
        <v>0.06</v>
      </c>
      <c r="S43" s="637">
        <f t="shared" si="46"/>
        <v>0.25</v>
      </c>
      <c r="T43" s="637">
        <f t="shared" si="46"/>
        <v>0.25</v>
      </c>
      <c r="U43" s="637">
        <f t="shared" si="46"/>
        <v>0.35</v>
      </c>
      <c r="V43" s="637">
        <f t="shared" si="46"/>
        <v>0.35</v>
      </c>
      <c r="W43" s="638">
        <f t="shared" si="1"/>
        <v>0.99999999999999989</v>
      </c>
      <c r="X43" s="638">
        <f t="shared" si="2"/>
        <v>0.99999999999999989</v>
      </c>
      <c r="Y43" s="638">
        <f t="shared" si="3"/>
        <v>0.99999999999999989</v>
      </c>
      <c r="Z43" s="639">
        <f t="shared" si="4"/>
        <v>0.99999999999999989</v>
      </c>
      <c r="AA43" s="639">
        <f t="shared" si="5"/>
        <v>0.99999999999999989</v>
      </c>
      <c r="AB43" s="636">
        <v>1</v>
      </c>
      <c r="AC43" s="634">
        <f t="shared" ref="AC43:AZ43" si="47">AC38+AC41</f>
        <v>0</v>
      </c>
      <c r="AD43" s="634">
        <f t="shared" si="47"/>
        <v>0</v>
      </c>
      <c r="AE43" s="634">
        <f t="shared" si="47"/>
        <v>0.1</v>
      </c>
      <c r="AF43" s="634">
        <f t="shared" si="47"/>
        <v>0.1</v>
      </c>
      <c r="AG43" s="634">
        <f t="shared" si="47"/>
        <v>0.1</v>
      </c>
      <c r="AH43" s="634">
        <f t="shared" si="47"/>
        <v>0.1</v>
      </c>
      <c r="AI43" s="637">
        <f t="shared" si="47"/>
        <v>0.1</v>
      </c>
      <c r="AJ43" s="637">
        <f t="shared" si="47"/>
        <v>0.1</v>
      </c>
      <c r="AK43" s="637">
        <f t="shared" si="47"/>
        <v>0.05</v>
      </c>
      <c r="AL43" s="637">
        <f t="shared" si="47"/>
        <v>0.05</v>
      </c>
      <c r="AM43" s="637">
        <f t="shared" si="47"/>
        <v>0.05</v>
      </c>
      <c r="AN43" s="637">
        <f t="shared" si="47"/>
        <v>0.05</v>
      </c>
      <c r="AO43" s="637">
        <f t="shared" si="47"/>
        <v>0.05</v>
      </c>
      <c r="AP43" s="637">
        <f t="shared" si="47"/>
        <v>0.02</v>
      </c>
      <c r="AQ43" s="637">
        <f t="shared" si="47"/>
        <v>0.05</v>
      </c>
      <c r="AR43" s="634">
        <f t="shared" si="47"/>
        <v>0.03</v>
      </c>
      <c r="AS43" s="634">
        <f t="shared" si="47"/>
        <v>0.1</v>
      </c>
      <c r="AT43" s="634">
        <f t="shared" si="47"/>
        <v>0.1</v>
      </c>
      <c r="AU43" s="634">
        <f t="shared" si="47"/>
        <v>0.1</v>
      </c>
      <c r="AV43" s="634">
        <f t="shared" si="47"/>
        <v>0.05</v>
      </c>
      <c r="AW43" s="634">
        <f t="shared" si="47"/>
        <v>0.1</v>
      </c>
      <c r="AX43" s="637">
        <f t="shared" si="47"/>
        <v>0.12</v>
      </c>
      <c r="AY43" s="634">
        <f t="shared" si="47"/>
        <v>0.2</v>
      </c>
      <c r="AZ43" s="634">
        <f t="shared" si="47"/>
        <v>0.28000000000000003</v>
      </c>
      <c r="BA43" s="640">
        <f t="shared" si="11"/>
        <v>1</v>
      </c>
      <c r="BB43" s="640">
        <f t="shared" si="12"/>
        <v>1</v>
      </c>
      <c r="BC43" s="640">
        <f t="shared" si="13"/>
        <v>1</v>
      </c>
      <c r="BD43" s="640">
        <f t="shared" si="26"/>
        <v>1</v>
      </c>
      <c r="BE43" s="640">
        <f t="shared" si="15"/>
        <v>1</v>
      </c>
      <c r="BF43" s="638">
        <v>1</v>
      </c>
      <c r="BG43" s="710"/>
      <c r="BH43" s="710"/>
      <c r="BI43" s="710"/>
      <c r="BJ43" s="710"/>
      <c r="BK43" s="710"/>
      <c r="BL43" s="710"/>
      <c r="BM43" s="710"/>
      <c r="BN43" s="710"/>
      <c r="BO43" s="710"/>
      <c r="BP43" s="710"/>
      <c r="BQ43" s="710"/>
      <c r="BR43" s="710"/>
      <c r="BS43" s="710"/>
      <c r="BT43" s="710"/>
      <c r="BU43" s="710"/>
      <c r="BV43" s="710"/>
      <c r="BW43" s="710"/>
      <c r="BX43" s="710"/>
      <c r="BY43" s="710"/>
      <c r="BZ43" s="710"/>
      <c r="CA43" s="710"/>
      <c r="CB43" s="710"/>
      <c r="CC43" s="710"/>
      <c r="CD43" s="710"/>
      <c r="CE43" s="685"/>
      <c r="CF43" s="710"/>
      <c r="CG43" s="698"/>
      <c r="CH43" s="699"/>
      <c r="CI43" s="698"/>
      <c r="CJ43" s="638">
        <v>1</v>
      </c>
      <c r="CK43" s="711"/>
      <c r="CL43" s="711"/>
      <c r="CM43" s="711"/>
      <c r="CN43" s="711"/>
      <c r="CO43" s="711"/>
      <c r="CP43" s="711"/>
      <c r="CQ43" s="711"/>
      <c r="CR43" s="711"/>
      <c r="CS43" s="711"/>
      <c r="CT43" s="711"/>
      <c r="CU43" s="711"/>
      <c r="CV43" s="711"/>
      <c r="CW43" s="711"/>
      <c r="CX43" s="711"/>
      <c r="CY43" s="711"/>
      <c r="CZ43" s="711"/>
      <c r="DA43" s="711"/>
      <c r="DB43" s="711"/>
      <c r="DC43" s="711"/>
      <c r="DD43" s="711"/>
      <c r="DE43" s="711"/>
      <c r="DF43" s="711"/>
      <c r="DG43" s="711"/>
      <c r="DH43" s="711"/>
      <c r="DI43" s="685">
        <f>DE43+DC43+DA43+CY43+CW43+CU43+CS43+CQ43+CO43+CM43+CK43+DG43</f>
        <v>0</v>
      </c>
      <c r="DJ43" s="710"/>
      <c r="DK43" s="698">
        <f>CL43+CN43+CP43+CR43</f>
        <v>0</v>
      </c>
      <c r="DL43" s="699">
        <f>CM43+CO43+CQ43+CS43+CU43+CW43+CY43+DA43+DC43+DE43+DG43+CK43</f>
        <v>0</v>
      </c>
      <c r="DM43" s="698">
        <f>CN43+CP43+CR43+CL43</f>
        <v>0</v>
      </c>
      <c r="DN43" s="638">
        <v>1</v>
      </c>
      <c r="DO43" s="712"/>
      <c r="DP43" s="712"/>
      <c r="DQ43" s="712"/>
      <c r="DR43" s="712"/>
      <c r="DS43" s="712"/>
      <c r="DT43" s="712"/>
      <c r="DU43" s="712"/>
      <c r="DV43" s="712"/>
      <c r="DW43" s="712"/>
      <c r="DX43" s="712"/>
      <c r="DY43" s="712"/>
      <c r="DZ43" s="712"/>
      <c r="EA43" s="712"/>
      <c r="EB43" s="712"/>
      <c r="EC43" s="712"/>
      <c r="ED43" s="712"/>
      <c r="EE43" s="712"/>
      <c r="EF43" s="712"/>
      <c r="EG43" s="712"/>
      <c r="EH43" s="712"/>
      <c r="EI43" s="712"/>
      <c r="EJ43" s="712"/>
      <c r="EK43" s="712"/>
      <c r="EL43" s="712"/>
      <c r="EM43" s="688">
        <f>EI43+EG43+EE43+EC43+EA43+DY43+DW43+DU43+DS43+DQ43+DO43+EK43</f>
        <v>0</v>
      </c>
      <c r="EN43" s="713"/>
      <c r="EO43" s="701">
        <f>DP43+DR43+DT43+DV43</f>
        <v>0</v>
      </c>
      <c r="EP43" s="702">
        <f>DQ43+DS43+DU43+DW43+DY43+EA43+EC43+EE43+EG43+EI43+EK43+DO43</f>
        <v>0</v>
      </c>
      <c r="EQ43" s="701">
        <f>DR43+DT43+DV43+DP43</f>
        <v>0</v>
      </c>
      <c r="ER43" s="649">
        <f t="shared" si="6"/>
        <v>1.4000000000000001</v>
      </c>
      <c r="ES43" s="793">
        <f>BC43/BB43</f>
        <v>1</v>
      </c>
      <c r="ET43" s="650">
        <f t="shared" si="36"/>
        <v>1</v>
      </c>
      <c r="EU43" s="651">
        <f>(BC43+AA43)/(Z43+BB43)</f>
        <v>1</v>
      </c>
      <c r="EV43" s="652">
        <f>(BC43+AA43)/G43</f>
        <v>0.4</v>
      </c>
      <c r="EW43" s="1112"/>
      <c r="EX43" s="1106"/>
      <c r="EY43" s="1106"/>
      <c r="EZ43" s="1106"/>
      <c r="FA43" s="1107"/>
      <c r="FB43" s="1094"/>
    </row>
    <row r="44" spans="1:159" s="125" customFormat="1" ht="27.75" thickBot="1" x14ac:dyDescent="0.3">
      <c r="A44" s="842"/>
      <c r="B44" s="843"/>
      <c r="C44" s="844"/>
      <c r="D44" s="845"/>
      <c r="E44" s="846"/>
      <c r="F44" s="115" t="s">
        <v>156</v>
      </c>
      <c r="G44" s="715">
        <f>AA44+AB44+BF44+CJ44+DN44</f>
        <v>983410200</v>
      </c>
      <c r="H44" s="716">
        <f>H39+H42</f>
        <v>101225000</v>
      </c>
      <c r="I44" s="717">
        <v>0</v>
      </c>
      <c r="J44" s="717">
        <f>J39+J42</f>
        <v>0</v>
      </c>
      <c r="K44" s="716">
        <f t="shared" ref="K44:V44" si="48">K39+K42</f>
        <v>30690000</v>
      </c>
      <c r="L44" s="716">
        <f t="shared" si="48"/>
        <v>30690000</v>
      </c>
      <c r="M44" s="716">
        <f t="shared" si="48"/>
        <v>14984000</v>
      </c>
      <c r="N44" s="716">
        <f t="shared" si="48"/>
        <v>14984000</v>
      </c>
      <c r="O44" s="716">
        <f t="shared" si="48"/>
        <v>0</v>
      </c>
      <c r="P44" s="716">
        <f t="shared" si="48"/>
        <v>0</v>
      </c>
      <c r="Q44" s="716">
        <f t="shared" si="48"/>
        <v>16500000</v>
      </c>
      <c r="R44" s="716">
        <f t="shared" si="48"/>
        <v>16500000</v>
      </c>
      <c r="S44" s="716">
        <f t="shared" si="48"/>
        <v>0</v>
      </c>
      <c r="T44" s="716">
        <f t="shared" si="48"/>
        <v>0</v>
      </c>
      <c r="U44" s="716">
        <f t="shared" si="48"/>
        <v>39051000</v>
      </c>
      <c r="V44" s="716">
        <f t="shared" si="48"/>
        <v>25268000</v>
      </c>
      <c r="W44" s="718">
        <f t="shared" si="1"/>
        <v>101225000</v>
      </c>
      <c r="X44" s="718">
        <f t="shared" si="2"/>
        <v>101225000</v>
      </c>
      <c r="Y44" s="718">
        <f t="shared" si="3"/>
        <v>87442000</v>
      </c>
      <c r="Z44" s="719">
        <f t="shared" si="4"/>
        <v>101225000</v>
      </c>
      <c r="AA44" s="719">
        <f t="shared" si="5"/>
        <v>87442000</v>
      </c>
      <c r="AB44" s="716">
        <f>AB39+AB42</f>
        <v>257406200</v>
      </c>
      <c r="AC44" s="716">
        <f t="shared" ref="AC44:AZ44" si="49">AC39+AC42</f>
        <v>20517333</v>
      </c>
      <c r="AD44" s="716">
        <f t="shared" si="49"/>
        <v>20517333</v>
      </c>
      <c r="AE44" s="716">
        <f t="shared" si="49"/>
        <v>15384000</v>
      </c>
      <c r="AF44" s="716">
        <f t="shared" si="49"/>
        <v>15384000</v>
      </c>
      <c r="AG44" s="716">
        <f t="shared" si="49"/>
        <v>147643667</v>
      </c>
      <c r="AH44" s="716">
        <f t="shared" si="49"/>
        <v>147643667</v>
      </c>
      <c r="AI44" s="716">
        <f t="shared" si="49"/>
        <v>35456200</v>
      </c>
      <c r="AJ44" s="716">
        <f t="shared" si="49"/>
        <v>35456200</v>
      </c>
      <c r="AK44" s="716">
        <f t="shared" si="49"/>
        <v>0</v>
      </c>
      <c r="AL44" s="716">
        <f t="shared" si="49"/>
        <v>0</v>
      </c>
      <c r="AM44" s="716">
        <f t="shared" si="49"/>
        <v>30261000</v>
      </c>
      <c r="AN44" s="716">
        <f t="shared" si="49"/>
        <v>0</v>
      </c>
      <c r="AO44" s="716">
        <f t="shared" si="49"/>
        <v>0</v>
      </c>
      <c r="AP44" s="716">
        <f t="shared" si="49"/>
        <v>21615000</v>
      </c>
      <c r="AQ44" s="716">
        <f t="shared" si="49"/>
        <v>0</v>
      </c>
      <c r="AR44" s="716">
        <f t="shared" si="49"/>
        <v>0</v>
      </c>
      <c r="AS44" s="716">
        <f t="shared" si="49"/>
        <v>0</v>
      </c>
      <c r="AT44" s="716">
        <f>AT39+AT42</f>
        <v>0</v>
      </c>
      <c r="AU44" s="716">
        <f t="shared" si="49"/>
        <v>0</v>
      </c>
      <c r="AV44" s="716">
        <f t="shared" si="49"/>
        <v>0</v>
      </c>
      <c r="AW44" s="716">
        <f t="shared" si="49"/>
        <v>0</v>
      </c>
      <c r="AX44" s="716">
        <f t="shared" si="49"/>
        <v>0</v>
      </c>
      <c r="AY44" s="716">
        <f t="shared" si="49"/>
        <v>8144000</v>
      </c>
      <c r="AZ44" s="716">
        <f t="shared" si="49"/>
        <v>12564367</v>
      </c>
      <c r="BA44" s="719">
        <f t="shared" si="11"/>
        <v>257406200</v>
      </c>
      <c r="BB44" s="719">
        <f t="shared" si="12"/>
        <v>257406200</v>
      </c>
      <c r="BC44" s="719">
        <f t="shared" si="13"/>
        <v>253180567</v>
      </c>
      <c r="BD44" s="719">
        <f t="shared" si="26"/>
        <v>257406200</v>
      </c>
      <c r="BE44" s="719">
        <f t="shared" si="15"/>
        <v>253180567</v>
      </c>
      <c r="BF44" s="719">
        <v>245521000</v>
      </c>
      <c r="BG44" s="720"/>
      <c r="BH44" s="720"/>
      <c r="BI44" s="720"/>
      <c r="BJ44" s="720"/>
      <c r="BK44" s="720"/>
      <c r="BL44" s="720"/>
      <c r="BM44" s="720"/>
      <c r="BN44" s="720"/>
      <c r="BO44" s="720"/>
      <c r="BP44" s="720"/>
      <c r="BQ44" s="720"/>
      <c r="BR44" s="720"/>
      <c r="BS44" s="720"/>
      <c r="BT44" s="720"/>
      <c r="BU44" s="720"/>
      <c r="BV44" s="720"/>
      <c r="BW44" s="720"/>
      <c r="BX44" s="720"/>
      <c r="BY44" s="720"/>
      <c r="BZ44" s="720"/>
      <c r="CA44" s="720"/>
      <c r="CB44" s="720"/>
      <c r="CC44" s="720"/>
      <c r="CD44" s="720"/>
      <c r="CE44" s="721"/>
      <c r="CF44" s="720"/>
      <c r="CG44" s="720"/>
      <c r="CH44" s="720"/>
      <c r="CI44" s="720"/>
      <c r="CJ44" s="719">
        <v>257697000</v>
      </c>
      <c r="CK44" s="722"/>
      <c r="CL44" s="722"/>
      <c r="CM44" s="722"/>
      <c r="CN44" s="722"/>
      <c r="CO44" s="722"/>
      <c r="CP44" s="722"/>
      <c r="CQ44" s="722"/>
      <c r="CR44" s="722"/>
      <c r="CS44" s="722"/>
      <c r="CT44" s="722"/>
      <c r="CU44" s="722"/>
      <c r="CV44" s="722"/>
      <c r="CW44" s="722"/>
      <c r="CX44" s="722"/>
      <c r="CY44" s="722"/>
      <c r="CZ44" s="722"/>
      <c r="DA44" s="722"/>
      <c r="DB44" s="722"/>
      <c r="DC44" s="722"/>
      <c r="DD44" s="722"/>
      <c r="DE44" s="722"/>
      <c r="DF44" s="722"/>
      <c r="DG44" s="722"/>
      <c r="DH44" s="722"/>
      <c r="DI44" s="721">
        <f>DG44+DE44+DC44+DA44+CY44+CW44+CU44+CS44+CQ44+CO44+CM44+CK44</f>
        <v>0</v>
      </c>
      <c r="DJ44" s="720">
        <f>+DJ39+DJ42</f>
        <v>0</v>
      </c>
      <c r="DK44" s="720">
        <f>DK39+DK42</f>
        <v>0</v>
      </c>
      <c r="DL44" s="720">
        <f>+DL39+DL42</f>
        <v>0</v>
      </c>
      <c r="DM44" s="720">
        <f>+DM39+DM42</f>
        <v>0</v>
      </c>
      <c r="DN44" s="719">
        <f>DN39+DN42</f>
        <v>135344000</v>
      </c>
      <c r="DO44" s="723"/>
      <c r="DP44" s="723"/>
      <c r="DQ44" s="723"/>
      <c r="DR44" s="723"/>
      <c r="DS44" s="723"/>
      <c r="DT44" s="723"/>
      <c r="DU44" s="723"/>
      <c r="DV44" s="723"/>
      <c r="DW44" s="723"/>
      <c r="DX44" s="723"/>
      <c r="DY44" s="723"/>
      <c r="DZ44" s="723"/>
      <c r="EA44" s="723"/>
      <c r="EB44" s="723"/>
      <c r="EC44" s="723"/>
      <c r="ED44" s="723"/>
      <c r="EE44" s="723"/>
      <c r="EF44" s="723"/>
      <c r="EG44" s="723"/>
      <c r="EH44" s="723"/>
      <c r="EI44" s="723"/>
      <c r="EJ44" s="723"/>
      <c r="EK44" s="723"/>
      <c r="EL44" s="723"/>
      <c r="EM44" s="724">
        <f>EK44+EI44+EG44+EE44+EC44+EA44+DY44+DW44+DU44+DS44+DQ44+DO44</f>
        <v>0</v>
      </c>
      <c r="EN44" s="725">
        <f>+EN39+EN42</f>
        <v>0</v>
      </c>
      <c r="EO44" s="725">
        <f>EO39+EO42</f>
        <v>0</v>
      </c>
      <c r="EP44" s="725">
        <f>+EP39+EP42</f>
        <v>0</v>
      </c>
      <c r="EQ44" s="725">
        <f>+EQ39+EQ42</f>
        <v>0</v>
      </c>
      <c r="ER44" s="726">
        <f t="shared" si="6"/>
        <v>1.5427759086444008</v>
      </c>
      <c r="ES44" s="727">
        <f>BC44/BB44</f>
        <v>0.9835837947959295</v>
      </c>
      <c r="ET44" s="727">
        <f t="shared" si="36"/>
        <v>0.9835837947959295</v>
      </c>
      <c r="EU44" s="728">
        <f>(BC44+AA44)/(Z44+BB44)</f>
        <v>0.94978509120232713</v>
      </c>
      <c r="EV44" s="1093">
        <f>(BC44+AA44)/G44</f>
        <v>0.34636875537796946</v>
      </c>
      <c r="EW44" s="1113"/>
      <c r="EX44" s="1109"/>
      <c r="EY44" s="1109"/>
      <c r="EZ44" s="1109"/>
      <c r="FA44" s="1110"/>
      <c r="FB44" s="1094"/>
    </row>
    <row r="45" spans="1:159" s="133" customFormat="1" ht="48" customHeight="1" thickBot="1" x14ac:dyDescent="0.35">
      <c r="A45" s="833" t="s">
        <v>166</v>
      </c>
      <c r="B45" s="833"/>
      <c r="C45" s="833"/>
      <c r="D45" s="833"/>
      <c r="E45" s="833"/>
      <c r="F45" s="729" t="s">
        <v>167</v>
      </c>
      <c r="G45" s="735">
        <f>AA45+AB45+BF45+CJ45+DN45</f>
        <v>34266742530</v>
      </c>
      <c r="H45" s="736">
        <f t="shared" ref="H45:V45" si="50">H11+H18+H25+H32+H39</f>
        <v>3756930000</v>
      </c>
      <c r="I45" s="736">
        <f t="shared" si="50"/>
        <v>0</v>
      </c>
      <c r="J45" s="736">
        <f t="shared" si="50"/>
        <v>0</v>
      </c>
      <c r="K45" s="736">
        <f t="shared" si="50"/>
        <v>196885000</v>
      </c>
      <c r="L45" s="736">
        <f t="shared" si="50"/>
        <v>196885000</v>
      </c>
      <c r="M45" s="736">
        <f t="shared" si="50"/>
        <v>1048167000</v>
      </c>
      <c r="N45" s="736">
        <f t="shared" si="50"/>
        <v>1048167000</v>
      </c>
      <c r="O45" s="736">
        <f t="shared" si="50"/>
        <v>203803900</v>
      </c>
      <c r="P45" s="736">
        <f t="shared" si="50"/>
        <v>203803900</v>
      </c>
      <c r="Q45" s="736">
        <f t="shared" si="50"/>
        <v>16500000</v>
      </c>
      <c r="R45" s="736">
        <f t="shared" si="50"/>
        <v>16500000</v>
      </c>
      <c r="S45" s="736">
        <f t="shared" si="50"/>
        <v>10246000</v>
      </c>
      <c r="T45" s="736">
        <f t="shared" si="50"/>
        <v>10246000</v>
      </c>
      <c r="U45" s="736">
        <f t="shared" si="50"/>
        <v>2281328100</v>
      </c>
      <c r="V45" s="736">
        <f t="shared" si="50"/>
        <v>1835594630</v>
      </c>
      <c r="W45" s="737">
        <f t="shared" si="1"/>
        <v>3756930000</v>
      </c>
      <c r="X45" s="737">
        <f t="shared" si="2"/>
        <v>3756930000</v>
      </c>
      <c r="Y45" s="737">
        <f t="shared" si="3"/>
        <v>3311196530</v>
      </c>
      <c r="Z45" s="738">
        <f t="shared" si="4"/>
        <v>3756930000</v>
      </c>
      <c r="AA45" s="738">
        <f t="shared" si="5"/>
        <v>3311196530</v>
      </c>
      <c r="AB45" s="736">
        <f t="shared" ref="AB45:AZ45" si="51">AB11+AB18+AB25+AB32+AB39</f>
        <v>6969964000</v>
      </c>
      <c r="AC45" s="736">
        <f t="shared" si="51"/>
        <v>3583000</v>
      </c>
      <c r="AD45" s="736">
        <f t="shared" si="51"/>
        <v>3583000</v>
      </c>
      <c r="AE45" s="736">
        <f t="shared" si="51"/>
        <v>1888715000</v>
      </c>
      <c r="AF45" s="736">
        <f t="shared" si="51"/>
        <v>1888715000</v>
      </c>
      <c r="AG45" s="736">
        <f t="shared" si="51"/>
        <v>2319348000</v>
      </c>
      <c r="AH45" s="736">
        <f t="shared" si="51"/>
        <v>2319348000</v>
      </c>
      <c r="AI45" s="736">
        <f t="shared" si="51"/>
        <v>248601000</v>
      </c>
      <c r="AJ45" s="736">
        <f t="shared" si="51"/>
        <v>248601000</v>
      </c>
      <c r="AK45" s="736">
        <f t="shared" si="51"/>
        <v>52096400</v>
      </c>
      <c r="AL45" s="736">
        <f t="shared" si="51"/>
        <v>52096400</v>
      </c>
      <c r="AM45" s="736">
        <f t="shared" si="51"/>
        <v>1510055900</v>
      </c>
      <c r="AN45" s="736">
        <f t="shared" si="51"/>
        <v>1242300900</v>
      </c>
      <c r="AO45" s="736">
        <f t="shared" si="51"/>
        <v>116348000</v>
      </c>
      <c r="AP45" s="736">
        <f>AP11+AP18+AP25+AP32+AP39</f>
        <v>153965000</v>
      </c>
      <c r="AQ45" s="736">
        <f>AQ11+AQ18+AQ25+AQ32+AQ39</f>
        <v>170000000</v>
      </c>
      <c r="AR45" s="736">
        <f t="shared" ref="AR45:AW45" si="52">AR11+AR18+AR25+AR32+AR39</f>
        <v>4149000</v>
      </c>
      <c r="AS45" s="736">
        <f t="shared" si="52"/>
        <v>345357798</v>
      </c>
      <c r="AT45" s="736">
        <f t="shared" si="52"/>
        <v>249100624</v>
      </c>
      <c r="AU45" s="736">
        <f t="shared" si="52"/>
        <v>174781302</v>
      </c>
      <c r="AV45" s="736">
        <f t="shared" si="52"/>
        <v>119993967</v>
      </c>
      <c r="AW45" s="736">
        <f t="shared" si="52"/>
        <v>-8000000</v>
      </c>
      <c r="AX45" s="736">
        <f>AX11+AX18+AX25+AX32+AX39</f>
        <v>146417067</v>
      </c>
      <c r="AY45" s="736">
        <f>AY11+AY18+AY25+AY32+AY39</f>
        <v>377983414</v>
      </c>
      <c r="AZ45" s="736">
        <f t="shared" si="51"/>
        <v>471169426</v>
      </c>
      <c r="BA45" s="738">
        <f>BA11+BA18+BA25+BA32+BA39</f>
        <v>7198869814</v>
      </c>
      <c r="BB45" s="738">
        <f>AC45+AE45+AG45+AI45+AK45+AM45+AO45+AQ45+AS45+AU45+AW45+AY45</f>
        <v>7198869814</v>
      </c>
      <c r="BC45" s="738">
        <f t="shared" si="13"/>
        <v>6899439384</v>
      </c>
      <c r="BD45" s="738">
        <f>BD11+BD18+BD25+BD32+BD39</f>
        <v>7198869814</v>
      </c>
      <c r="BE45" s="738">
        <f t="shared" si="15"/>
        <v>6899439384</v>
      </c>
      <c r="BF45" s="738">
        <f>BF39+BF32+BF25+BF18+BF11</f>
        <v>10605227000</v>
      </c>
      <c r="BG45" s="739"/>
      <c r="BH45" s="739"/>
      <c r="BI45" s="739"/>
      <c r="BJ45" s="739"/>
      <c r="BK45" s="739"/>
      <c r="BL45" s="739"/>
      <c r="BM45" s="739"/>
      <c r="BN45" s="739"/>
      <c r="BO45" s="739"/>
      <c r="BP45" s="739"/>
      <c r="BQ45" s="739"/>
      <c r="BR45" s="739"/>
      <c r="BS45" s="739"/>
      <c r="BT45" s="739"/>
      <c r="BU45" s="739"/>
      <c r="BV45" s="739"/>
      <c r="BW45" s="739"/>
      <c r="BX45" s="739"/>
      <c r="BY45" s="739"/>
      <c r="BZ45" s="739"/>
      <c r="CA45" s="739"/>
      <c r="CB45" s="739"/>
      <c r="CC45" s="739"/>
      <c r="CD45" s="739"/>
      <c r="CE45" s="739"/>
      <c r="CF45" s="739"/>
      <c r="CG45" s="739"/>
      <c r="CH45" s="739"/>
      <c r="CI45" s="739"/>
      <c r="CJ45" s="738">
        <v>8940302000</v>
      </c>
      <c r="CK45" s="739"/>
      <c r="CL45" s="739"/>
      <c r="CM45" s="739"/>
      <c r="CN45" s="739"/>
      <c r="CO45" s="739"/>
      <c r="CP45" s="739"/>
      <c r="CQ45" s="739"/>
      <c r="CR45" s="739"/>
      <c r="CS45" s="739"/>
      <c r="CT45" s="739"/>
      <c r="CU45" s="739"/>
      <c r="CV45" s="739"/>
      <c r="CW45" s="739"/>
      <c r="CX45" s="739"/>
      <c r="CY45" s="739"/>
      <c r="CZ45" s="739"/>
      <c r="DA45" s="739"/>
      <c r="DB45" s="739"/>
      <c r="DC45" s="739"/>
      <c r="DD45" s="739"/>
      <c r="DE45" s="739"/>
      <c r="DF45" s="739"/>
      <c r="DG45" s="739"/>
      <c r="DH45" s="739"/>
      <c r="DI45" s="739"/>
      <c r="DJ45" s="739"/>
      <c r="DK45" s="739"/>
      <c r="DL45" s="739"/>
      <c r="DM45" s="739"/>
      <c r="DN45" s="740">
        <f>DN11+DN18+DN25+DN32+DN39</f>
        <v>4440053000</v>
      </c>
      <c r="DO45" s="732"/>
      <c r="DP45" s="126"/>
      <c r="DQ45" s="126"/>
      <c r="DR45" s="126"/>
      <c r="DS45" s="126"/>
      <c r="DT45" s="126"/>
      <c r="DU45" s="126"/>
      <c r="DV45" s="126"/>
      <c r="DW45" s="126"/>
      <c r="DX45" s="126"/>
      <c r="DY45" s="126"/>
      <c r="DZ45" s="126"/>
      <c r="EA45" s="126"/>
      <c r="EB45" s="126"/>
      <c r="EC45" s="126"/>
      <c r="ED45" s="126"/>
      <c r="EE45" s="126"/>
      <c r="EF45" s="126"/>
      <c r="EG45" s="126"/>
      <c r="EH45" s="126"/>
      <c r="EI45" s="126"/>
      <c r="EJ45" s="126"/>
      <c r="EK45" s="126"/>
      <c r="EL45" s="126"/>
      <c r="EM45" s="127"/>
      <c r="EN45" s="128"/>
      <c r="EO45" s="126"/>
      <c r="EP45" s="126"/>
      <c r="EQ45" s="127"/>
      <c r="ER45" s="129"/>
      <c r="ES45" s="129"/>
      <c r="ET45" s="714"/>
      <c r="EU45" s="130"/>
      <c r="EV45" s="130"/>
      <c r="EW45" s="131"/>
      <c r="EX45" s="131"/>
      <c r="EY45" s="131"/>
      <c r="EZ45" s="131"/>
      <c r="FA45" s="132"/>
    </row>
    <row r="46" spans="1:159" s="133" customFormat="1" ht="46.5" customHeight="1" thickBot="1" x14ac:dyDescent="0.35">
      <c r="A46" s="833"/>
      <c r="B46" s="833"/>
      <c r="C46" s="833"/>
      <c r="D46" s="833"/>
      <c r="E46" s="833"/>
      <c r="F46" s="730" t="s">
        <v>168</v>
      </c>
      <c r="G46" s="741">
        <f>AA46+AB46+BF46+CJ46+DN46</f>
        <v>2085366328</v>
      </c>
      <c r="H46" s="742"/>
      <c r="I46" s="743"/>
      <c r="J46" s="744"/>
      <c r="K46" s="745"/>
      <c r="L46" s="746"/>
      <c r="M46" s="746"/>
      <c r="N46" s="746"/>
      <c r="O46" s="746"/>
      <c r="P46" s="746"/>
      <c r="Q46" s="746"/>
      <c r="R46" s="746"/>
      <c r="S46" s="746"/>
      <c r="T46" s="746"/>
      <c r="U46" s="746"/>
      <c r="V46" s="746"/>
      <c r="W46" s="747">
        <f t="shared" si="1"/>
        <v>0</v>
      </c>
      <c r="X46" s="747">
        <f t="shared" si="2"/>
        <v>0</v>
      </c>
      <c r="Y46" s="747">
        <f t="shared" si="3"/>
        <v>0</v>
      </c>
      <c r="Z46" s="748">
        <f t="shared" si="4"/>
        <v>0</v>
      </c>
      <c r="AA46" s="748">
        <f t="shared" si="5"/>
        <v>0</v>
      </c>
      <c r="AB46" s="749">
        <f t="shared" ref="AB46:BA46" si="53">AB14+AB21+AB28+AB35+AB42</f>
        <v>2085366328</v>
      </c>
      <c r="AC46" s="750">
        <f t="shared" si="53"/>
        <v>243623766</v>
      </c>
      <c r="AD46" s="750">
        <f t="shared" si="53"/>
        <v>243623766</v>
      </c>
      <c r="AE46" s="750">
        <f t="shared" si="53"/>
        <v>432910073.01000005</v>
      </c>
      <c r="AF46" s="750">
        <f t="shared" si="53"/>
        <v>432910073.01000005</v>
      </c>
      <c r="AG46" s="750">
        <f t="shared" si="53"/>
        <v>355997499.98999995</v>
      </c>
      <c r="AH46" s="750">
        <f t="shared" si="53"/>
        <v>355997499.98999995</v>
      </c>
      <c r="AI46" s="750">
        <f t="shared" si="53"/>
        <v>62562933</v>
      </c>
      <c r="AJ46" s="750">
        <f t="shared" si="53"/>
        <v>62562933</v>
      </c>
      <c r="AK46" s="750">
        <f t="shared" si="53"/>
        <v>35153332</v>
      </c>
      <c r="AL46" s="750">
        <f t="shared" si="53"/>
        <v>35153332</v>
      </c>
      <c r="AM46" s="750">
        <f t="shared" si="53"/>
        <v>36487724</v>
      </c>
      <c r="AN46" s="750">
        <f t="shared" si="53"/>
        <v>7351630</v>
      </c>
      <c r="AO46" s="750">
        <f t="shared" si="53"/>
        <v>918631000</v>
      </c>
      <c r="AP46" s="750">
        <f t="shared" si="53"/>
        <v>1201933</v>
      </c>
      <c r="AQ46" s="750">
        <f t="shared" si="53"/>
        <v>-544600</v>
      </c>
      <c r="AR46" s="750">
        <f>AR14+AR21+AR28+AR35+AR42</f>
        <v>17829335</v>
      </c>
      <c r="AS46" s="750">
        <f t="shared" si="53"/>
        <v>0</v>
      </c>
      <c r="AT46" s="750">
        <f t="shared" si="53"/>
        <v>3452800</v>
      </c>
      <c r="AU46" s="750">
        <f t="shared" si="53"/>
        <v>0</v>
      </c>
      <c r="AV46" s="750">
        <f t="shared" si="53"/>
        <v>918631000</v>
      </c>
      <c r="AW46" s="750">
        <f t="shared" si="53"/>
        <v>0</v>
      </c>
      <c r="AX46" s="750">
        <f t="shared" si="53"/>
        <v>3357000</v>
      </c>
      <c r="AY46" s="750">
        <f t="shared" si="53"/>
        <v>0</v>
      </c>
      <c r="AZ46" s="750">
        <f t="shared" si="53"/>
        <v>0</v>
      </c>
      <c r="BA46" s="751">
        <f t="shared" si="53"/>
        <v>2084821728</v>
      </c>
      <c r="BB46" s="751">
        <f t="shared" si="12"/>
        <v>2084821728</v>
      </c>
      <c r="BC46" s="751">
        <f t="shared" si="13"/>
        <v>2082071302</v>
      </c>
      <c r="BD46" s="751">
        <f>BD14+BD21+BD28+BD35+BD42</f>
        <v>2084821728</v>
      </c>
      <c r="BE46" s="751">
        <f t="shared" si="15"/>
        <v>2082071302</v>
      </c>
      <c r="BF46" s="751">
        <v>0</v>
      </c>
      <c r="BG46" s="752"/>
      <c r="BH46" s="752"/>
      <c r="BI46" s="752"/>
      <c r="BJ46" s="752"/>
      <c r="BK46" s="752"/>
      <c r="BL46" s="752"/>
      <c r="BM46" s="752"/>
      <c r="BN46" s="752"/>
      <c r="BO46" s="752"/>
      <c r="BP46" s="752"/>
      <c r="BQ46" s="752"/>
      <c r="BR46" s="752"/>
      <c r="BS46" s="752"/>
      <c r="BT46" s="752"/>
      <c r="BU46" s="752"/>
      <c r="BV46" s="752"/>
      <c r="BW46" s="752"/>
      <c r="BX46" s="752"/>
      <c r="BY46" s="752"/>
      <c r="BZ46" s="752"/>
      <c r="CA46" s="752"/>
      <c r="CB46" s="752"/>
      <c r="CC46" s="752"/>
      <c r="CD46" s="752"/>
      <c r="CE46" s="752"/>
      <c r="CF46" s="752"/>
      <c r="CG46" s="752"/>
      <c r="CH46" s="752"/>
      <c r="CI46" s="752"/>
      <c r="CJ46" s="751">
        <v>0</v>
      </c>
      <c r="CK46" s="752"/>
      <c r="CL46" s="752"/>
      <c r="CM46" s="752"/>
      <c r="CN46" s="752"/>
      <c r="CO46" s="752"/>
      <c r="CP46" s="752"/>
      <c r="CQ46" s="752"/>
      <c r="CR46" s="752"/>
      <c r="CS46" s="752"/>
      <c r="CT46" s="752"/>
      <c r="CU46" s="752"/>
      <c r="CV46" s="752"/>
      <c r="CW46" s="752"/>
      <c r="CX46" s="752"/>
      <c r="CY46" s="752"/>
      <c r="CZ46" s="752"/>
      <c r="DA46" s="752"/>
      <c r="DB46" s="752"/>
      <c r="DC46" s="752"/>
      <c r="DD46" s="752"/>
      <c r="DE46" s="752"/>
      <c r="DF46" s="752"/>
      <c r="DG46" s="752"/>
      <c r="DH46" s="752"/>
      <c r="DI46" s="752"/>
      <c r="DJ46" s="752"/>
      <c r="DK46" s="752"/>
      <c r="DL46" s="752"/>
      <c r="DM46" s="752"/>
      <c r="DN46" s="753">
        <f>DN14+DN21+DN28+DN35+DN42</f>
        <v>0</v>
      </c>
      <c r="DO46" s="733"/>
      <c r="DP46" s="134"/>
      <c r="DQ46" s="134"/>
      <c r="DR46" s="134"/>
      <c r="DS46" s="134"/>
      <c r="DT46" s="134"/>
      <c r="DU46" s="134"/>
      <c r="DV46" s="134"/>
      <c r="DW46" s="134"/>
      <c r="DX46" s="134"/>
      <c r="DY46" s="134"/>
      <c r="DZ46" s="134"/>
      <c r="EA46" s="134"/>
      <c r="EB46" s="134"/>
      <c r="EC46" s="134"/>
      <c r="ED46" s="134"/>
      <c r="EE46" s="134"/>
      <c r="EF46" s="134"/>
      <c r="EG46" s="135"/>
      <c r="EH46" s="135"/>
      <c r="EI46" s="135"/>
      <c r="EJ46" s="135"/>
      <c r="EK46" s="135"/>
      <c r="EL46" s="135"/>
      <c r="EM46" s="136"/>
      <c r="EN46" s="137"/>
      <c r="EO46" s="134"/>
      <c r="EP46" s="134"/>
      <c r="EQ46" s="136"/>
      <c r="ER46" s="129"/>
      <c r="ES46" s="129"/>
      <c r="ET46" s="130"/>
      <c r="EU46" s="130"/>
      <c r="EV46" s="130"/>
      <c r="EW46" s="131"/>
      <c r="EX46" s="131"/>
      <c r="EY46" s="131"/>
      <c r="EZ46" s="131"/>
      <c r="FA46" s="132"/>
    </row>
    <row r="47" spans="1:159" s="133" customFormat="1" ht="50.25" customHeight="1" thickBot="1" x14ac:dyDescent="0.35">
      <c r="A47" s="833"/>
      <c r="B47" s="833"/>
      <c r="C47" s="833"/>
      <c r="D47" s="833"/>
      <c r="E47" s="833"/>
      <c r="F47" s="731" t="s">
        <v>169</v>
      </c>
      <c r="G47" s="754">
        <f>AA47+AB47+BF47+CJ47+DN47</f>
        <v>34364077858</v>
      </c>
      <c r="H47" s="755">
        <f>H45+H46</f>
        <v>3756930000</v>
      </c>
      <c r="I47" s="756">
        <v>0</v>
      </c>
      <c r="J47" s="756">
        <f>J45+J46</f>
        <v>0</v>
      </c>
      <c r="K47" s="757">
        <v>196885000</v>
      </c>
      <c r="L47" s="757">
        <f t="shared" ref="L47:V47" si="54">L45+L46</f>
        <v>196885000</v>
      </c>
      <c r="M47" s="757">
        <f t="shared" si="54"/>
        <v>1048167000</v>
      </c>
      <c r="N47" s="757">
        <f t="shared" si="54"/>
        <v>1048167000</v>
      </c>
      <c r="O47" s="757">
        <f t="shared" si="54"/>
        <v>203803900</v>
      </c>
      <c r="P47" s="757">
        <f t="shared" si="54"/>
        <v>203803900</v>
      </c>
      <c r="Q47" s="757">
        <f t="shared" si="54"/>
        <v>16500000</v>
      </c>
      <c r="R47" s="757">
        <f t="shared" si="54"/>
        <v>16500000</v>
      </c>
      <c r="S47" s="757">
        <f t="shared" si="54"/>
        <v>10246000</v>
      </c>
      <c r="T47" s="757">
        <f t="shared" si="54"/>
        <v>10246000</v>
      </c>
      <c r="U47" s="757">
        <f t="shared" si="54"/>
        <v>2281328100</v>
      </c>
      <c r="V47" s="757">
        <f t="shared" si="54"/>
        <v>1835594630</v>
      </c>
      <c r="W47" s="758">
        <f t="shared" si="1"/>
        <v>3756930000</v>
      </c>
      <c r="X47" s="758">
        <f t="shared" si="2"/>
        <v>3756930000</v>
      </c>
      <c r="Y47" s="758">
        <f t="shared" si="3"/>
        <v>3311196530</v>
      </c>
      <c r="Z47" s="759">
        <f t="shared" si="4"/>
        <v>3756930000</v>
      </c>
      <c r="AA47" s="759">
        <f t="shared" si="5"/>
        <v>3311196530</v>
      </c>
      <c r="AB47" s="757">
        <f t="shared" ref="AB47:AZ47" si="55">AB45+AB46</f>
        <v>9055330328</v>
      </c>
      <c r="AC47" s="757">
        <f t="shared" si="55"/>
        <v>247206766</v>
      </c>
      <c r="AD47" s="757">
        <f t="shared" si="55"/>
        <v>247206766</v>
      </c>
      <c r="AE47" s="757">
        <f t="shared" si="55"/>
        <v>2321625073.0100002</v>
      </c>
      <c r="AF47" s="757">
        <f t="shared" si="55"/>
        <v>2321625073.0100002</v>
      </c>
      <c r="AG47" s="757">
        <f t="shared" si="55"/>
        <v>2675345499.9899998</v>
      </c>
      <c r="AH47" s="757">
        <f t="shared" si="55"/>
        <v>2675345499.9899998</v>
      </c>
      <c r="AI47" s="757">
        <f t="shared" si="55"/>
        <v>311163933</v>
      </c>
      <c r="AJ47" s="757">
        <f t="shared" si="55"/>
        <v>311163933</v>
      </c>
      <c r="AK47" s="757">
        <f t="shared" si="55"/>
        <v>87249732</v>
      </c>
      <c r="AL47" s="757">
        <f t="shared" si="55"/>
        <v>87249732</v>
      </c>
      <c r="AM47" s="757">
        <f t="shared" si="55"/>
        <v>1546543624</v>
      </c>
      <c r="AN47" s="757">
        <f t="shared" si="55"/>
        <v>1249652530</v>
      </c>
      <c r="AO47" s="757">
        <f t="shared" si="55"/>
        <v>1034979000</v>
      </c>
      <c r="AP47" s="757">
        <f t="shared" si="55"/>
        <v>155166933</v>
      </c>
      <c r="AQ47" s="757">
        <f t="shared" si="55"/>
        <v>169455400</v>
      </c>
      <c r="AR47" s="757">
        <f t="shared" si="55"/>
        <v>21978335</v>
      </c>
      <c r="AS47" s="757">
        <f t="shared" si="55"/>
        <v>345357798</v>
      </c>
      <c r="AT47" s="757">
        <f t="shared" si="55"/>
        <v>252553424</v>
      </c>
      <c r="AU47" s="757">
        <f t="shared" si="55"/>
        <v>174781302</v>
      </c>
      <c r="AV47" s="757">
        <f t="shared" si="55"/>
        <v>1038624967</v>
      </c>
      <c r="AW47" s="757">
        <f t="shared" si="55"/>
        <v>-8000000</v>
      </c>
      <c r="AX47" s="757">
        <f t="shared" si="55"/>
        <v>149774067</v>
      </c>
      <c r="AY47" s="757">
        <f t="shared" si="55"/>
        <v>377983414</v>
      </c>
      <c r="AZ47" s="757">
        <f t="shared" si="55"/>
        <v>471169426</v>
      </c>
      <c r="BA47" s="760">
        <f>AC47+AE47+AG47+AI47+AK47+AM47+AO47+AQ47+AS47+AU47+AW47+AY47</f>
        <v>9283691542</v>
      </c>
      <c r="BB47" s="760">
        <f t="shared" si="12"/>
        <v>9283691542</v>
      </c>
      <c r="BC47" s="760">
        <f t="shared" si="13"/>
        <v>8981510686</v>
      </c>
      <c r="BD47" s="760">
        <f>AC47+AE47+AG47+AI47+AK47+AM47+AO47+AQ47+AS47+AU47+AW47+AY47</f>
        <v>9283691542</v>
      </c>
      <c r="BE47" s="760">
        <f t="shared" si="15"/>
        <v>8981510686</v>
      </c>
      <c r="BF47" s="760">
        <v>8617196000</v>
      </c>
      <c r="BG47" s="761"/>
      <c r="BH47" s="761"/>
      <c r="BI47" s="761"/>
      <c r="BJ47" s="761"/>
      <c r="BK47" s="761"/>
      <c r="BL47" s="761"/>
      <c r="BM47" s="761"/>
      <c r="BN47" s="761"/>
      <c r="BO47" s="761"/>
      <c r="BP47" s="761"/>
      <c r="BQ47" s="761"/>
      <c r="BR47" s="761"/>
      <c r="BS47" s="761"/>
      <c r="BT47" s="761"/>
      <c r="BU47" s="761"/>
      <c r="BV47" s="761"/>
      <c r="BW47" s="761"/>
      <c r="BX47" s="761"/>
      <c r="BY47" s="761"/>
      <c r="BZ47" s="761"/>
      <c r="CA47" s="761"/>
      <c r="CB47" s="761"/>
      <c r="CC47" s="761"/>
      <c r="CD47" s="761"/>
      <c r="CE47" s="761"/>
      <c r="CF47" s="761"/>
      <c r="CG47" s="761"/>
      <c r="CH47" s="761"/>
      <c r="CI47" s="761"/>
      <c r="CJ47" s="760">
        <v>8940302000</v>
      </c>
      <c r="CK47" s="760"/>
      <c r="CL47" s="760"/>
      <c r="CM47" s="760"/>
      <c r="CN47" s="760"/>
      <c r="CO47" s="760"/>
      <c r="CP47" s="760"/>
      <c r="CQ47" s="760"/>
      <c r="CR47" s="760"/>
      <c r="CS47" s="760"/>
      <c r="CT47" s="760"/>
      <c r="CU47" s="760"/>
      <c r="CV47" s="760"/>
      <c r="CW47" s="760"/>
      <c r="CX47" s="760"/>
      <c r="CY47" s="760"/>
      <c r="CZ47" s="760"/>
      <c r="DA47" s="760"/>
      <c r="DB47" s="760"/>
      <c r="DC47" s="760"/>
      <c r="DD47" s="760"/>
      <c r="DE47" s="760"/>
      <c r="DF47" s="760"/>
      <c r="DG47" s="760"/>
      <c r="DH47" s="760"/>
      <c r="DI47" s="760"/>
      <c r="DJ47" s="760"/>
      <c r="DK47" s="760"/>
      <c r="DL47" s="760"/>
      <c r="DM47" s="760"/>
      <c r="DN47" s="762">
        <f>DN45+DN46</f>
        <v>4440053000</v>
      </c>
      <c r="DO47" s="734"/>
      <c r="DP47" s="138"/>
      <c r="DQ47" s="138"/>
      <c r="DR47" s="138"/>
      <c r="DS47" s="138"/>
      <c r="DT47" s="138"/>
      <c r="DU47" s="138"/>
      <c r="DV47" s="138"/>
      <c r="DW47" s="138"/>
      <c r="DX47" s="138"/>
      <c r="DY47" s="138"/>
      <c r="DZ47" s="138"/>
      <c r="EA47" s="138"/>
      <c r="EB47" s="138"/>
      <c r="EC47" s="138"/>
      <c r="ED47" s="138"/>
      <c r="EE47" s="138"/>
      <c r="EF47" s="138"/>
      <c r="EG47" s="138"/>
      <c r="EH47" s="138"/>
      <c r="EI47" s="138"/>
      <c r="EJ47" s="138"/>
      <c r="EK47" s="138"/>
      <c r="EL47" s="138"/>
      <c r="EM47" s="139"/>
      <c r="EN47" s="140"/>
      <c r="EO47" s="141"/>
      <c r="EP47" s="141"/>
      <c r="EQ47" s="139"/>
      <c r="ER47" s="142"/>
      <c r="ES47" s="142"/>
      <c r="ET47" s="143"/>
      <c r="EU47" s="143"/>
      <c r="EV47" s="143"/>
      <c r="EW47" s="144"/>
      <c r="EX47" s="144"/>
      <c r="EY47" s="144"/>
      <c r="EZ47" s="144"/>
      <c r="FA47" s="145"/>
    </row>
    <row r="48" spans="1:159" x14ac:dyDescent="0.25">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49"/>
      <c r="BR48" s="149"/>
      <c r="BS48" s="149"/>
      <c r="BT48" s="149"/>
      <c r="BU48" s="149"/>
      <c r="BV48" s="149"/>
      <c r="BW48" s="149"/>
      <c r="BX48" s="149"/>
      <c r="BY48" s="149"/>
      <c r="BZ48" s="149"/>
      <c r="CA48" s="149"/>
      <c r="CB48" s="149"/>
      <c r="CC48" s="149"/>
      <c r="CD48" s="149"/>
      <c r="CE48" s="149"/>
      <c r="CF48" s="149"/>
      <c r="CG48" s="149"/>
      <c r="CH48" s="149"/>
      <c r="CI48" s="149"/>
      <c r="CJ48" s="149"/>
      <c r="CK48" s="149"/>
      <c r="CL48" s="149"/>
      <c r="CM48" s="149"/>
      <c r="CN48" s="149"/>
      <c r="CO48" s="149"/>
      <c r="CP48" s="149"/>
      <c r="CQ48" s="149"/>
      <c r="CR48" s="149"/>
      <c r="CS48" s="149"/>
      <c r="CT48" s="149"/>
      <c r="CU48" s="149"/>
      <c r="CV48" s="149"/>
      <c r="CW48" s="149"/>
      <c r="CX48" s="149"/>
      <c r="CY48" s="149"/>
      <c r="CZ48" s="149"/>
      <c r="DA48" s="149"/>
      <c r="DB48" s="149"/>
      <c r="DC48" s="149"/>
      <c r="DD48" s="149"/>
      <c r="DE48" s="149"/>
      <c r="DF48" s="149"/>
      <c r="DG48" s="149"/>
      <c r="DH48" s="149"/>
      <c r="DI48" s="149"/>
      <c r="DJ48" s="149"/>
      <c r="DK48" s="149"/>
      <c r="DL48" s="149"/>
      <c r="DM48" s="149"/>
      <c r="DN48" s="149"/>
      <c r="DO48" s="149"/>
      <c r="DP48" s="149"/>
      <c r="DQ48" s="149"/>
      <c r="DR48" s="149"/>
      <c r="DS48" s="149"/>
      <c r="DT48" s="149"/>
      <c r="DU48" s="149"/>
      <c r="DV48" s="149"/>
      <c r="DW48" s="149"/>
      <c r="DX48" s="149"/>
      <c r="DY48" s="149"/>
      <c r="DZ48" s="149"/>
      <c r="EA48" s="149"/>
      <c r="EB48" s="149"/>
      <c r="EC48" s="149"/>
      <c r="ED48" s="149"/>
      <c r="EE48" s="149"/>
      <c r="EF48" s="149"/>
    </row>
    <row r="49" spans="6:150" x14ac:dyDescent="0.25">
      <c r="F49" s="150" t="s">
        <v>98</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51"/>
      <c r="AO49" s="151"/>
      <c r="AP49" s="151"/>
      <c r="AQ49" s="151"/>
      <c r="AR49" s="151"/>
      <c r="AS49" s="151"/>
      <c r="AT49" s="151"/>
      <c r="AU49" s="151"/>
      <c r="AV49" s="151"/>
      <c r="AW49" s="151"/>
      <c r="AX49" s="151"/>
      <c r="AY49" s="151"/>
      <c r="AZ49" s="151">
        <f>AZ40+AZ33+AZ26+AZ19+AZ12</f>
        <v>1241850693</v>
      </c>
      <c r="BA49" s="151"/>
      <c r="BB49" s="151"/>
      <c r="BC49" s="151">
        <f>BC12+BC19+BC26+BC33+BC40</f>
        <v>5802018863</v>
      </c>
      <c r="BD49" s="151"/>
      <c r="BE49" s="151"/>
      <c r="BF49" s="151"/>
      <c r="BG49" s="151">
        <f t="shared" ref="BG49:CI49" si="56">BG40+BG33+BG26+BG19+BG12</f>
        <v>0</v>
      </c>
      <c r="BH49" s="151">
        <f t="shared" si="56"/>
        <v>0</v>
      </c>
      <c r="BI49" s="151">
        <f t="shared" si="56"/>
        <v>0</v>
      </c>
      <c r="BJ49" s="151">
        <f t="shared" si="56"/>
        <v>0</v>
      </c>
      <c r="BK49" s="151">
        <f t="shared" si="56"/>
        <v>0</v>
      </c>
      <c r="BL49" s="151">
        <f t="shared" si="56"/>
        <v>0</v>
      </c>
      <c r="BM49" s="151">
        <f t="shared" si="56"/>
        <v>0</v>
      </c>
      <c r="BN49" s="151">
        <f t="shared" si="56"/>
        <v>0</v>
      </c>
      <c r="BO49" s="151">
        <f t="shared" si="56"/>
        <v>0</v>
      </c>
      <c r="BP49" s="151">
        <f t="shared" si="56"/>
        <v>0</v>
      </c>
      <c r="BQ49" s="151">
        <f t="shared" si="56"/>
        <v>0</v>
      </c>
      <c r="BR49" s="151">
        <f t="shared" si="56"/>
        <v>0</v>
      </c>
      <c r="BS49" s="151">
        <f t="shared" si="56"/>
        <v>0</v>
      </c>
      <c r="BT49" s="151">
        <f t="shared" si="56"/>
        <v>0</v>
      </c>
      <c r="BU49" s="151">
        <f t="shared" si="56"/>
        <v>0</v>
      </c>
      <c r="BV49" s="151">
        <f t="shared" si="56"/>
        <v>0</v>
      </c>
      <c r="BW49" s="151">
        <f t="shared" si="56"/>
        <v>0</v>
      </c>
      <c r="BX49" s="151">
        <f t="shared" si="56"/>
        <v>0</v>
      </c>
      <c r="BY49" s="151">
        <f t="shared" si="56"/>
        <v>0</v>
      </c>
      <c r="BZ49" s="151">
        <f t="shared" si="56"/>
        <v>0</v>
      </c>
      <c r="CA49" s="151">
        <f t="shared" si="56"/>
        <v>0</v>
      </c>
      <c r="CB49" s="151">
        <f t="shared" si="56"/>
        <v>0</v>
      </c>
      <c r="CC49" s="151">
        <f t="shared" si="56"/>
        <v>0</v>
      </c>
      <c r="CD49" s="151">
        <f t="shared" si="56"/>
        <v>0</v>
      </c>
      <c r="CE49" s="151">
        <f t="shared" si="56"/>
        <v>0</v>
      </c>
      <c r="CF49" s="151">
        <f t="shared" si="56"/>
        <v>0</v>
      </c>
      <c r="CG49" s="151">
        <f t="shared" si="56"/>
        <v>0</v>
      </c>
      <c r="CH49" s="151">
        <f t="shared" si="56"/>
        <v>0</v>
      </c>
      <c r="CI49" s="151">
        <f t="shared" si="56"/>
        <v>0</v>
      </c>
      <c r="CJ49" s="151"/>
    </row>
    <row r="50" spans="6:150" ht="15.75" customHeight="1" x14ac:dyDescent="0.25">
      <c r="F50" s="763" t="s">
        <v>99</v>
      </c>
      <c r="G50" s="834" t="s">
        <v>100</v>
      </c>
      <c r="H50" s="835"/>
      <c r="I50" s="835"/>
      <c r="J50" s="835"/>
      <c r="K50" s="835"/>
      <c r="L50" s="835"/>
      <c r="M50" s="836"/>
      <c r="N50" s="837" t="s">
        <v>101</v>
      </c>
      <c r="O50" s="838"/>
      <c r="P50" s="838"/>
      <c r="Q50" s="838"/>
      <c r="R50" s="838"/>
      <c r="S50" s="838"/>
      <c r="T50" s="839"/>
      <c r="U50" s="830"/>
      <c r="V50" s="830"/>
      <c r="W50" s="830"/>
      <c r="X50" s="830"/>
      <c r="Y50" s="830"/>
      <c r="Z50" s="830"/>
      <c r="AA50" s="830"/>
      <c r="AB50" s="830"/>
      <c r="AC50" s="830"/>
      <c r="AD50" s="830"/>
      <c r="AE50" s="830"/>
      <c r="AF50" s="830"/>
      <c r="AG50" s="830"/>
      <c r="AH50" s="830"/>
      <c r="AI50" s="830"/>
      <c r="AJ50" s="830"/>
      <c r="AK50" s="830"/>
      <c r="AL50" s="830"/>
      <c r="AM50" s="830"/>
      <c r="AN50" s="830"/>
      <c r="AO50" s="830"/>
      <c r="AP50" s="830"/>
      <c r="AQ50" s="830"/>
      <c r="AR50" s="830"/>
      <c r="AS50" s="830"/>
      <c r="AT50" s="830"/>
      <c r="AU50" s="830"/>
      <c r="AV50" s="830"/>
      <c r="AW50" s="830"/>
      <c r="AX50" s="830"/>
      <c r="AY50" s="830"/>
      <c r="AZ50" s="830"/>
      <c r="BA50" s="830"/>
      <c r="BB50" s="830"/>
      <c r="BC50" s="830"/>
      <c r="BD50" s="830"/>
      <c r="BE50" s="830"/>
      <c r="ES50" s="797">
        <f>ES38+ES31+ES24+ES17+ES10</f>
        <v>4.9800000000000004</v>
      </c>
    </row>
    <row r="51" spans="6:150" ht="15.75" customHeight="1" x14ac:dyDescent="0.25">
      <c r="F51" s="764">
        <v>13</v>
      </c>
      <c r="G51" s="829" t="s">
        <v>170</v>
      </c>
      <c r="H51" s="829"/>
      <c r="I51" s="829"/>
      <c r="J51" s="829"/>
      <c r="K51" s="829"/>
      <c r="L51" s="829"/>
      <c r="M51" s="829"/>
      <c r="N51" s="829" t="s">
        <v>103</v>
      </c>
      <c r="O51" s="829"/>
      <c r="P51" s="829"/>
      <c r="Q51" s="829"/>
      <c r="R51" s="829"/>
      <c r="S51" s="829"/>
      <c r="T51" s="829"/>
      <c r="U51" s="830"/>
      <c r="V51" s="830"/>
      <c r="W51" s="830"/>
      <c r="X51" s="830"/>
      <c r="Y51" s="830"/>
      <c r="Z51" s="830"/>
      <c r="AA51" s="830"/>
      <c r="AB51" s="830"/>
      <c r="AC51" s="830"/>
      <c r="AD51" s="830"/>
      <c r="AE51" s="830"/>
      <c r="AF51" s="830"/>
      <c r="AG51" s="830"/>
      <c r="AH51" s="830"/>
      <c r="AI51" s="830"/>
      <c r="AJ51" s="830"/>
      <c r="AK51" s="830"/>
      <c r="AL51" s="830"/>
      <c r="AM51" s="830"/>
      <c r="AN51" s="830"/>
      <c r="AO51" s="830"/>
      <c r="AP51" s="830"/>
      <c r="AQ51" s="830"/>
      <c r="AR51" s="830"/>
      <c r="AS51" s="830"/>
      <c r="AT51" s="830"/>
      <c r="AU51" s="830"/>
      <c r="AV51" s="830"/>
      <c r="AW51" s="830"/>
      <c r="AX51" s="830"/>
      <c r="AY51" s="830"/>
      <c r="AZ51" s="830"/>
      <c r="BA51" s="830"/>
      <c r="BB51" s="830"/>
      <c r="BC51" s="830"/>
      <c r="BD51" s="830"/>
      <c r="BE51" s="830"/>
      <c r="ES51" s="69">
        <f>ES50/5</f>
        <v>0.99600000000000011</v>
      </c>
      <c r="ET51" s="789"/>
    </row>
    <row r="52" spans="6:150" ht="15.75" customHeight="1" x14ac:dyDescent="0.25">
      <c r="F52" s="764">
        <v>14</v>
      </c>
      <c r="G52" s="829" t="s">
        <v>104</v>
      </c>
      <c r="H52" s="829"/>
      <c r="I52" s="829"/>
      <c r="J52" s="829"/>
      <c r="K52" s="829"/>
      <c r="L52" s="829"/>
      <c r="M52" s="829"/>
      <c r="N52" s="831" t="s">
        <v>530</v>
      </c>
      <c r="O52" s="831"/>
      <c r="P52" s="831"/>
      <c r="Q52" s="831"/>
      <c r="R52" s="831"/>
      <c r="S52" s="831"/>
      <c r="T52" s="831"/>
      <c r="BC52" s="156"/>
      <c r="BE52" s="156"/>
      <c r="BF52" s="152"/>
    </row>
    <row r="53" spans="6:150" x14ac:dyDescent="0.25">
      <c r="AH53" s="153"/>
      <c r="AI53" s="153"/>
      <c r="AJ53" s="153"/>
      <c r="AK53" s="153"/>
      <c r="AL53" s="153"/>
      <c r="AM53" s="153"/>
      <c r="AN53" s="153"/>
      <c r="AO53" s="153"/>
      <c r="AP53" s="153"/>
      <c r="AQ53" s="153"/>
      <c r="AR53" s="153"/>
      <c r="AS53" s="153"/>
      <c r="AT53" s="153"/>
      <c r="AU53" s="153"/>
      <c r="AV53" s="153"/>
      <c r="AW53" s="153"/>
      <c r="AX53" s="153"/>
      <c r="BF53" s="154"/>
      <c r="CJ53" s="155"/>
      <c r="CK53" s="155"/>
      <c r="CL53" s="155"/>
      <c r="CM53" s="155"/>
      <c r="CN53" s="155"/>
      <c r="CO53" s="155"/>
      <c r="CP53" s="155"/>
      <c r="CQ53" s="155"/>
      <c r="CR53" s="155"/>
      <c r="CS53" s="155"/>
      <c r="CT53" s="155"/>
      <c r="CU53" s="155"/>
      <c r="CV53" s="155"/>
      <c r="CW53" s="155"/>
      <c r="CX53" s="155"/>
      <c r="CY53" s="155"/>
      <c r="CZ53" s="155"/>
      <c r="DA53" s="155"/>
      <c r="DB53" s="155"/>
      <c r="DC53" s="155"/>
      <c r="DD53" s="155"/>
      <c r="DE53" s="155"/>
      <c r="DF53" s="155"/>
      <c r="DG53" s="155"/>
      <c r="DH53" s="155"/>
    </row>
    <row r="54" spans="6:150" x14ac:dyDescent="0.25">
      <c r="BC54" s="156"/>
      <c r="BF54" s="157"/>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row>
    <row r="55" spans="6:150" x14ac:dyDescent="0.25">
      <c r="G55" s="158"/>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N55" s="155"/>
      <c r="DO55" s="155"/>
      <c r="DP55" s="155"/>
      <c r="DQ55" s="155"/>
      <c r="DR55" s="155"/>
      <c r="DS55" s="155"/>
      <c r="DT55" s="155"/>
      <c r="DU55" s="155"/>
      <c r="DV55" s="155"/>
      <c r="DW55" s="155"/>
      <c r="DX55" s="155"/>
      <c r="DY55" s="155"/>
      <c r="DZ55" s="155"/>
      <c r="EA55" s="155"/>
      <c r="EB55" s="155"/>
      <c r="EC55" s="155"/>
      <c r="ED55" s="155"/>
      <c r="EE55" s="155"/>
      <c r="EF55" s="155"/>
    </row>
    <row r="56" spans="6:150" x14ac:dyDescent="0.25">
      <c r="BE56" s="156"/>
      <c r="BF56" s="159"/>
      <c r="CJ56" s="155"/>
      <c r="CK56" s="155"/>
      <c r="CL56" s="155"/>
      <c r="CM56" s="155"/>
      <c r="CN56" s="155"/>
      <c r="CO56" s="155"/>
      <c r="CP56" s="155"/>
      <c r="CQ56" s="155"/>
      <c r="CR56" s="155"/>
      <c r="CS56" s="155"/>
      <c r="CT56" s="155"/>
      <c r="CU56" s="155"/>
      <c r="CV56" s="155"/>
      <c r="CW56" s="155"/>
      <c r="CX56" s="155"/>
      <c r="CY56" s="155"/>
      <c r="CZ56" s="155"/>
      <c r="DA56" s="155"/>
      <c r="DB56" s="155"/>
      <c r="DC56" s="155"/>
      <c r="DD56" s="155"/>
      <c r="DE56" s="155"/>
      <c r="DF56" s="155"/>
      <c r="DG56" s="155"/>
      <c r="DH56" s="155"/>
    </row>
    <row r="57" spans="6:150" x14ac:dyDescent="0.25">
      <c r="G57" s="158"/>
      <c r="Q57" s="158"/>
    </row>
    <row r="58" spans="6:150" x14ac:dyDescent="0.25">
      <c r="BF58" s="153"/>
      <c r="CJ58" s="160"/>
      <c r="CK58" s="160"/>
      <c r="CL58" s="160"/>
      <c r="CM58" s="160"/>
      <c r="CN58" s="160"/>
      <c r="CO58" s="160"/>
      <c r="CP58" s="160"/>
      <c r="CQ58" s="160"/>
      <c r="CR58" s="160"/>
      <c r="CS58" s="160"/>
      <c r="CT58" s="160"/>
      <c r="CU58" s="160"/>
      <c r="CV58" s="160"/>
      <c r="CW58" s="160"/>
      <c r="CX58" s="160"/>
      <c r="CY58" s="160"/>
      <c r="CZ58" s="160"/>
      <c r="DA58" s="160"/>
      <c r="DB58" s="160"/>
      <c r="DC58" s="160"/>
      <c r="DD58" s="160"/>
      <c r="DE58" s="160"/>
      <c r="DF58" s="160"/>
      <c r="DG58" s="160"/>
      <c r="DH58" s="160"/>
    </row>
    <row r="60" spans="6:150" x14ac:dyDescent="0.25">
      <c r="BF60" s="153"/>
      <c r="CJ60" s="153"/>
      <c r="CK60" s="153"/>
      <c r="CL60" s="153"/>
      <c r="CM60" s="153"/>
      <c r="CN60" s="153"/>
      <c r="CO60" s="153"/>
      <c r="CP60" s="153"/>
      <c r="CQ60" s="153"/>
      <c r="CR60" s="153"/>
      <c r="CS60" s="153"/>
      <c r="CT60" s="153"/>
      <c r="CU60" s="153"/>
      <c r="CV60" s="153"/>
      <c r="CW60" s="153"/>
      <c r="CX60" s="153"/>
      <c r="CY60" s="153"/>
      <c r="CZ60" s="153"/>
      <c r="DA60" s="153"/>
      <c r="DB60" s="153"/>
      <c r="DC60" s="153"/>
      <c r="DD60" s="153"/>
      <c r="DE60" s="153"/>
      <c r="DF60" s="153"/>
      <c r="DG60" s="153"/>
      <c r="DH60" s="153"/>
    </row>
  </sheetData>
  <autoFilter ref="A9:FB47" xr:uid="{00000000-0009-0000-0000-000001000000}"/>
  <mergeCells count="84">
    <mergeCell ref="A4:E4"/>
    <mergeCell ref="F4:FA4"/>
    <mergeCell ref="DN8:EQ8"/>
    <mergeCell ref="A5:E5"/>
    <mergeCell ref="A1:E3"/>
    <mergeCell ref="F1:FA1"/>
    <mergeCell ref="F2:FA2"/>
    <mergeCell ref="F3:EQ3"/>
    <mergeCell ref="ER3:FA3"/>
    <mergeCell ref="F5:FA5"/>
    <mergeCell ref="A7:G8"/>
    <mergeCell ref="H7:EQ7"/>
    <mergeCell ref="ER7:ER9"/>
    <mergeCell ref="ES7:ES9"/>
    <mergeCell ref="ET7:ET9"/>
    <mergeCell ref="EU7:EU9"/>
    <mergeCell ref="FA7:FA9"/>
    <mergeCell ref="H8:AA8"/>
    <mergeCell ref="AB8:BE8"/>
    <mergeCell ref="BF8:CI8"/>
    <mergeCell ref="CJ8:DM8"/>
    <mergeCell ref="E10:E16"/>
    <mergeCell ref="EW10:EW16"/>
    <mergeCell ref="EX7:EX9"/>
    <mergeCell ref="EY7:EY9"/>
    <mergeCell ref="EZ7:EZ9"/>
    <mergeCell ref="EX10:EX16"/>
    <mergeCell ref="EY10:EY16"/>
    <mergeCell ref="EZ10:EZ16"/>
    <mergeCell ref="EV7:EV9"/>
    <mergeCell ref="EW7:EW9"/>
    <mergeCell ref="FA10:FA16"/>
    <mergeCell ref="FB10:FB16"/>
    <mergeCell ref="EX17:EX23"/>
    <mergeCell ref="EY17:EY23"/>
    <mergeCell ref="EZ17:EZ23"/>
    <mergeCell ref="FA17:FA23"/>
    <mergeCell ref="B17:B23"/>
    <mergeCell ref="C17:C23"/>
    <mergeCell ref="D17:D23"/>
    <mergeCell ref="E17:E23"/>
    <mergeCell ref="EW17:EW23"/>
    <mergeCell ref="EY24:EY30"/>
    <mergeCell ref="EZ24:EZ30"/>
    <mergeCell ref="FA24:FA30"/>
    <mergeCell ref="B31:B37"/>
    <mergeCell ref="C31:C37"/>
    <mergeCell ref="D31:D37"/>
    <mergeCell ref="E31:E37"/>
    <mergeCell ref="EW31:EW37"/>
    <mergeCell ref="EX31:EX37"/>
    <mergeCell ref="EY31:EY37"/>
    <mergeCell ref="EX24:EX30"/>
    <mergeCell ref="B24:B30"/>
    <mergeCell ref="C24:C30"/>
    <mergeCell ref="D24:D30"/>
    <mergeCell ref="E24:E30"/>
    <mergeCell ref="EW24:EW30"/>
    <mergeCell ref="D38:D44"/>
    <mergeCell ref="E38:E44"/>
    <mergeCell ref="EW38:EW44"/>
    <mergeCell ref="EX38:EX44"/>
    <mergeCell ref="EY38:EY44"/>
    <mergeCell ref="EZ38:EZ44"/>
    <mergeCell ref="FA38:FA44"/>
    <mergeCell ref="FB38:FB44"/>
    <mergeCell ref="A45:E47"/>
    <mergeCell ref="G50:M50"/>
    <mergeCell ref="N50:T50"/>
    <mergeCell ref="U50:BE50"/>
    <mergeCell ref="A10:A44"/>
    <mergeCell ref="B10:B16"/>
    <mergeCell ref="C10:C16"/>
    <mergeCell ref="D10:D16"/>
    <mergeCell ref="EZ31:EZ37"/>
    <mergeCell ref="FA31:FA37"/>
    <mergeCell ref="FB31:FB37"/>
    <mergeCell ref="B38:B44"/>
    <mergeCell ref="C38:C44"/>
    <mergeCell ref="G51:M51"/>
    <mergeCell ref="N51:T51"/>
    <mergeCell ref="U51:BE51"/>
    <mergeCell ref="G52:M52"/>
    <mergeCell ref="N52:T52"/>
  </mergeCells>
  <dataValidations count="1">
    <dataValidation type="list" allowBlank="1" showInputMessage="1" showErrorMessage="1" sqref="D10 D17 D24 D31 D38" xr:uid="{00000000-0002-0000-0100-000000000000}">
      <formula1>"suma,creciente"</formula1>
    </dataValidation>
  </dataValidations>
  <printOptions horizontalCentered="1" verticalCentered="1"/>
  <pageMargins left="0" right="0" top="0.74803149606299213" bottom="0" header="0.31496062992126012" footer="0"/>
  <pageSetup scale="20" fitToWidth="0" fitToHeight="0" orientation="landscape"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6"/>
  <sheetViews>
    <sheetView zoomScale="68" zoomScaleNormal="68" workbookViewId="0">
      <selection activeCell="T9" sqref="T9:T16"/>
    </sheetView>
  </sheetViews>
  <sheetFormatPr baseColWidth="10" defaultColWidth="10.85546875" defaultRowHeight="12.75" x14ac:dyDescent="0.25"/>
  <cols>
    <col min="1" max="1" width="10.5703125" style="161" customWidth="1"/>
    <col min="2" max="2" width="18.85546875" style="161" customWidth="1"/>
    <col min="3" max="3" width="32" style="183" customWidth="1"/>
    <col min="4" max="4" width="8.140625" style="161" customWidth="1"/>
    <col min="5" max="5" width="9" style="161" customWidth="1"/>
    <col min="6" max="6" width="7.140625" style="161" customWidth="1"/>
    <col min="7" max="7" width="7" style="161" customWidth="1"/>
    <col min="8" max="8" width="6.42578125" style="161" customWidth="1"/>
    <col min="9" max="10" width="5.7109375" style="161" customWidth="1"/>
    <col min="11" max="11" width="5.85546875" style="161" customWidth="1"/>
    <col min="12" max="12" width="6.42578125" style="161" customWidth="1"/>
    <col min="13" max="13" width="5.28515625" style="161" customWidth="1"/>
    <col min="14" max="14" width="5.85546875" style="176" customWidth="1"/>
    <col min="15" max="15" width="6.28515625" style="176" customWidth="1"/>
    <col min="16" max="16" width="5.42578125" style="176" customWidth="1"/>
    <col min="17" max="17" width="5.85546875" style="176" customWidth="1"/>
    <col min="18" max="18" width="13.28515625" style="176" customWidth="1"/>
    <col min="19" max="19" width="7.42578125" style="176" customWidth="1"/>
    <col min="20" max="20" width="11.7109375" style="176" customWidth="1"/>
    <col min="21" max="21" width="13.28515625" style="176" customWidth="1"/>
    <col min="22" max="22" width="41.28515625" style="182" customWidth="1"/>
    <col min="23" max="23" width="9.28515625" style="161" customWidth="1"/>
    <col min="24" max="16384" width="10.85546875" style="161"/>
  </cols>
  <sheetData>
    <row r="1" spans="1:25" ht="43.5" customHeight="1" thickBot="1" x14ac:dyDescent="0.3">
      <c r="A1" s="824"/>
      <c r="B1" s="824"/>
      <c r="C1" s="824"/>
      <c r="D1" s="877" t="s">
        <v>0</v>
      </c>
      <c r="E1" s="877"/>
      <c r="F1" s="877"/>
      <c r="G1" s="877"/>
      <c r="H1" s="877"/>
      <c r="I1" s="877"/>
      <c r="J1" s="877"/>
      <c r="K1" s="877"/>
      <c r="L1" s="877"/>
      <c r="M1" s="877"/>
      <c r="N1" s="877"/>
      <c r="O1" s="877"/>
      <c r="P1" s="877"/>
      <c r="Q1" s="877"/>
      <c r="R1" s="877"/>
      <c r="S1" s="877"/>
      <c r="T1" s="877"/>
      <c r="U1" s="877"/>
      <c r="V1" s="877"/>
    </row>
    <row r="2" spans="1:25" ht="50.25" customHeight="1" thickBot="1" x14ac:dyDescent="0.3">
      <c r="A2" s="824"/>
      <c r="B2" s="824"/>
      <c r="C2" s="824"/>
      <c r="D2" s="878" t="s">
        <v>171</v>
      </c>
      <c r="E2" s="878"/>
      <c r="F2" s="878"/>
      <c r="G2" s="878"/>
      <c r="H2" s="878"/>
      <c r="I2" s="878"/>
      <c r="J2" s="878"/>
      <c r="K2" s="878"/>
      <c r="L2" s="878"/>
      <c r="M2" s="878"/>
      <c r="N2" s="878"/>
      <c r="O2" s="878"/>
      <c r="P2" s="878"/>
      <c r="Q2" s="878"/>
      <c r="R2" s="878"/>
      <c r="S2" s="878"/>
      <c r="T2" s="878"/>
      <c r="U2" s="878"/>
      <c r="V2" s="878"/>
    </row>
    <row r="3" spans="1:25" ht="43.5" customHeight="1" thickBot="1" x14ac:dyDescent="0.3">
      <c r="A3" s="824"/>
      <c r="B3" s="824"/>
      <c r="C3" s="824"/>
      <c r="D3" s="879" t="s">
        <v>172</v>
      </c>
      <c r="E3" s="879"/>
      <c r="F3" s="879"/>
      <c r="G3" s="879"/>
      <c r="H3" s="879"/>
      <c r="I3" s="879"/>
      <c r="J3" s="879"/>
      <c r="K3" s="879"/>
      <c r="L3" s="879"/>
      <c r="M3" s="879"/>
      <c r="N3" s="879"/>
      <c r="O3" s="879"/>
      <c r="P3" s="879"/>
      <c r="Q3" s="879"/>
      <c r="R3" s="879"/>
      <c r="S3" s="879"/>
      <c r="T3" s="879"/>
      <c r="U3" s="879"/>
      <c r="V3" s="162" t="s">
        <v>173</v>
      </c>
    </row>
    <row r="4" spans="1:25" ht="43.5" customHeight="1" thickBot="1" x14ac:dyDescent="0.3">
      <c r="A4" s="823" t="s">
        <v>4</v>
      </c>
      <c r="B4" s="823"/>
      <c r="C4" s="823"/>
      <c r="D4" s="880" t="s">
        <v>5</v>
      </c>
      <c r="E4" s="880"/>
      <c r="F4" s="880"/>
      <c r="G4" s="880"/>
      <c r="H4" s="880"/>
      <c r="I4" s="880"/>
      <c r="J4" s="880"/>
      <c r="K4" s="880"/>
      <c r="L4" s="880"/>
      <c r="M4" s="880"/>
      <c r="N4" s="880"/>
      <c r="O4" s="880"/>
      <c r="P4" s="880"/>
      <c r="Q4" s="880"/>
      <c r="R4" s="880"/>
      <c r="S4" s="880"/>
      <c r="T4" s="880"/>
      <c r="U4" s="880"/>
      <c r="V4" s="880"/>
    </row>
    <row r="5" spans="1:25" ht="43.5" customHeight="1" thickBot="1" x14ac:dyDescent="0.3">
      <c r="A5" s="881" t="s">
        <v>6</v>
      </c>
      <c r="B5" s="881"/>
      <c r="C5" s="881"/>
      <c r="D5" s="880" t="s">
        <v>7</v>
      </c>
      <c r="E5" s="880"/>
      <c r="F5" s="880"/>
      <c r="G5" s="880"/>
      <c r="H5" s="880"/>
      <c r="I5" s="880"/>
      <c r="J5" s="880"/>
      <c r="K5" s="880"/>
      <c r="L5" s="880"/>
      <c r="M5" s="880"/>
      <c r="N5" s="880"/>
      <c r="O5" s="880"/>
      <c r="P5" s="880"/>
      <c r="Q5" s="880"/>
      <c r="R5" s="880"/>
      <c r="S5" s="880"/>
      <c r="T5" s="880"/>
      <c r="U5" s="880"/>
      <c r="V5" s="880"/>
    </row>
    <row r="6" spans="1:25" ht="18.75" customHeight="1" thickBot="1" x14ac:dyDescent="0.3">
      <c r="A6" s="824"/>
      <c r="B6" s="824"/>
      <c r="C6" s="824"/>
      <c r="D6" s="824"/>
      <c r="E6" s="824"/>
      <c r="F6" s="824"/>
      <c r="G6" s="824"/>
      <c r="H6" s="824"/>
      <c r="I6" s="824"/>
      <c r="J6" s="824"/>
      <c r="K6" s="824"/>
      <c r="L6" s="824"/>
      <c r="M6" s="824"/>
      <c r="N6" s="824"/>
      <c r="O6" s="824"/>
      <c r="P6" s="824"/>
      <c r="Q6" s="824"/>
      <c r="R6" s="824"/>
      <c r="S6" s="824"/>
      <c r="T6" s="824"/>
      <c r="U6" s="824"/>
      <c r="V6" s="824"/>
    </row>
    <row r="7" spans="1:25" s="163" customFormat="1" ht="42.75" customHeight="1" thickBot="1" x14ac:dyDescent="0.3">
      <c r="A7" s="865" t="s">
        <v>174</v>
      </c>
      <c r="B7" s="866" t="s">
        <v>175</v>
      </c>
      <c r="C7" s="866" t="s">
        <v>176</v>
      </c>
      <c r="D7" s="867" t="s">
        <v>177</v>
      </c>
      <c r="E7" s="867"/>
      <c r="F7" s="868" t="s">
        <v>178</v>
      </c>
      <c r="G7" s="868"/>
      <c r="H7" s="868"/>
      <c r="I7" s="868"/>
      <c r="J7" s="868"/>
      <c r="K7" s="868"/>
      <c r="L7" s="868"/>
      <c r="M7" s="868"/>
      <c r="N7" s="868"/>
      <c r="O7" s="868"/>
      <c r="P7" s="868"/>
      <c r="Q7" s="868"/>
      <c r="R7" s="868"/>
      <c r="S7" s="868"/>
      <c r="T7" s="869" t="s">
        <v>179</v>
      </c>
      <c r="U7" s="869"/>
      <c r="V7" s="870" t="s">
        <v>719</v>
      </c>
    </row>
    <row r="8" spans="1:25" s="163" customFormat="1" ht="59.25" customHeight="1" thickBot="1" x14ac:dyDescent="0.3">
      <c r="A8" s="865"/>
      <c r="B8" s="866"/>
      <c r="C8" s="866"/>
      <c r="D8" s="164" t="s">
        <v>180</v>
      </c>
      <c r="E8" s="164" t="s">
        <v>181</v>
      </c>
      <c r="F8" s="164" t="s">
        <v>182</v>
      </c>
      <c r="G8" s="165" t="s">
        <v>183</v>
      </c>
      <c r="H8" s="165" t="s">
        <v>184</v>
      </c>
      <c r="I8" s="165" t="s">
        <v>185</v>
      </c>
      <c r="J8" s="165" t="s">
        <v>186</v>
      </c>
      <c r="K8" s="165" t="s">
        <v>187</v>
      </c>
      <c r="L8" s="165" t="s">
        <v>188</v>
      </c>
      <c r="M8" s="165" t="s">
        <v>189</v>
      </c>
      <c r="N8" s="165" t="s">
        <v>190</v>
      </c>
      <c r="O8" s="165" t="s">
        <v>191</v>
      </c>
      <c r="P8" s="165" t="s">
        <v>192</v>
      </c>
      <c r="Q8" s="165" t="s">
        <v>193</v>
      </c>
      <c r="R8" s="165" t="s">
        <v>194</v>
      </c>
      <c r="S8" s="166" t="s">
        <v>195</v>
      </c>
      <c r="T8" s="166" t="s">
        <v>196</v>
      </c>
      <c r="U8" s="166" t="s">
        <v>197</v>
      </c>
      <c r="V8" s="870"/>
    </row>
    <row r="9" spans="1:25" s="163" customFormat="1" ht="51.75" customHeight="1" thickBot="1" x14ac:dyDescent="0.3">
      <c r="A9" s="871" t="s">
        <v>198</v>
      </c>
      <c r="B9" s="872" t="s">
        <v>199</v>
      </c>
      <c r="C9" s="872" t="s">
        <v>200</v>
      </c>
      <c r="D9" s="873"/>
      <c r="E9" s="874" t="s">
        <v>201</v>
      </c>
      <c r="F9" s="168" t="s">
        <v>202</v>
      </c>
      <c r="G9" s="169">
        <v>1</v>
      </c>
      <c r="H9" s="169"/>
      <c r="I9" s="169"/>
      <c r="J9" s="169"/>
      <c r="K9" s="169"/>
      <c r="L9" s="169"/>
      <c r="M9" s="169"/>
      <c r="N9" s="169"/>
      <c r="O9" s="169"/>
      <c r="P9" s="169"/>
      <c r="Q9" s="169"/>
      <c r="R9" s="169"/>
      <c r="S9" s="170">
        <f t="shared" ref="S9:S46" si="0">SUM(G9:R9)</f>
        <v>1</v>
      </c>
      <c r="T9" s="875">
        <v>0.13</v>
      </c>
      <c r="U9" s="862">
        <v>1.2999999999999999E-2</v>
      </c>
      <c r="V9" s="863" t="s">
        <v>203</v>
      </c>
      <c r="X9" s="171"/>
    </row>
    <row r="10" spans="1:25" s="163" customFormat="1" ht="50.1" customHeight="1" thickBot="1" x14ac:dyDescent="0.3">
      <c r="A10" s="871"/>
      <c r="B10" s="872"/>
      <c r="C10" s="872"/>
      <c r="D10" s="873"/>
      <c r="E10" s="874"/>
      <c r="F10" s="172" t="s">
        <v>204</v>
      </c>
      <c r="G10" s="173">
        <v>1</v>
      </c>
      <c r="H10" s="173"/>
      <c r="I10" s="173"/>
      <c r="J10" s="173"/>
      <c r="K10" s="173"/>
      <c r="L10" s="173"/>
      <c r="M10" s="173"/>
      <c r="N10" s="173"/>
      <c r="O10" s="173"/>
      <c r="P10" s="173"/>
      <c r="Q10" s="173"/>
      <c r="R10" s="173"/>
      <c r="S10" s="174">
        <f t="shared" si="0"/>
        <v>1</v>
      </c>
      <c r="T10" s="875"/>
      <c r="U10" s="862"/>
      <c r="V10" s="863"/>
      <c r="Y10" s="795"/>
    </row>
    <row r="11" spans="1:25" s="163" customFormat="1" ht="50.1" customHeight="1" thickBot="1" x14ac:dyDescent="0.3">
      <c r="A11" s="871"/>
      <c r="B11" s="872"/>
      <c r="C11" s="876" t="s">
        <v>205</v>
      </c>
      <c r="D11" s="858" t="s">
        <v>201</v>
      </c>
      <c r="E11" s="858" t="s">
        <v>201</v>
      </c>
      <c r="F11" s="168" t="s">
        <v>202</v>
      </c>
      <c r="G11" s="169">
        <v>0.05</v>
      </c>
      <c r="H11" s="169">
        <v>0.02</v>
      </c>
      <c r="I11" s="169">
        <v>0.03</v>
      </c>
      <c r="J11" s="169">
        <v>0.08</v>
      </c>
      <c r="K11" s="169">
        <v>0.12</v>
      </c>
      <c r="L11" s="169">
        <v>0.1</v>
      </c>
      <c r="M11" s="169">
        <v>0.15</v>
      </c>
      <c r="N11" s="169">
        <v>0.15</v>
      </c>
      <c r="O11" s="169">
        <v>0.1</v>
      </c>
      <c r="P11" s="169">
        <v>0.1</v>
      </c>
      <c r="Q11" s="169">
        <v>0.05</v>
      </c>
      <c r="R11" s="169">
        <v>0.05</v>
      </c>
      <c r="S11" s="170">
        <f t="shared" si="0"/>
        <v>1</v>
      </c>
      <c r="T11" s="875"/>
      <c r="U11" s="859">
        <v>5.7000000000000002E-2</v>
      </c>
      <c r="V11" s="864" t="s">
        <v>582</v>
      </c>
      <c r="X11" s="171"/>
    </row>
    <row r="12" spans="1:25" s="163" customFormat="1" ht="49.5" customHeight="1" thickBot="1" x14ac:dyDescent="0.3">
      <c r="A12" s="871"/>
      <c r="B12" s="872"/>
      <c r="C12" s="876"/>
      <c r="D12" s="858"/>
      <c r="E12" s="858"/>
      <c r="F12" s="172" t="s">
        <v>204</v>
      </c>
      <c r="G12" s="173">
        <v>0.05</v>
      </c>
      <c r="H12" s="173">
        <v>0.02</v>
      </c>
      <c r="I12" s="173">
        <v>0.03</v>
      </c>
      <c r="J12" s="173">
        <v>0.06</v>
      </c>
      <c r="K12" s="173">
        <v>0.02</v>
      </c>
      <c r="L12" s="173">
        <v>5.8000000000000003E-2</v>
      </c>
      <c r="M12" s="173">
        <v>0.12720000000000001</v>
      </c>
      <c r="N12" s="173">
        <v>0.2576</v>
      </c>
      <c r="O12" s="173">
        <v>0.14199999999999999</v>
      </c>
      <c r="P12" s="173">
        <v>6.8599999999999994E-2</v>
      </c>
      <c r="Q12" s="173">
        <v>6.0400000000000002E-2</v>
      </c>
      <c r="R12" s="173">
        <v>8.4000000000000005E-2</v>
      </c>
      <c r="S12" s="174">
        <f t="shared" si="0"/>
        <v>0.9778</v>
      </c>
      <c r="T12" s="875"/>
      <c r="U12" s="859"/>
      <c r="V12" s="864"/>
    </row>
    <row r="13" spans="1:25" s="163" customFormat="1" ht="50.1" customHeight="1" thickBot="1" x14ac:dyDescent="0.3">
      <c r="A13" s="871"/>
      <c r="B13" s="872"/>
      <c r="C13" s="876" t="s">
        <v>206</v>
      </c>
      <c r="D13" s="858" t="s">
        <v>201</v>
      </c>
      <c r="E13" s="858" t="s">
        <v>201</v>
      </c>
      <c r="F13" s="168" t="s">
        <v>202</v>
      </c>
      <c r="G13" s="169">
        <v>7.0000000000000007E-2</v>
      </c>
      <c r="H13" s="169">
        <v>0.05</v>
      </c>
      <c r="I13" s="169">
        <v>0.05</v>
      </c>
      <c r="J13" s="169">
        <v>7.0000000000000007E-2</v>
      </c>
      <c r="K13" s="169">
        <v>0.1</v>
      </c>
      <c r="L13" s="169">
        <v>0.1</v>
      </c>
      <c r="M13" s="169">
        <v>0.12</v>
      </c>
      <c r="N13" s="169">
        <v>0.13</v>
      </c>
      <c r="O13" s="169">
        <v>0.11</v>
      </c>
      <c r="P13" s="169">
        <v>0.1</v>
      </c>
      <c r="Q13" s="169">
        <v>0.05</v>
      </c>
      <c r="R13" s="169">
        <v>0.05</v>
      </c>
      <c r="S13" s="170">
        <f t="shared" si="0"/>
        <v>1</v>
      </c>
      <c r="T13" s="875"/>
      <c r="U13" s="859">
        <v>2.5000000000000001E-2</v>
      </c>
      <c r="V13" s="864" t="s">
        <v>542</v>
      </c>
      <c r="X13" s="171"/>
    </row>
    <row r="14" spans="1:25" s="163" customFormat="1" ht="50.1" customHeight="1" thickBot="1" x14ac:dyDescent="0.3">
      <c r="A14" s="871"/>
      <c r="B14" s="872"/>
      <c r="C14" s="876"/>
      <c r="D14" s="858"/>
      <c r="E14" s="858"/>
      <c r="F14" s="172" t="s">
        <v>204</v>
      </c>
      <c r="G14" s="173">
        <v>7.0000000000000007E-2</v>
      </c>
      <c r="H14" s="173">
        <v>0.05</v>
      </c>
      <c r="I14" s="173">
        <v>0.05</v>
      </c>
      <c r="J14" s="173">
        <v>7.0000000000000007E-2</v>
      </c>
      <c r="K14" s="173">
        <v>0.1</v>
      </c>
      <c r="L14" s="173">
        <v>0.1</v>
      </c>
      <c r="M14" s="173">
        <v>0.12</v>
      </c>
      <c r="N14" s="173">
        <v>0.13</v>
      </c>
      <c r="O14" s="173">
        <v>0.11</v>
      </c>
      <c r="P14" s="173">
        <v>0.1</v>
      </c>
      <c r="Q14" s="173">
        <v>0.05</v>
      </c>
      <c r="R14" s="173">
        <v>0.05</v>
      </c>
      <c r="S14" s="174">
        <f t="shared" si="0"/>
        <v>1</v>
      </c>
      <c r="T14" s="875"/>
      <c r="U14" s="859"/>
      <c r="V14" s="864"/>
    </row>
    <row r="15" spans="1:25" s="163" customFormat="1" ht="50.1" customHeight="1" thickBot="1" x14ac:dyDescent="0.3">
      <c r="A15" s="871"/>
      <c r="B15" s="872"/>
      <c r="C15" s="876" t="s">
        <v>207</v>
      </c>
      <c r="D15" s="858" t="s">
        <v>201</v>
      </c>
      <c r="E15" s="858" t="s">
        <v>201</v>
      </c>
      <c r="F15" s="168" t="s">
        <v>202</v>
      </c>
      <c r="G15" s="169">
        <v>0.03</v>
      </c>
      <c r="H15" s="169">
        <v>0.1</v>
      </c>
      <c r="I15" s="169">
        <v>0.2</v>
      </c>
      <c r="J15" s="169">
        <v>0.08</v>
      </c>
      <c r="K15" s="169">
        <v>0.08</v>
      </c>
      <c r="L15" s="169">
        <v>0.08</v>
      </c>
      <c r="M15" s="169">
        <v>0.08</v>
      </c>
      <c r="N15" s="169">
        <v>0.1</v>
      </c>
      <c r="O15" s="169">
        <v>0.1</v>
      </c>
      <c r="P15" s="169">
        <v>0.05</v>
      </c>
      <c r="Q15" s="169">
        <v>0.05</v>
      </c>
      <c r="R15" s="169">
        <v>0.05</v>
      </c>
      <c r="S15" s="170">
        <f t="shared" si="0"/>
        <v>1</v>
      </c>
      <c r="T15" s="875"/>
      <c r="U15" s="859">
        <v>3.5000000000000003E-2</v>
      </c>
      <c r="V15" s="864" t="s">
        <v>543</v>
      </c>
      <c r="X15" s="171"/>
    </row>
    <row r="16" spans="1:25" s="163" customFormat="1" ht="50.1" customHeight="1" thickBot="1" x14ac:dyDescent="0.3">
      <c r="A16" s="871"/>
      <c r="B16" s="872"/>
      <c r="C16" s="876"/>
      <c r="D16" s="858"/>
      <c r="E16" s="858"/>
      <c r="F16" s="172" t="s">
        <v>204</v>
      </c>
      <c r="G16" s="173">
        <v>0.03</v>
      </c>
      <c r="H16" s="173">
        <v>0.1</v>
      </c>
      <c r="I16" s="173">
        <v>0.2</v>
      </c>
      <c r="J16" s="173">
        <v>0.08</v>
      </c>
      <c r="K16" s="173">
        <v>0.13</v>
      </c>
      <c r="L16" s="173">
        <v>0.08</v>
      </c>
      <c r="M16" s="173">
        <v>0</v>
      </c>
      <c r="N16" s="173">
        <v>0.27</v>
      </c>
      <c r="O16" s="173">
        <v>0</v>
      </c>
      <c r="P16" s="173">
        <v>0.11</v>
      </c>
      <c r="Q16" s="173"/>
      <c r="R16" s="173"/>
      <c r="S16" s="174">
        <f t="shared" si="0"/>
        <v>1</v>
      </c>
      <c r="T16" s="875"/>
      <c r="U16" s="859"/>
      <c r="V16" s="864"/>
    </row>
    <row r="17" spans="1:24" s="163" customFormat="1" ht="34.5" customHeight="1" thickBot="1" x14ac:dyDescent="0.3">
      <c r="A17" s="871"/>
      <c r="B17" s="876" t="s">
        <v>208</v>
      </c>
      <c r="C17" s="864" t="s">
        <v>209</v>
      </c>
      <c r="D17" s="810"/>
      <c r="E17" s="858" t="s">
        <v>201</v>
      </c>
      <c r="F17" s="168" t="s">
        <v>202</v>
      </c>
      <c r="G17" s="169">
        <v>1</v>
      </c>
      <c r="H17" s="169"/>
      <c r="I17" s="169"/>
      <c r="J17" s="169"/>
      <c r="K17" s="169"/>
      <c r="L17" s="169"/>
      <c r="M17" s="169"/>
      <c r="N17" s="169"/>
      <c r="O17" s="169"/>
      <c r="P17" s="169"/>
      <c r="Q17" s="169"/>
      <c r="R17" s="169"/>
      <c r="S17" s="170">
        <f t="shared" si="0"/>
        <v>1</v>
      </c>
      <c r="T17" s="861">
        <v>0.23</v>
      </c>
      <c r="U17" s="859">
        <v>0.02</v>
      </c>
      <c r="V17" s="864" t="s">
        <v>203</v>
      </c>
    </row>
    <row r="18" spans="1:24" s="163" customFormat="1" ht="34.5" customHeight="1" thickBot="1" x14ac:dyDescent="0.3">
      <c r="A18" s="871"/>
      <c r="B18" s="876"/>
      <c r="C18" s="864"/>
      <c r="D18" s="810"/>
      <c r="E18" s="858"/>
      <c r="F18" s="172" t="s">
        <v>204</v>
      </c>
      <c r="G18" s="173">
        <v>1</v>
      </c>
      <c r="H18" s="173"/>
      <c r="I18" s="173"/>
      <c r="J18" s="173"/>
      <c r="K18" s="173"/>
      <c r="L18" s="173"/>
      <c r="M18" s="173"/>
      <c r="N18" s="173"/>
      <c r="O18" s="173"/>
      <c r="P18" s="173"/>
      <c r="Q18" s="173"/>
      <c r="R18" s="173"/>
      <c r="S18" s="174">
        <f t="shared" si="0"/>
        <v>1</v>
      </c>
      <c r="T18" s="861"/>
      <c r="U18" s="859"/>
      <c r="V18" s="864"/>
      <c r="X18" s="171"/>
    </row>
    <row r="19" spans="1:24" s="163" customFormat="1" ht="50.1" customHeight="1" thickBot="1" x14ac:dyDescent="0.3">
      <c r="A19" s="871"/>
      <c r="B19" s="876"/>
      <c r="C19" s="864" t="s">
        <v>210</v>
      </c>
      <c r="D19" s="858" t="s">
        <v>201</v>
      </c>
      <c r="E19" s="858" t="s">
        <v>201</v>
      </c>
      <c r="F19" s="168" t="s">
        <v>202</v>
      </c>
      <c r="G19" s="169">
        <v>0</v>
      </c>
      <c r="H19" s="169">
        <v>0.03</v>
      </c>
      <c r="I19" s="169">
        <v>0.2</v>
      </c>
      <c r="J19" s="169">
        <v>0.08</v>
      </c>
      <c r="K19" s="169">
        <v>0.1</v>
      </c>
      <c r="L19" s="169">
        <v>0.1</v>
      </c>
      <c r="M19" s="169">
        <v>0.1</v>
      </c>
      <c r="N19" s="169">
        <v>0.1</v>
      </c>
      <c r="O19" s="169">
        <v>0.1</v>
      </c>
      <c r="P19" s="169">
        <v>0.1</v>
      </c>
      <c r="Q19" s="169">
        <v>0.05</v>
      </c>
      <c r="R19" s="169">
        <v>0.04</v>
      </c>
      <c r="S19" s="175">
        <f t="shared" si="0"/>
        <v>1</v>
      </c>
      <c r="T19" s="861"/>
      <c r="U19" s="859">
        <v>0.06</v>
      </c>
      <c r="V19" s="1077" t="s">
        <v>544</v>
      </c>
    </row>
    <row r="20" spans="1:24" s="163" customFormat="1" ht="53.25" customHeight="1" thickBot="1" x14ac:dyDescent="0.3">
      <c r="A20" s="871"/>
      <c r="B20" s="876"/>
      <c r="C20" s="864"/>
      <c r="D20" s="858"/>
      <c r="E20" s="858"/>
      <c r="F20" s="172" t="s">
        <v>204</v>
      </c>
      <c r="G20" s="173">
        <v>0</v>
      </c>
      <c r="H20" s="173">
        <v>0.03</v>
      </c>
      <c r="I20" s="173">
        <v>0.2</v>
      </c>
      <c r="J20" s="173">
        <v>0.15</v>
      </c>
      <c r="K20" s="173">
        <v>0.1</v>
      </c>
      <c r="L20" s="173">
        <v>0.03</v>
      </c>
      <c r="M20" s="173">
        <v>0.1</v>
      </c>
      <c r="N20" s="173">
        <v>0.1</v>
      </c>
      <c r="O20" s="173">
        <v>0.09</v>
      </c>
      <c r="P20" s="173">
        <v>0.06</v>
      </c>
      <c r="Q20" s="173">
        <v>0.03</v>
      </c>
      <c r="R20" s="173">
        <v>0.11</v>
      </c>
      <c r="S20" s="174">
        <f t="shared" si="0"/>
        <v>0.99999999999999989</v>
      </c>
      <c r="T20" s="861"/>
      <c r="U20" s="859"/>
      <c r="V20" s="1077"/>
      <c r="X20" s="171"/>
    </row>
    <row r="21" spans="1:24" s="163" customFormat="1" ht="50.1" customHeight="1" thickBot="1" x14ac:dyDescent="0.3">
      <c r="A21" s="871"/>
      <c r="B21" s="876"/>
      <c r="C21" s="876" t="s">
        <v>211</v>
      </c>
      <c r="D21" s="858" t="s">
        <v>201</v>
      </c>
      <c r="E21" s="858" t="s">
        <v>201</v>
      </c>
      <c r="F21" s="168" t="s">
        <v>202</v>
      </c>
      <c r="G21" s="169"/>
      <c r="H21" s="169">
        <v>0.03</v>
      </c>
      <c r="I21" s="169">
        <v>0.02</v>
      </c>
      <c r="J21" s="169">
        <v>0.1</v>
      </c>
      <c r="K21" s="169">
        <v>0.12</v>
      </c>
      <c r="L21" s="169">
        <v>0.12</v>
      </c>
      <c r="M21" s="169">
        <v>0.12</v>
      </c>
      <c r="N21" s="169">
        <v>0.12</v>
      </c>
      <c r="O21" s="169">
        <v>0.12</v>
      </c>
      <c r="P21" s="169">
        <v>0.1</v>
      </c>
      <c r="Q21" s="169">
        <v>0.1</v>
      </c>
      <c r="R21" s="169">
        <v>0.05</v>
      </c>
      <c r="S21" s="170">
        <f t="shared" si="0"/>
        <v>1</v>
      </c>
      <c r="T21" s="861"/>
      <c r="U21" s="859">
        <v>7.0000000000000007E-2</v>
      </c>
      <c r="V21" s="1077" t="s">
        <v>561</v>
      </c>
    </row>
    <row r="22" spans="1:24" s="163" customFormat="1" ht="50.1" customHeight="1" thickBot="1" x14ac:dyDescent="0.3">
      <c r="A22" s="871"/>
      <c r="B22" s="876"/>
      <c r="C22" s="876"/>
      <c r="D22" s="858"/>
      <c r="E22" s="858"/>
      <c r="F22" s="172" t="s">
        <v>204</v>
      </c>
      <c r="G22" s="173"/>
      <c r="H22" s="173">
        <v>0.03</v>
      </c>
      <c r="I22" s="173">
        <v>0.02</v>
      </c>
      <c r="J22" s="173">
        <v>0.13</v>
      </c>
      <c r="K22" s="173">
        <v>0.12</v>
      </c>
      <c r="L22" s="173">
        <v>0.05</v>
      </c>
      <c r="M22" s="173">
        <v>0.13769999999999999</v>
      </c>
      <c r="N22" s="173">
        <v>0.1323</v>
      </c>
      <c r="O22" s="173">
        <v>7.0000000000000007E-2</v>
      </c>
      <c r="P22" s="173">
        <v>0.12</v>
      </c>
      <c r="Q22" s="173">
        <v>0.14000000000000001</v>
      </c>
      <c r="R22" s="173">
        <v>4.5499999999999999E-2</v>
      </c>
      <c r="S22" s="174">
        <f t="shared" si="0"/>
        <v>0.99549999999999994</v>
      </c>
      <c r="T22" s="861"/>
      <c r="U22" s="859"/>
      <c r="V22" s="1077"/>
      <c r="X22" s="171"/>
    </row>
    <row r="23" spans="1:24" s="163" customFormat="1" ht="50.1" customHeight="1" thickBot="1" x14ac:dyDescent="0.3">
      <c r="A23" s="871"/>
      <c r="B23" s="876"/>
      <c r="C23" s="876" t="s">
        <v>212</v>
      </c>
      <c r="D23" s="858" t="s">
        <v>201</v>
      </c>
      <c r="E23" s="858" t="s">
        <v>201</v>
      </c>
      <c r="F23" s="168" t="s">
        <v>202</v>
      </c>
      <c r="G23" s="169">
        <v>0.03</v>
      </c>
      <c r="H23" s="169">
        <v>0.04</v>
      </c>
      <c r="I23" s="169">
        <v>0.08</v>
      </c>
      <c r="J23" s="169">
        <v>0.1</v>
      </c>
      <c r="K23" s="169">
        <v>0.1</v>
      </c>
      <c r="L23" s="169">
        <v>0.1</v>
      </c>
      <c r="M23" s="169">
        <v>0.1</v>
      </c>
      <c r="N23" s="169">
        <v>0.1</v>
      </c>
      <c r="O23" s="169">
        <v>0.1</v>
      </c>
      <c r="P23" s="169">
        <v>0.1</v>
      </c>
      <c r="Q23" s="169">
        <v>0.1</v>
      </c>
      <c r="R23" s="169">
        <v>0.05</v>
      </c>
      <c r="S23" s="170">
        <f t="shared" si="0"/>
        <v>0.99999999999999989</v>
      </c>
      <c r="T23" s="861"/>
      <c r="U23" s="859">
        <v>0.08</v>
      </c>
      <c r="V23" s="864" t="s">
        <v>549</v>
      </c>
    </row>
    <row r="24" spans="1:24" s="163" customFormat="1" ht="50.1" customHeight="1" thickBot="1" x14ac:dyDescent="0.3">
      <c r="A24" s="871"/>
      <c r="B24" s="876"/>
      <c r="C24" s="876"/>
      <c r="D24" s="858"/>
      <c r="E24" s="858"/>
      <c r="F24" s="172" t="s">
        <v>204</v>
      </c>
      <c r="G24" s="173">
        <v>0.02</v>
      </c>
      <c r="H24" s="173">
        <v>0.04</v>
      </c>
      <c r="I24" s="173">
        <v>0.08</v>
      </c>
      <c r="J24" s="173">
        <v>0.04</v>
      </c>
      <c r="K24" s="173">
        <v>2.4E-2</v>
      </c>
      <c r="L24" s="173">
        <v>0.12</v>
      </c>
      <c r="M24" s="173">
        <v>0.18590000000000001</v>
      </c>
      <c r="N24" s="173">
        <v>0.1201</v>
      </c>
      <c r="O24" s="173">
        <v>7.0000000000000007E-2</v>
      </c>
      <c r="P24" s="173">
        <v>0.06</v>
      </c>
      <c r="Q24" s="173">
        <v>0.08</v>
      </c>
      <c r="R24" s="173">
        <v>0.15909999999999999</v>
      </c>
      <c r="S24" s="174">
        <f t="shared" si="0"/>
        <v>0.99909999999999999</v>
      </c>
      <c r="T24" s="861"/>
      <c r="U24" s="859"/>
      <c r="V24" s="864"/>
      <c r="X24" s="171"/>
    </row>
    <row r="25" spans="1:24" s="163" customFormat="1" ht="50.1" customHeight="1" thickBot="1" x14ac:dyDescent="0.3">
      <c r="A25" s="871"/>
      <c r="B25" s="860" t="s">
        <v>213</v>
      </c>
      <c r="C25" s="876" t="s">
        <v>214</v>
      </c>
      <c r="D25" s="858" t="s">
        <v>201</v>
      </c>
      <c r="E25" s="858" t="s">
        <v>201</v>
      </c>
      <c r="F25" s="168" t="s">
        <v>202</v>
      </c>
      <c r="G25" s="169">
        <v>2.1399999999999999E-2</v>
      </c>
      <c r="H25" s="169">
        <v>7.8600000000000003E-2</v>
      </c>
      <c r="I25" s="169">
        <v>0.09</v>
      </c>
      <c r="J25" s="169">
        <v>0.09</v>
      </c>
      <c r="K25" s="169">
        <v>0.09</v>
      </c>
      <c r="L25" s="169">
        <v>0.09</v>
      </c>
      <c r="M25" s="169">
        <v>0.09</v>
      </c>
      <c r="N25" s="169">
        <v>0.09</v>
      </c>
      <c r="O25" s="169">
        <v>0.09</v>
      </c>
      <c r="P25" s="169">
        <v>0.09</v>
      </c>
      <c r="Q25" s="169">
        <v>0.09</v>
      </c>
      <c r="R25" s="169">
        <v>0.09</v>
      </c>
      <c r="S25" s="170">
        <f t="shared" si="0"/>
        <v>0.99999999999999978</v>
      </c>
      <c r="T25" s="861">
        <v>0.19</v>
      </c>
      <c r="U25" s="859">
        <v>7.7499999999999999E-2</v>
      </c>
      <c r="V25" s="864" t="s">
        <v>550</v>
      </c>
    </row>
    <row r="26" spans="1:24" s="163" customFormat="1" ht="50.1" customHeight="1" thickBot="1" x14ac:dyDescent="0.3">
      <c r="A26" s="871"/>
      <c r="B26" s="860"/>
      <c r="C26" s="876"/>
      <c r="D26" s="858"/>
      <c r="E26" s="858"/>
      <c r="F26" s="172" t="s">
        <v>204</v>
      </c>
      <c r="G26" s="173">
        <v>2.1399999999999999E-2</v>
      </c>
      <c r="H26" s="173">
        <v>7.8600000000000003E-2</v>
      </c>
      <c r="I26" s="173">
        <v>0.09</v>
      </c>
      <c r="J26" s="173">
        <v>0.09</v>
      </c>
      <c r="K26" s="173">
        <v>8.4599999999999995E-2</v>
      </c>
      <c r="L26" s="173">
        <v>0.09</v>
      </c>
      <c r="M26" s="173">
        <v>8.5500000000000007E-2</v>
      </c>
      <c r="N26" s="173">
        <v>8.8400000000000006E-2</v>
      </c>
      <c r="O26" s="173">
        <v>9.6500000000000002E-2</v>
      </c>
      <c r="P26" s="173">
        <v>0.09</v>
      </c>
      <c r="Q26" s="173">
        <v>9.5000000000000001E-2</v>
      </c>
      <c r="R26" s="173">
        <v>0.09</v>
      </c>
      <c r="S26" s="174">
        <f t="shared" si="0"/>
        <v>1</v>
      </c>
      <c r="T26" s="861"/>
      <c r="U26" s="859"/>
      <c r="V26" s="864"/>
    </row>
    <row r="27" spans="1:24" ht="50.1" customHeight="1" thickBot="1" x14ac:dyDescent="0.3">
      <c r="A27" s="871"/>
      <c r="B27" s="860"/>
      <c r="C27" s="876" t="s">
        <v>215</v>
      </c>
      <c r="D27" s="858" t="s">
        <v>201</v>
      </c>
      <c r="E27" s="858" t="s">
        <v>201</v>
      </c>
      <c r="F27" s="168" t="s">
        <v>202</v>
      </c>
      <c r="G27" s="169">
        <v>0.05</v>
      </c>
      <c r="H27" s="169">
        <v>0.05</v>
      </c>
      <c r="I27" s="169">
        <v>0.09</v>
      </c>
      <c r="J27" s="169">
        <v>0.09</v>
      </c>
      <c r="K27" s="169">
        <v>0.09</v>
      </c>
      <c r="L27" s="169">
        <v>0.09</v>
      </c>
      <c r="M27" s="169">
        <v>0.09</v>
      </c>
      <c r="N27" s="169">
        <v>0.09</v>
      </c>
      <c r="O27" s="169">
        <v>0.09</v>
      </c>
      <c r="P27" s="169">
        <v>0.09</v>
      </c>
      <c r="Q27" s="169">
        <v>0.09</v>
      </c>
      <c r="R27" s="169">
        <v>0.09</v>
      </c>
      <c r="S27" s="170">
        <f t="shared" si="0"/>
        <v>0.99999999999999978</v>
      </c>
      <c r="T27" s="861"/>
      <c r="U27" s="859">
        <v>2.75E-2</v>
      </c>
      <c r="V27" s="864" t="s">
        <v>553</v>
      </c>
      <c r="W27" s="163"/>
    </row>
    <row r="28" spans="1:24" ht="50.1" customHeight="1" thickBot="1" x14ac:dyDescent="0.3">
      <c r="A28" s="871"/>
      <c r="B28" s="860"/>
      <c r="C28" s="876"/>
      <c r="D28" s="858"/>
      <c r="E28" s="858"/>
      <c r="F28" s="172" t="s">
        <v>204</v>
      </c>
      <c r="G28" s="173">
        <v>0.05</v>
      </c>
      <c r="H28" s="173">
        <v>0.05</v>
      </c>
      <c r="I28" s="173">
        <v>0.09</v>
      </c>
      <c r="J28" s="173">
        <v>0.09</v>
      </c>
      <c r="K28" s="173">
        <v>0.09</v>
      </c>
      <c r="L28" s="173">
        <v>0.09</v>
      </c>
      <c r="M28" s="173">
        <v>0.09</v>
      </c>
      <c r="N28" s="173">
        <v>0.09</v>
      </c>
      <c r="O28" s="173">
        <v>0.09</v>
      </c>
      <c r="P28" s="173">
        <v>0.09</v>
      </c>
      <c r="Q28" s="173">
        <v>0.09</v>
      </c>
      <c r="R28" s="173">
        <v>0.09</v>
      </c>
      <c r="S28" s="174">
        <f t="shared" si="0"/>
        <v>0.99999999999999978</v>
      </c>
      <c r="T28" s="861"/>
      <c r="U28" s="859"/>
      <c r="V28" s="864"/>
      <c r="W28" s="163"/>
    </row>
    <row r="29" spans="1:24" ht="50.1" customHeight="1" thickBot="1" x14ac:dyDescent="0.3">
      <c r="A29" s="871"/>
      <c r="B29" s="860"/>
      <c r="C29" s="876" t="s">
        <v>216</v>
      </c>
      <c r="D29" s="858" t="s">
        <v>201</v>
      </c>
      <c r="E29" s="858" t="s">
        <v>201</v>
      </c>
      <c r="F29" s="168" t="s">
        <v>202</v>
      </c>
      <c r="G29" s="169">
        <v>0.05</v>
      </c>
      <c r="H29" s="169">
        <v>0.05</v>
      </c>
      <c r="I29" s="169">
        <v>0.09</v>
      </c>
      <c r="J29" s="169">
        <v>0.09</v>
      </c>
      <c r="K29" s="169">
        <v>0.09</v>
      </c>
      <c r="L29" s="169">
        <v>0.09</v>
      </c>
      <c r="M29" s="169">
        <v>0.09</v>
      </c>
      <c r="N29" s="169">
        <v>0.09</v>
      </c>
      <c r="O29" s="169">
        <v>0.09</v>
      </c>
      <c r="P29" s="169">
        <v>0.09</v>
      </c>
      <c r="Q29" s="169">
        <v>0.09</v>
      </c>
      <c r="R29" s="169">
        <v>0.09</v>
      </c>
      <c r="S29" s="170">
        <f t="shared" si="0"/>
        <v>0.99999999999999978</v>
      </c>
      <c r="T29" s="861"/>
      <c r="U29" s="859">
        <v>5.7500000000000002E-2</v>
      </c>
      <c r="V29" s="864" t="s">
        <v>551</v>
      </c>
      <c r="W29" s="163"/>
    </row>
    <row r="30" spans="1:24" ht="53.25" customHeight="1" thickBot="1" x14ac:dyDescent="0.3">
      <c r="A30" s="871"/>
      <c r="B30" s="860"/>
      <c r="C30" s="876"/>
      <c r="D30" s="858"/>
      <c r="E30" s="858"/>
      <c r="F30" s="172" t="s">
        <v>204</v>
      </c>
      <c r="G30" s="173">
        <v>0.05</v>
      </c>
      <c r="H30" s="173">
        <v>0.05</v>
      </c>
      <c r="I30" s="173">
        <v>0.09</v>
      </c>
      <c r="J30" s="173">
        <v>0.09</v>
      </c>
      <c r="K30" s="173">
        <v>0.09</v>
      </c>
      <c r="L30" s="173">
        <v>0.09</v>
      </c>
      <c r="M30" s="173">
        <v>0.09</v>
      </c>
      <c r="N30" s="173">
        <v>0.09</v>
      </c>
      <c r="O30" s="173">
        <v>0.09</v>
      </c>
      <c r="P30" s="173">
        <v>0.09</v>
      </c>
      <c r="Q30" s="173">
        <v>0.09</v>
      </c>
      <c r="R30" s="173">
        <v>0.09</v>
      </c>
      <c r="S30" s="174">
        <f t="shared" si="0"/>
        <v>0.99999999999999978</v>
      </c>
      <c r="T30" s="861"/>
      <c r="U30" s="859"/>
      <c r="V30" s="864"/>
      <c r="W30" s="163"/>
    </row>
    <row r="31" spans="1:24" ht="50.1" customHeight="1" thickBot="1" x14ac:dyDescent="0.3">
      <c r="A31" s="871"/>
      <c r="B31" s="860"/>
      <c r="C31" s="876" t="s">
        <v>217</v>
      </c>
      <c r="D31" s="858" t="s">
        <v>201</v>
      </c>
      <c r="E31" s="858" t="s">
        <v>201</v>
      </c>
      <c r="F31" s="168" t="s">
        <v>202</v>
      </c>
      <c r="G31" s="169">
        <v>0.05</v>
      </c>
      <c r="H31" s="169">
        <v>0.05</v>
      </c>
      <c r="I31" s="169">
        <v>0.09</v>
      </c>
      <c r="J31" s="169">
        <v>0.09</v>
      </c>
      <c r="K31" s="169">
        <v>0.09</v>
      </c>
      <c r="L31" s="169">
        <v>0.09</v>
      </c>
      <c r="M31" s="169">
        <v>0.09</v>
      </c>
      <c r="N31" s="169">
        <v>0.09</v>
      </c>
      <c r="O31" s="169">
        <v>0.09</v>
      </c>
      <c r="P31" s="169">
        <v>0.09</v>
      </c>
      <c r="Q31" s="169">
        <v>0.09</v>
      </c>
      <c r="R31" s="169">
        <v>0.09</v>
      </c>
      <c r="S31" s="170">
        <f t="shared" si="0"/>
        <v>0.99999999999999978</v>
      </c>
      <c r="T31" s="861"/>
      <c r="U31" s="859">
        <v>2.75E-2</v>
      </c>
      <c r="V31" s="876" t="s">
        <v>552</v>
      </c>
      <c r="W31" s="163"/>
    </row>
    <row r="32" spans="1:24" ht="60.75" customHeight="1" thickBot="1" x14ac:dyDescent="0.3">
      <c r="A32" s="871"/>
      <c r="B32" s="860"/>
      <c r="C32" s="876"/>
      <c r="D32" s="858"/>
      <c r="E32" s="858"/>
      <c r="F32" s="172" t="s">
        <v>204</v>
      </c>
      <c r="G32" s="173">
        <v>0.05</v>
      </c>
      <c r="H32" s="173">
        <v>0.05</v>
      </c>
      <c r="I32" s="173">
        <v>0.09</v>
      </c>
      <c r="J32" s="173">
        <v>0.09</v>
      </c>
      <c r="K32" s="173">
        <v>0.03</v>
      </c>
      <c r="L32" s="173">
        <v>0.03</v>
      </c>
      <c r="M32" s="173">
        <v>0.06</v>
      </c>
      <c r="N32" s="173">
        <v>0.06</v>
      </c>
      <c r="O32" s="173">
        <v>0.06</v>
      </c>
      <c r="P32" s="173">
        <v>0.09</v>
      </c>
      <c r="Q32" s="173">
        <v>0.16500000000000001</v>
      </c>
      <c r="R32" s="173">
        <v>0.22500000000000001</v>
      </c>
      <c r="S32" s="174">
        <f t="shared" si="0"/>
        <v>1</v>
      </c>
      <c r="T32" s="861"/>
      <c r="U32" s="859"/>
      <c r="V32" s="876"/>
      <c r="W32" s="163"/>
    </row>
    <row r="33" spans="1:24" ht="50.1" customHeight="1" x14ac:dyDescent="0.25">
      <c r="A33" s="860" t="s">
        <v>218</v>
      </c>
      <c r="B33" s="860" t="s">
        <v>219</v>
      </c>
      <c r="C33" s="876" t="s">
        <v>220</v>
      </c>
      <c r="D33" s="858" t="s">
        <v>201</v>
      </c>
      <c r="E33" s="810"/>
      <c r="F33" s="168" t="s">
        <v>202</v>
      </c>
      <c r="G33" s="169">
        <v>0</v>
      </c>
      <c r="H33" s="169">
        <v>0</v>
      </c>
      <c r="I33" s="169">
        <v>0</v>
      </c>
      <c r="J33" s="169">
        <v>0.12939999999999999</v>
      </c>
      <c r="K33" s="169">
        <v>5.8200000000000002E-2</v>
      </c>
      <c r="L33" s="169">
        <v>8.43E-2</v>
      </c>
      <c r="M33" s="169">
        <v>9.7900000000000001E-2</v>
      </c>
      <c r="N33" s="169">
        <v>0.10706268042896815</v>
      </c>
      <c r="O33" s="169">
        <v>0.12794754616603299</v>
      </c>
      <c r="P33" s="169">
        <v>0.12714998152261001</v>
      </c>
      <c r="Q33" s="169">
        <v>0.14180000000000001</v>
      </c>
      <c r="R33" s="169">
        <v>0.1263</v>
      </c>
      <c r="S33" s="805">
        <f t="shared" si="0"/>
        <v>1.0000602081176111</v>
      </c>
      <c r="T33" s="861">
        <v>0.42</v>
      </c>
      <c r="U33" s="859">
        <v>0.25</v>
      </c>
      <c r="V33" s="1078" t="s">
        <v>555</v>
      </c>
      <c r="W33" s="163"/>
      <c r="X33" s="176"/>
    </row>
    <row r="34" spans="1:24" ht="50.1" customHeight="1" thickBot="1" x14ac:dyDescent="0.3">
      <c r="A34" s="860"/>
      <c r="B34" s="860"/>
      <c r="C34" s="876"/>
      <c r="D34" s="858"/>
      <c r="E34" s="810"/>
      <c r="F34" s="172" t="s">
        <v>204</v>
      </c>
      <c r="G34" s="173">
        <v>0</v>
      </c>
      <c r="H34" s="173">
        <v>0</v>
      </c>
      <c r="I34" s="173">
        <v>0</v>
      </c>
      <c r="J34" s="173">
        <v>0</v>
      </c>
      <c r="K34" s="173">
        <v>0</v>
      </c>
      <c r="L34" s="173">
        <v>0</v>
      </c>
      <c r="M34" s="173">
        <v>0.15570000000000001</v>
      </c>
      <c r="N34" s="173">
        <v>0.1071</v>
      </c>
      <c r="O34" s="173">
        <v>0.1037</v>
      </c>
      <c r="P34" s="173">
        <v>0.16650000000000001</v>
      </c>
      <c r="Q34" s="173">
        <v>0.20626775510204082</v>
      </c>
      <c r="R34" s="173">
        <v>0.25846944381525649</v>
      </c>
      <c r="S34" s="174">
        <f>SUM(G34:R34)</f>
        <v>0.99773719891729729</v>
      </c>
      <c r="T34" s="861"/>
      <c r="U34" s="859"/>
      <c r="V34" s="1079"/>
      <c r="W34" s="163"/>
    </row>
    <row r="35" spans="1:24" ht="50.1" customHeight="1" x14ac:dyDescent="0.25">
      <c r="A35" s="860"/>
      <c r="B35" s="860"/>
      <c r="C35" s="876" t="s">
        <v>221</v>
      </c>
      <c r="D35" s="858" t="s">
        <v>201</v>
      </c>
      <c r="E35" s="810"/>
      <c r="F35" s="168" t="s">
        <v>202</v>
      </c>
      <c r="G35" s="169">
        <v>0</v>
      </c>
      <c r="H35" s="169">
        <v>0</v>
      </c>
      <c r="I35" s="169">
        <v>0.1027</v>
      </c>
      <c r="J35" s="169">
        <v>0.1</v>
      </c>
      <c r="K35" s="169">
        <v>0.1</v>
      </c>
      <c r="L35" s="169">
        <v>0.1</v>
      </c>
      <c r="M35" s="169">
        <v>0.1</v>
      </c>
      <c r="N35" s="169">
        <v>0.1</v>
      </c>
      <c r="O35" s="169">
        <v>0.1</v>
      </c>
      <c r="P35" s="169">
        <v>0.1</v>
      </c>
      <c r="Q35" s="169">
        <v>0.1</v>
      </c>
      <c r="R35" s="169">
        <v>9.7299999999999998E-2</v>
      </c>
      <c r="S35" s="170">
        <f t="shared" si="0"/>
        <v>0.99999999999999978</v>
      </c>
      <c r="T35" s="861"/>
      <c r="U35" s="859">
        <v>0.06</v>
      </c>
      <c r="V35" s="864" t="s">
        <v>556</v>
      </c>
      <c r="W35" s="163"/>
      <c r="X35" s="176"/>
    </row>
    <row r="36" spans="1:24" ht="50.1" customHeight="1" thickBot="1" x14ac:dyDescent="0.3">
      <c r="A36" s="860"/>
      <c r="B36" s="860"/>
      <c r="C36" s="876"/>
      <c r="D36" s="858"/>
      <c r="E36" s="810"/>
      <c r="F36" s="172" t="s">
        <v>204</v>
      </c>
      <c r="G36" s="173">
        <v>0</v>
      </c>
      <c r="H36" s="173">
        <v>0</v>
      </c>
      <c r="I36" s="173">
        <v>0.1027</v>
      </c>
      <c r="J36" s="173">
        <v>0.2099</v>
      </c>
      <c r="K36" s="173">
        <v>0.14599999999999999</v>
      </c>
      <c r="L36" s="173">
        <v>8.4400000000000003E-2</v>
      </c>
      <c r="M36" s="173">
        <v>0.107</v>
      </c>
      <c r="N36" s="173">
        <v>0</v>
      </c>
      <c r="O36" s="173">
        <v>0</v>
      </c>
      <c r="P36" s="173">
        <v>0</v>
      </c>
      <c r="Q36" s="173">
        <v>0.26560747663551398</v>
      </c>
      <c r="R36" s="173">
        <v>8.4400000000000003E-2</v>
      </c>
      <c r="S36" s="174">
        <f t="shared" si="0"/>
        <v>1.000007476635514</v>
      </c>
      <c r="T36" s="861"/>
      <c r="U36" s="859"/>
      <c r="V36" s="864"/>
      <c r="W36" s="163"/>
    </row>
    <row r="37" spans="1:24" ht="50.1" customHeight="1" x14ac:dyDescent="0.25">
      <c r="A37" s="860"/>
      <c r="B37" s="860"/>
      <c r="C37" s="876" t="s">
        <v>222</v>
      </c>
      <c r="D37" s="858" t="s">
        <v>201</v>
      </c>
      <c r="E37" s="858" t="s">
        <v>201</v>
      </c>
      <c r="F37" s="168" t="s">
        <v>202</v>
      </c>
      <c r="G37" s="169">
        <v>0.1</v>
      </c>
      <c r="H37" s="169">
        <v>0.4</v>
      </c>
      <c r="I37" s="169">
        <v>0.25</v>
      </c>
      <c r="J37" s="169">
        <v>0.25</v>
      </c>
      <c r="K37" s="169">
        <v>0</v>
      </c>
      <c r="L37" s="169">
        <v>0</v>
      </c>
      <c r="M37" s="169">
        <v>0</v>
      </c>
      <c r="N37" s="169">
        <v>0</v>
      </c>
      <c r="O37" s="169">
        <v>0</v>
      </c>
      <c r="P37" s="169">
        <v>0</v>
      </c>
      <c r="Q37" s="169">
        <v>0</v>
      </c>
      <c r="R37" s="169">
        <v>0</v>
      </c>
      <c r="S37" s="170">
        <f t="shared" si="0"/>
        <v>1</v>
      </c>
      <c r="T37" s="861"/>
      <c r="U37" s="859">
        <v>0.04</v>
      </c>
      <c r="V37" s="864" t="s">
        <v>535</v>
      </c>
      <c r="W37" s="163"/>
      <c r="X37" s="176"/>
    </row>
    <row r="38" spans="1:24" ht="50.1" customHeight="1" thickBot="1" x14ac:dyDescent="0.3">
      <c r="A38" s="860"/>
      <c r="B38" s="860"/>
      <c r="C38" s="876"/>
      <c r="D38" s="858"/>
      <c r="E38" s="858"/>
      <c r="F38" s="172" t="s">
        <v>204</v>
      </c>
      <c r="G38" s="173">
        <v>0.1</v>
      </c>
      <c r="H38" s="173">
        <v>0.4</v>
      </c>
      <c r="I38" s="173">
        <v>0.25</v>
      </c>
      <c r="J38" s="173">
        <v>0.1</v>
      </c>
      <c r="K38" s="173">
        <v>0.1</v>
      </c>
      <c r="L38" s="173">
        <v>0.05</v>
      </c>
      <c r="M38" s="173">
        <v>0</v>
      </c>
      <c r="N38" s="173">
        <v>0</v>
      </c>
      <c r="O38" s="173">
        <v>0</v>
      </c>
      <c r="P38" s="173">
        <v>0</v>
      </c>
      <c r="Q38" s="173">
        <v>0</v>
      </c>
      <c r="R38" s="173">
        <v>0</v>
      </c>
      <c r="S38" s="174">
        <f t="shared" si="0"/>
        <v>1</v>
      </c>
      <c r="T38" s="861"/>
      <c r="U38" s="859"/>
      <c r="V38" s="864"/>
      <c r="W38" s="163"/>
    </row>
    <row r="39" spans="1:24" ht="50.1" customHeight="1" x14ac:dyDescent="0.25">
      <c r="A39" s="860"/>
      <c r="B39" s="860"/>
      <c r="C39" s="876" t="s">
        <v>223</v>
      </c>
      <c r="D39" s="858" t="s">
        <v>201</v>
      </c>
      <c r="E39" s="858" t="s">
        <v>201</v>
      </c>
      <c r="F39" s="168" t="s">
        <v>202</v>
      </c>
      <c r="G39" s="169">
        <v>2.5000000000000001E-2</v>
      </c>
      <c r="H39" s="169">
        <v>2.5000000000000001E-2</v>
      </c>
      <c r="I39" s="169">
        <v>6.25E-2</v>
      </c>
      <c r="J39" s="169">
        <v>2.5000000000000001E-2</v>
      </c>
      <c r="K39" s="169">
        <v>8.5000000000000006E-2</v>
      </c>
      <c r="L39" s="169">
        <v>0.18100000000000002</v>
      </c>
      <c r="M39" s="169">
        <v>9.4E-2</v>
      </c>
      <c r="N39" s="169">
        <v>0.10150000000000001</v>
      </c>
      <c r="O39" s="169">
        <v>0.14175000000000001</v>
      </c>
      <c r="P39" s="169">
        <v>9.8000000000000004E-2</v>
      </c>
      <c r="Q39" s="169">
        <v>8.6200000000000013E-2</v>
      </c>
      <c r="R39" s="169">
        <v>7.4999999999999997E-2</v>
      </c>
      <c r="S39" s="170">
        <f t="shared" si="0"/>
        <v>0.99995000000000012</v>
      </c>
      <c r="T39" s="861"/>
      <c r="U39" s="859">
        <v>7.0000000000000007E-2</v>
      </c>
      <c r="V39" s="1080" t="s">
        <v>558</v>
      </c>
      <c r="W39" s="163"/>
      <c r="X39" s="176"/>
    </row>
    <row r="40" spans="1:24" ht="50.1" customHeight="1" thickBot="1" x14ac:dyDescent="0.3">
      <c r="A40" s="860"/>
      <c r="B40" s="860"/>
      <c r="C40" s="876"/>
      <c r="D40" s="858"/>
      <c r="E40" s="858"/>
      <c r="F40" s="172" t="s">
        <v>204</v>
      </c>
      <c r="G40" s="173">
        <v>2.5000000000000001E-2</v>
      </c>
      <c r="H40" s="173">
        <v>2.5000000000000001E-2</v>
      </c>
      <c r="I40" s="173">
        <v>6.25E-2</v>
      </c>
      <c r="J40" s="173">
        <v>0</v>
      </c>
      <c r="K40" s="173">
        <v>0.04</v>
      </c>
      <c r="L40" s="173">
        <v>0.16</v>
      </c>
      <c r="M40" s="173">
        <v>2.8799999999999999E-2</v>
      </c>
      <c r="N40" s="173">
        <v>0.2122</v>
      </c>
      <c r="O40" s="173">
        <v>0.18379999999999999</v>
      </c>
      <c r="P40" s="173">
        <v>0.1123</v>
      </c>
      <c r="Q40" s="173">
        <v>8.3062841530054624E-2</v>
      </c>
      <c r="R40" s="173">
        <v>6.7299999999999999E-2</v>
      </c>
      <c r="S40" s="174">
        <f t="shared" si="0"/>
        <v>0.99996284153005455</v>
      </c>
      <c r="T40" s="861"/>
      <c r="U40" s="859"/>
      <c r="V40" s="1081"/>
      <c r="W40" s="163"/>
    </row>
    <row r="41" spans="1:24" ht="50.1" customHeight="1" x14ac:dyDescent="0.25">
      <c r="A41" s="860"/>
      <c r="B41" s="860" t="s">
        <v>224</v>
      </c>
      <c r="C41" s="876" t="s">
        <v>225</v>
      </c>
      <c r="D41" s="858" t="s">
        <v>201</v>
      </c>
      <c r="E41" s="858" t="s">
        <v>201</v>
      </c>
      <c r="F41" s="168" t="s">
        <v>202</v>
      </c>
      <c r="G41" s="169">
        <v>0.05</v>
      </c>
      <c r="H41" s="169">
        <v>0.05</v>
      </c>
      <c r="I41" s="169">
        <v>0.05</v>
      </c>
      <c r="J41" s="169">
        <v>0.05</v>
      </c>
      <c r="K41" s="169">
        <v>0.05</v>
      </c>
      <c r="L41" s="169">
        <v>0.05</v>
      </c>
      <c r="M41" s="169">
        <v>0.1</v>
      </c>
      <c r="N41" s="169">
        <v>0.1</v>
      </c>
      <c r="O41" s="169">
        <v>0.1</v>
      </c>
      <c r="P41" s="169">
        <v>0.1</v>
      </c>
      <c r="Q41" s="169">
        <v>0.15</v>
      </c>
      <c r="R41" s="169">
        <v>0.15</v>
      </c>
      <c r="S41" s="170">
        <f t="shared" si="0"/>
        <v>1</v>
      </c>
      <c r="T41" s="861">
        <v>0.03</v>
      </c>
      <c r="U41" s="859">
        <v>1.4999999999999999E-2</v>
      </c>
      <c r="V41" s="864" t="s">
        <v>559</v>
      </c>
      <c r="W41" s="163"/>
    </row>
    <row r="42" spans="1:24" ht="50.1" customHeight="1" thickBot="1" x14ac:dyDescent="0.3">
      <c r="A42" s="860"/>
      <c r="B42" s="860"/>
      <c r="C42" s="876"/>
      <c r="D42" s="858"/>
      <c r="E42" s="858"/>
      <c r="F42" s="172" t="s">
        <v>204</v>
      </c>
      <c r="G42" s="173">
        <v>0.05</v>
      </c>
      <c r="H42" s="173">
        <v>0.05</v>
      </c>
      <c r="I42" s="173">
        <v>0.05</v>
      </c>
      <c r="J42" s="173">
        <v>0.05</v>
      </c>
      <c r="K42" s="173">
        <v>0.05</v>
      </c>
      <c r="L42" s="173">
        <v>0.05</v>
      </c>
      <c r="M42" s="173">
        <v>0.05</v>
      </c>
      <c r="N42" s="173">
        <v>0.1</v>
      </c>
      <c r="O42" s="173">
        <v>0.1</v>
      </c>
      <c r="P42" s="173">
        <v>0.1</v>
      </c>
      <c r="Q42" s="173">
        <v>0.15</v>
      </c>
      <c r="R42" s="173">
        <v>0.2</v>
      </c>
      <c r="S42" s="174">
        <f t="shared" si="0"/>
        <v>1</v>
      </c>
      <c r="T42" s="861"/>
      <c r="U42" s="859"/>
      <c r="V42" s="864"/>
      <c r="W42" s="163"/>
    </row>
    <row r="43" spans="1:24" ht="50.1" customHeight="1" x14ac:dyDescent="0.25">
      <c r="A43" s="860"/>
      <c r="B43" s="860"/>
      <c r="C43" s="876" t="s">
        <v>226</v>
      </c>
      <c r="D43" s="858" t="s">
        <v>201</v>
      </c>
      <c r="E43" s="858" t="s">
        <v>201</v>
      </c>
      <c r="F43" s="168" t="s">
        <v>202</v>
      </c>
      <c r="G43" s="169">
        <v>5.4933333333333334E-2</v>
      </c>
      <c r="H43" s="169">
        <v>8.2699999999999996E-2</v>
      </c>
      <c r="I43" s="169">
        <v>8.6900000000000005E-2</v>
      </c>
      <c r="J43" s="169">
        <v>8.7400000000000005E-2</v>
      </c>
      <c r="K43" s="169">
        <v>8.4000000000000005E-2</v>
      </c>
      <c r="L43" s="169">
        <v>8.3999999999999991E-2</v>
      </c>
      <c r="M43" s="169">
        <v>8.3999999999999991E-2</v>
      </c>
      <c r="N43" s="169">
        <v>0.14000000000000001</v>
      </c>
      <c r="O43" s="169">
        <v>2.0500000000000001E-2</v>
      </c>
      <c r="P43" s="169">
        <v>4.8399999999999992E-2</v>
      </c>
      <c r="Q43" s="169">
        <v>5.6799999999999996E-2</v>
      </c>
      <c r="R43" s="169">
        <v>0.1704</v>
      </c>
      <c r="S43" s="170">
        <f t="shared" si="0"/>
        <v>1.0000333333333331</v>
      </c>
      <c r="T43" s="861"/>
      <c r="U43" s="859">
        <v>0.01</v>
      </c>
      <c r="V43" s="864" t="s">
        <v>560</v>
      </c>
      <c r="W43" s="163"/>
    </row>
    <row r="44" spans="1:24" ht="50.1" customHeight="1" thickBot="1" x14ac:dyDescent="0.3">
      <c r="A44" s="860"/>
      <c r="B44" s="860"/>
      <c r="C44" s="876"/>
      <c r="D44" s="858"/>
      <c r="E44" s="858"/>
      <c r="F44" s="172" t="s">
        <v>204</v>
      </c>
      <c r="G44" s="173">
        <v>5.4933333333333334E-2</v>
      </c>
      <c r="H44" s="173">
        <v>8.2699999999999996E-2</v>
      </c>
      <c r="I44" s="173">
        <v>8.6900000000000005E-2</v>
      </c>
      <c r="J44" s="173">
        <v>5.9700000000000003E-2</v>
      </c>
      <c r="K44" s="173">
        <v>7.4399999999999994E-2</v>
      </c>
      <c r="L44" s="173">
        <v>7.4899999999999994E-2</v>
      </c>
      <c r="M44" s="173">
        <v>5.6300000000000003E-2</v>
      </c>
      <c r="N44" s="173">
        <v>0.16800000000000001</v>
      </c>
      <c r="O44" s="173">
        <v>0.13930000000000001</v>
      </c>
      <c r="P44" s="173">
        <v>5.1900000000000002E-2</v>
      </c>
      <c r="Q44" s="173">
        <v>3.3700000000000001E-2</v>
      </c>
      <c r="R44" s="173">
        <v>0.117292636671505</v>
      </c>
      <c r="S44" s="174">
        <f t="shared" si="0"/>
        <v>1.0000259700048382</v>
      </c>
      <c r="T44" s="861"/>
      <c r="U44" s="859"/>
      <c r="V44" s="864"/>
      <c r="W44" s="163"/>
    </row>
    <row r="45" spans="1:24" ht="50.1" customHeight="1" x14ac:dyDescent="0.25">
      <c r="A45" s="860"/>
      <c r="B45" s="860"/>
      <c r="C45" s="864" t="s">
        <v>227</v>
      </c>
      <c r="D45" s="858" t="s">
        <v>201</v>
      </c>
      <c r="E45" s="810"/>
      <c r="F45" s="168" t="s">
        <v>202</v>
      </c>
      <c r="G45" s="169">
        <v>0</v>
      </c>
      <c r="H45" s="169">
        <v>0</v>
      </c>
      <c r="I45" s="169">
        <v>0</v>
      </c>
      <c r="J45" s="169">
        <v>0</v>
      </c>
      <c r="K45" s="169">
        <v>0</v>
      </c>
      <c r="L45" s="169">
        <v>0</v>
      </c>
      <c r="M45" s="169">
        <v>0</v>
      </c>
      <c r="N45" s="169">
        <v>0</v>
      </c>
      <c r="O45" s="169">
        <v>0</v>
      </c>
      <c r="P45" s="169">
        <v>0</v>
      </c>
      <c r="Q45" s="169">
        <v>0.2</v>
      </c>
      <c r="R45" s="169">
        <v>0.8</v>
      </c>
      <c r="S45" s="170">
        <f t="shared" si="0"/>
        <v>1</v>
      </c>
      <c r="T45" s="861"/>
      <c r="U45" s="859">
        <v>5.0000000000000001E-3</v>
      </c>
      <c r="V45" s="864" t="s">
        <v>557</v>
      </c>
      <c r="W45" s="163"/>
    </row>
    <row r="46" spans="1:24" ht="56.25" customHeight="1" x14ac:dyDescent="0.25">
      <c r="A46" s="860"/>
      <c r="B46" s="860"/>
      <c r="C46" s="864"/>
      <c r="D46" s="858"/>
      <c r="E46" s="810"/>
      <c r="F46" s="172" t="s">
        <v>204</v>
      </c>
      <c r="G46" s="173"/>
      <c r="H46" s="173"/>
      <c r="I46" s="173"/>
      <c r="J46" s="173"/>
      <c r="K46" s="173"/>
      <c r="L46" s="173"/>
      <c r="M46" s="173"/>
      <c r="N46" s="173"/>
      <c r="O46" s="173"/>
      <c r="P46" s="173"/>
      <c r="Q46" s="173">
        <v>0.2</v>
      </c>
      <c r="R46" s="173">
        <v>0.8</v>
      </c>
      <c r="S46" s="174">
        <f t="shared" si="0"/>
        <v>1</v>
      </c>
      <c r="T46" s="861"/>
      <c r="U46" s="859"/>
      <c r="V46" s="864"/>
    </row>
    <row r="47" spans="1:24" s="179" customFormat="1" ht="18.75" customHeight="1" thickBot="1" x14ac:dyDescent="0.3">
      <c r="A47" s="857" t="s">
        <v>228</v>
      </c>
      <c r="B47" s="857"/>
      <c r="C47" s="857"/>
      <c r="D47" s="857"/>
      <c r="E47" s="857"/>
      <c r="F47" s="857"/>
      <c r="G47" s="857"/>
      <c r="H47" s="857"/>
      <c r="I47" s="857"/>
      <c r="J47" s="857"/>
      <c r="K47" s="857"/>
      <c r="L47" s="857"/>
      <c r="M47" s="857"/>
      <c r="N47" s="857"/>
      <c r="O47" s="857"/>
      <c r="P47" s="857"/>
      <c r="Q47" s="857"/>
      <c r="R47" s="857"/>
      <c r="S47" s="857"/>
      <c r="T47" s="177">
        <f>SUM(T9:T46)</f>
        <v>1</v>
      </c>
      <c r="U47" s="177">
        <f>SUM(U9:U46)</f>
        <v>1.0000000000000002</v>
      </c>
      <c r="V47" s="178"/>
    </row>
    <row r="48" spans="1:24" ht="14.25" x14ac:dyDescent="0.25">
      <c r="A48" s="163"/>
      <c r="B48" s="163"/>
      <c r="C48" s="180"/>
      <c r="D48" s="163"/>
      <c r="E48" s="163"/>
      <c r="F48" s="163"/>
      <c r="G48" s="163"/>
      <c r="H48" s="163"/>
      <c r="I48" s="163"/>
      <c r="J48" s="163"/>
      <c r="K48" s="163"/>
      <c r="L48" s="163"/>
      <c r="M48" s="163"/>
      <c r="N48" s="171"/>
      <c r="O48" s="171"/>
      <c r="P48" s="171"/>
      <c r="Q48" s="171"/>
      <c r="R48" s="171"/>
      <c r="S48" s="171"/>
      <c r="T48" s="171"/>
      <c r="U48" s="181"/>
    </row>
    <row r="49" spans="1:25" x14ac:dyDescent="0.25">
      <c r="A49" s="163"/>
      <c r="B49" s="163"/>
      <c r="C49" s="180"/>
      <c r="D49" s="163"/>
      <c r="E49" s="163"/>
      <c r="F49" s="163"/>
      <c r="G49" s="163"/>
      <c r="H49" s="163"/>
      <c r="I49" s="163"/>
      <c r="J49" s="163"/>
      <c r="K49" s="163"/>
      <c r="L49" s="163"/>
      <c r="M49" s="163"/>
      <c r="N49" s="171"/>
      <c r="O49" s="171"/>
      <c r="P49" s="171"/>
      <c r="Q49" s="171"/>
      <c r="R49" s="171"/>
      <c r="S49" s="171"/>
      <c r="T49" s="171"/>
      <c r="U49" s="171"/>
    </row>
    <row r="50" spans="1:25" ht="15" x14ac:dyDescent="0.25">
      <c r="A50" s="163"/>
      <c r="B50" s="150" t="s">
        <v>98</v>
      </c>
      <c r="C50" s="180"/>
      <c r="D50" s="163"/>
      <c r="E50" s="163"/>
      <c r="F50" s="163"/>
      <c r="G50" s="163"/>
      <c r="H50" s="163"/>
      <c r="I50" s="163"/>
      <c r="J50" s="163"/>
      <c r="K50" s="163"/>
      <c r="L50" s="163"/>
      <c r="M50" s="163"/>
      <c r="N50" s="171"/>
      <c r="O50" s="171"/>
      <c r="P50" s="171"/>
      <c r="Q50" s="171"/>
      <c r="R50" s="171"/>
      <c r="S50" s="171"/>
      <c r="T50" s="171"/>
      <c r="U50" s="171"/>
    </row>
    <row r="51" spans="1:25" ht="26.25" customHeight="1" x14ac:dyDescent="0.25">
      <c r="B51" s="763" t="s">
        <v>99</v>
      </c>
      <c r="C51" s="834" t="s">
        <v>100</v>
      </c>
      <c r="D51" s="835"/>
      <c r="E51" s="835"/>
      <c r="F51" s="835"/>
      <c r="G51" s="835"/>
      <c r="H51" s="835"/>
      <c r="I51" s="836"/>
      <c r="J51" s="837" t="s">
        <v>101</v>
      </c>
      <c r="K51" s="838"/>
      <c r="L51" s="838"/>
      <c r="M51" s="838"/>
      <c r="N51" s="838"/>
      <c r="O51" s="838"/>
      <c r="P51" s="839"/>
      <c r="Q51" s="171"/>
      <c r="R51" s="171"/>
      <c r="S51" s="171"/>
      <c r="T51" s="171"/>
      <c r="U51" s="171"/>
      <c r="W51" s="163"/>
      <c r="X51" s="163"/>
      <c r="Y51" s="163"/>
    </row>
    <row r="52" spans="1:25" ht="38.25" customHeight="1" x14ac:dyDescent="0.25">
      <c r="A52" s="163"/>
      <c r="B52" s="764">
        <v>13</v>
      </c>
      <c r="C52" s="829" t="s">
        <v>170</v>
      </c>
      <c r="D52" s="829"/>
      <c r="E52" s="829"/>
      <c r="F52" s="829"/>
      <c r="G52" s="829"/>
      <c r="H52" s="829"/>
      <c r="I52" s="829"/>
      <c r="J52" s="829" t="s">
        <v>103</v>
      </c>
      <c r="K52" s="829"/>
      <c r="L52" s="829"/>
      <c r="M52" s="829"/>
      <c r="N52" s="829"/>
      <c r="O52" s="829"/>
      <c r="P52" s="829"/>
      <c r="Q52" s="171"/>
      <c r="R52" s="171"/>
      <c r="S52" s="171"/>
      <c r="T52" s="171"/>
      <c r="U52" s="171"/>
      <c r="W52" s="163"/>
      <c r="X52" s="163"/>
      <c r="Y52" s="163"/>
    </row>
    <row r="53" spans="1:25" ht="26.25" customHeight="1" x14ac:dyDescent="0.25">
      <c r="A53" s="163"/>
      <c r="B53" s="764">
        <v>14</v>
      </c>
      <c r="C53" s="829" t="s">
        <v>104</v>
      </c>
      <c r="D53" s="829"/>
      <c r="E53" s="829"/>
      <c r="F53" s="829"/>
      <c r="G53" s="829"/>
      <c r="H53" s="829"/>
      <c r="I53" s="829"/>
      <c r="J53" s="831" t="s">
        <v>530</v>
      </c>
      <c r="K53" s="831"/>
      <c r="L53" s="831"/>
      <c r="M53" s="831"/>
      <c r="N53" s="831"/>
      <c r="O53" s="831"/>
      <c r="P53" s="831"/>
      <c r="Q53" s="171"/>
      <c r="R53" s="171"/>
      <c r="S53" s="171"/>
      <c r="T53" s="171"/>
      <c r="U53" s="171"/>
      <c r="W53" s="163"/>
      <c r="X53" s="163"/>
      <c r="Y53" s="163"/>
    </row>
    <row r="54" spans="1:25" x14ac:dyDescent="0.25">
      <c r="A54" s="163"/>
      <c r="B54" s="163"/>
      <c r="C54" s="180"/>
      <c r="D54" s="163"/>
      <c r="E54" s="163"/>
      <c r="F54" s="163"/>
      <c r="G54" s="163"/>
      <c r="H54" s="163"/>
      <c r="I54" s="163"/>
      <c r="J54" s="163"/>
      <c r="K54" s="163"/>
      <c r="L54" s="163"/>
      <c r="M54" s="163"/>
      <c r="N54" s="171"/>
      <c r="O54" s="171"/>
      <c r="P54" s="171"/>
      <c r="Q54" s="171"/>
      <c r="R54" s="171"/>
      <c r="S54" s="171"/>
      <c r="T54" s="171"/>
      <c r="U54" s="171"/>
    </row>
    <row r="55" spans="1:25" x14ac:dyDescent="0.25">
      <c r="A55" s="163"/>
      <c r="B55" s="163"/>
      <c r="C55" s="180"/>
      <c r="D55" s="163"/>
      <c r="E55" s="163"/>
      <c r="F55" s="163"/>
      <c r="G55" s="163"/>
      <c r="H55" s="163"/>
      <c r="I55" s="163"/>
      <c r="J55" s="163"/>
      <c r="K55" s="163"/>
      <c r="L55" s="163"/>
      <c r="M55" s="163"/>
      <c r="N55" s="171"/>
      <c r="O55" s="171"/>
      <c r="P55" s="171"/>
      <c r="Q55" s="171"/>
      <c r="R55" s="171"/>
      <c r="S55" s="171"/>
      <c r="T55" s="171"/>
      <c r="U55" s="171"/>
    </row>
    <row r="56" spans="1:25" x14ac:dyDescent="0.25">
      <c r="A56" s="163"/>
      <c r="B56" s="163"/>
      <c r="C56" s="180"/>
      <c r="D56" s="163"/>
      <c r="E56" s="163"/>
      <c r="F56" s="163"/>
      <c r="G56" s="163"/>
      <c r="H56" s="163"/>
      <c r="I56" s="163"/>
      <c r="J56" s="163"/>
      <c r="K56" s="163"/>
      <c r="L56" s="163"/>
      <c r="M56" s="163"/>
      <c r="N56" s="171"/>
      <c r="O56" s="171"/>
      <c r="P56" s="171"/>
      <c r="Q56" s="171"/>
      <c r="R56" s="171"/>
      <c r="S56" s="171"/>
      <c r="T56" s="171"/>
      <c r="U56" s="171"/>
    </row>
    <row r="57" spans="1:25" x14ac:dyDescent="0.25">
      <c r="A57" s="163"/>
      <c r="B57" s="163"/>
      <c r="C57" s="180"/>
      <c r="D57" s="163"/>
      <c r="E57" s="163"/>
      <c r="F57" s="163"/>
      <c r="G57" s="163"/>
      <c r="H57" s="163"/>
      <c r="I57" s="163"/>
      <c r="J57" s="163"/>
      <c r="K57" s="163"/>
      <c r="L57" s="163"/>
      <c r="M57" s="163"/>
      <c r="N57" s="171"/>
      <c r="O57" s="171"/>
      <c r="P57" s="171"/>
      <c r="Q57" s="171"/>
      <c r="R57" s="171"/>
      <c r="S57" s="171"/>
      <c r="T57" s="171"/>
      <c r="U57" s="171"/>
    </row>
    <row r="58" spans="1:25" x14ac:dyDescent="0.25">
      <c r="A58" s="163"/>
      <c r="B58" s="163"/>
      <c r="C58" s="180"/>
      <c r="D58" s="163"/>
      <c r="E58" s="163"/>
      <c r="F58" s="163"/>
      <c r="G58" s="163"/>
      <c r="H58" s="163"/>
      <c r="I58" s="163"/>
      <c r="J58" s="163"/>
      <c r="K58" s="163"/>
      <c r="L58" s="163"/>
      <c r="M58" s="163"/>
      <c r="N58" s="171"/>
      <c r="O58" s="171"/>
      <c r="P58" s="171"/>
      <c r="Q58" s="171"/>
      <c r="R58" s="171"/>
      <c r="S58" s="171"/>
      <c r="T58" s="171"/>
      <c r="U58" s="171"/>
    </row>
    <row r="59" spans="1:25" x14ac:dyDescent="0.25">
      <c r="A59" s="163"/>
      <c r="B59" s="163"/>
      <c r="C59" s="180"/>
      <c r="D59" s="163"/>
      <c r="E59" s="163"/>
      <c r="F59" s="163"/>
      <c r="G59" s="163"/>
      <c r="H59" s="163"/>
      <c r="I59" s="163"/>
      <c r="J59" s="163"/>
      <c r="K59" s="163"/>
      <c r="L59" s="163"/>
      <c r="M59" s="163"/>
      <c r="N59" s="171"/>
      <c r="O59" s="171"/>
      <c r="P59" s="171"/>
      <c r="Q59" s="171"/>
      <c r="R59" s="171"/>
      <c r="S59" s="171"/>
      <c r="T59" s="171"/>
      <c r="U59" s="171"/>
    </row>
    <row r="60" spans="1:25" x14ac:dyDescent="0.25">
      <c r="A60" s="163"/>
      <c r="B60" s="163"/>
      <c r="C60" s="180"/>
      <c r="D60" s="163"/>
      <c r="E60" s="163"/>
      <c r="F60" s="163"/>
      <c r="G60" s="163"/>
      <c r="H60" s="163"/>
      <c r="I60" s="163"/>
      <c r="J60" s="163"/>
      <c r="K60" s="163"/>
      <c r="L60" s="163"/>
      <c r="M60" s="163"/>
      <c r="N60" s="171"/>
      <c r="O60" s="171"/>
      <c r="P60" s="171"/>
      <c r="Q60" s="171"/>
      <c r="R60" s="171"/>
      <c r="S60" s="171"/>
      <c r="T60" s="171"/>
      <c r="U60" s="171"/>
    </row>
    <row r="61" spans="1:25" x14ac:dyDescent="0.25">
      <c r="A61" s="163"/>
      <c r="B61" s="163"/>
      <c r="C61" s="180"/>
      <c r="D61" s="163"/>
      <c r="E61" s="163"/>
      <c r="F61" s="163"/>
      <c r="G61" s="163"/>
      <c r="H61" s="163"/>
      <c r="I61" s="163"/>
      <c r="J61" s="163"/>
      <c r="K61" s="163"/>
      <c r="L61" s="163"/>
      <c r="M61" s="163"/>
      <c r="N61" s="171"/>
      <c r="O61" s="171"/>
      <c r="P61" s="171"/>
      <c r="Q61" s="171"/>
      <c r="R61" s="171"/>
      <c r="S61" s="171"/>
      <c r="T61" s="171"/>
      <c r="U61" s="171"/>
    </row>
    <row r="62" spans="1:25" x14ac:dyDescent="0.25">
      <c r="A62" s="163"/>
      <c r="B62" s="163"/>
      <c r="C62" s="180"/>
      <c r="D62" s="163"/>
      <c r="E62" s="163"/>
      <c r="F62" s="163"/>
      <c r="G62" s="163"/>
      <c r="H62" s="163"/>
      <c r="I62" s="163"/>
      <c r="J62" s="163"/>
      <c r="K62" s="163"/>
      <c r="L62" s="163"/>
      <c r="M62" s="163"/>
      <c r="N62" s="171"/>
      <c r="O62" s="171"/>
      <c r="P62" s="171"/>
      <c r="Q62" s="171"/>
      <c r="R62" s="171"/>
      <c r="S62" s="171"/>
      <c r="T62" s="171"/>
      <c r="U62" s="171"/>
    </row>
    <row r="63" spans="1:25" x14ac:dyDescent="0.25">
      <c r="A63" s="163"/>
      <c r="B63" s="163"/>
      <c r="C63" s="180"/>
      <c r="D63" s="163"/>
      <c r="E63" s="163"/>
      <c r="F63" s="163"/>
      <c r="G63" s="163"/>
      <c r="H63" s="163"/>
      <c r="I63" s="163"/>
      <c r="J63" s="163"/>
      <c r="K63" s="163"/>
      <c r="L63" s="163"/>
      <c r="M63" s="163"/>
      <c r="N63" s="171"/>
      <c r="O63" s="171"/>
      <c r="P63" s="171"/>
      <c r="Q63" s="171"/>
      <c r="R63" s="171"/>
      <c r="S63" s="171"/>
      <c r="T63" s="171"/>
      <c r="U63" s="171"/>
    </row>
    <row r="64" spans="1:25" x14ac:dyDescent="0.25">
      <c r="A64" s="163"/>
      <c r="B64" s="163"/>
      <c r="C64" s="180"/>
      <c r="D64" s="163"/>
      <c r="E64" s="163"/>
      <c r="F64" s="163"/>
      <c r="G64" s="163"/>
      <c r="H64" s="163"/>
      <c r="I64" s="163"/>
      <c r="J64" s="163"/>
      <c r="K64" s="163"/>
      <c r="L64" s="163"/>
      <c r="M64" s="163"/>
      <c r="N64" s="171"/>
      <c r="O64" s="171"/>
      <c r="P64" s="171"/>
      <c r="Q64" s="171"/>
      <c r="R64" s="171"/>
      <c r="S64" s="171"/>
      <c r="T64" s="171"/>
      <c r="U64" s="171"/>
    </row>
    <row r="65" spans="1:21" x14ac:dyDescent="0.25">
      <c r="A65" s="163"/>
      <c r="B65" s="163"/>
      <c r="C65" s="180"/>
      <c r="D65" s="163"/>
      <c r="E65" s="163"/>
      <c r="F65" s="163"/>
      <c r="G65" s="163"/>
      <c r="H65" s="163"/>
      <c r="I65" s="163"/>
      <c r="J65" s="163"/>
      <c r="K65" s="163"/>
      <c r="L65" s="163"/>
      <c r="M65" s="163"/>
      <c r="N65" s="171"/>
      <c r="O65" s="171"/>
      <c r="P65" s="171"/>
      <c r="Q65" s="171"/>
      <c r="R65" s="171"/>
      <c r="S65" s="171"/>
      <c r="T65" s="171"/>
      <c r="U65" s="171"/>
    </row>
    <row r="66" spans="1:21" x14ac:dyDescent="0.25">
      <c r="A66" s="163"/>
      <c r="B66" s="163"/>
      <c r="C66" s="180"/>
      <c r="D66" s="163"/>
      <c r="E66" s="163"/>
      <c r="F66" s="163"/>
      <c r="G66" s="163"/>
      <c r="H66" s="163"/>
      <c r="I66" s="163"/>
      <c r="J66" s="163"/>
      <c r="K66" s="163"/>
      <c r="L66" s="163"/>
      <c r="M66" s="163"/>
      <c r="N66" s="171"/>
      <c r="O66" s="171"/>
      <c r="P66" s="171"/>
      <c r="Q66" s="171"/>
      <c r="R66" s="171"/>
      <c r="S66" s="171"/>
      <c r="T66" s="171"/>
      <c r="U66" s="171"/>
    </row>
    <row r="67" spans="1:21" x14ac:dyDescent="0.25">
      <c r="A67" s="163"/>
      <c r="B67" s="163"/>
      <c r="C67" s="180"/>
      <c r="D67" s="163"/>
      <c r="E67" s="163"/>
      <c r="F67" s="163"/>
      <c r="G67" s="163"/>
      <c r="H67" s="163"/>
      <c r="I67" s="163"/>
      <c r="J67" s="163"/>
      <c r="K67" s="163"/>
      <c r="L67" s="163"/>
      <c r="M67" s="163"/>
      <c r="N67" s="171"/>
      <c r="O67" s="171"/>
      <c r="P67" s="171"/>
      <c r="Q67" s="171"/>
      <c r="R67" s="171"/>
      <c r="S67" s="171"/>
      <c r="T67" s="171"/>
      <c r="U67" s="171"/>
    </row>
    <row r="68" spans="1:21" x14ac:dyDescent="0.25">
      <c r="A68" s="163"/>
      <c r="B68" s="163"/>
      <c r="C68" s="180"/>
      <c r="D68" s="163"/>
      <c r="E68" s="163"/>
      <c r="F68" s="163"/>
      <c r="G68" s="163"/>
      <c r="H68" s="163"/>
      <c r="I68" s="163"/>
      <c r="J68" s="163"/>
      <c r="K68" s="163"/>
      <c r="L68" s="163"/>
      <c r="M68" s="163"/>
      <c r="N68" s="171"/>
      <c r="O68" s="171"/>
      <c r="P68" s="171"/>
      <c r="Q68" s="171"/>
      <c r="R68" s="171"/>
      <c r="S68" s="171"/>
      <c r="T68" s="171"/>
      <c r="U68" s="171"/>
    </row>
    <row r="69" spans="1:21" x14ac:dyDescent="0.25">
      <c r="A69" s="163"/>
      <c r="B69" s="163"/>
      <c r="C69" s="180"/>
      <c r="D69" s="163"/>
      <c r="E69" s="163"/>
      <c r="F69" s="163"/>
      <c r="G69" s="163"/>
      <c r="H69" s="163"/>
      <c r="I69" s="163"/>
      <c r="J69" s="163"/>
      <c r="K69" s="163"/>
      <c r="L69" s="163"/>
      <c r="M69" s="163"/>
      <c r="N69" s="171"/>
      <c r="O69" s="171"/>
      <c r="P69" s="171"/>
      <c r="Q69" s="171"/>
      <c r="R69" s="171"/>
      <c r="S69" s="171"/>
      <c r="T69" s="171"/>
      <c r="U69" s="171"/>
    </row>
    <row r="70" spans="1:21" x14ac:dyDescent="0.25">
      <c r="A70" s="163"/>
      <c r="B70" s="163"/>
      <c r="C70" s="180"/>
      <c r="D70" s="163"/>
      <c r="E70" s="163"/>
      <c r="F70" s="163"/>
      <c r="G70" s="163"/>
      <c r="H70" s="163"/>
      <c r="I70" s="163"/>
      <c r="J70" s="163"/>
      <c r="K70" s="163"/>
      <c r="L70" s="163"/>
      <c r="M70" s="163"/>
      <c r="N70" s="171"/>
      <c r="O70" s="171"/>
      <c r="P70" s="171"/>
      <c r="Q70" s="171"/>
      <c r="R70" s="171"/>
      <c r="S70" s="171"/>
      <c r="T70" s="171"/>
      <c r="U70" s="171"/>
    </row>
    <row r="71" spans="1:21" x14ac:dyDescent="0.25">
      <c r="A71" s="163"/>
      <c r="B71" s="163"/>
      <c r="C71" s="180"/>
      <c r="D71" s="163"/>
      <c r="E71" s="163"/>
      <c r="F71" s="163"/>
      <c r="G71" s="163"/>
      <c r="H71" s="163"/>
      <c r="I71" s="163"/>
      <c r="J71" s="163"/>
      <c r="K71" s="163"/>
      <c r="L71" s="163"/>
      <c r="M71" s="163"/>
      <c r="N71" s="171"/>
      <c r="O71" s="171"/>
      <c r="P71" s="171"/>
      <c r="Q71" s="171"/>
      <c r="R71" s="171"/>
      <c r="S71" s="171"/>
      <c r="T71" s="171"/>
      <c r="U71" s="171"/>
    </row>
    <row r="72" spans="1:21" x14ac:dyDescent="0.25">
      <c r="A72" s="163"/>
      <c r="B72" s="163"/>
      <c r="C72" s="180"/>
      <c r="D72" s="163"/>
      <c r="E72" s="163"/>
      <c r="F72" s="163"/>
      <c r="G72" s="163"/>
      <c r="H72" s="163"/>
      <c r="I72" s="163"/>
      <c r="J72" s="163"/>
      <c r="K72" s="163"/>
      <c r="L72" s="163"/>
      <c r="M72" s="163"/>
      <c r="N72" s="171"/>
      <c r="O72" s="171"/>
      <c r="P72" s="171"/>
      <c r="Q72" s="171"/>
      <c r="R72" s="171"/>
      <c r="S72" s="171"/>
      <c r="T72" s="171"/>
      <c r="U72" s="171"/>
    </row>
    <row r="73" spans="1:21" x14ac:dyDescent="0.25">
      <c r="A73" s="163"/>
      <c r="B73" s="163"/>
      <c r="C73" s="180"/>
      <c r="D73" s="163"/>
      <c r="E73" s="163"/>
      <c r="F73" s="163"/>
      <c r="G73" s="163"/>
      <c r="H73" s="163"/>
      <c r="I73" s="163"/>
      <c r="J73" s="163"/>
      <c r="K73" s="163"/>
      <c r="L73" s="163"/>
      <c r="M73" s="163"/>
      <c r="N73" s="171"/>
      <c r="O73" s="171"/>
      <c r="P73" s="171"/>
      <c r="Q73" s="171"/>
      <c r="R73" s="171"/>
      <c r="S73" s="171"/>
      <c r="T73" s="171"/>
      <c r="U73" s="171"/>
    </row>
    <row r="74" spans="1:21" x14ac:dyDescent="0.25">
      <c r="A74" s="163"/>
      <c r="B74" s="163"/>
      <c r="C74" s="180"/>
      <c r="D74" s="163"/>
      <c r="E74" s="163"/>
      <c r="F74" s="163"/>
      <c r="G74" s="163"/>
      <c r="H74" s="163"/>
      <c r="I74" s="163"/>
      <c r="J74" s="163"/>
      <c r="K74" s="163"/>
      <c r="L74" s="163"/>
      <c r="M74" s="163"/>
      <c r="N74" s="171"/>
      <c r="O74" s="171"/>
      <c r="P74" s="171"/>
      <c r="Q74" s="171"/>
      <c r="R74" s="171"/>
      <c r="S74" s="171"/>
      <c r="T74" s="171"/>
      <c r="U74" s="171"/>
    </row>
    <row r="75" spans="1:21" x14ac:dyDescent="0.25">
      <c r="A75" s="163"/>
      <c r="B75" s="163"/>
      <c r="C75" s="180"/>
      <c r="D75" s="163"/>
      <c r="E75" s="163"/>
      <c r="F75" s="163"/>
      <c r="G75" s="163"/>
      <c r="H75" s="163"/>
      <c r="I75" s="163"/>
      <c r="J75" s="163"/>
      <c r="K75" s="163"/>
      <c r="L75" s="163"/>
      <c r="M75" s="163"/>
      <c r="N75" s="171"/>
      <c r="O75" s="171"/>
      <c r="P75" s="171"/>
      <c r="Q75" s="171"/>
      <c r="R75" s="171"/>
      <c r="S75" s="171"/>
      <c r="T75" s="171"/>
      <c r="U75" s="171"/>
    </row>
    <row r="76" spans="1:21" x14ac:dyDescent="0.25">
      <c r="A76" s="163"/>
      <c r="B76" s="163"/>
      <c r="C76" s="180"/>
      <c r="D76" s="163"/>
      <c r="E76" s="163"/>
      <c r="F76" s="163"/>
      <c r="G76" s="163"/>
      <c r="H76" s="163"/>
      <c r="I76" s="163"/>
      <c r="J76" s="163"/>
      <c r="K76" s="163"/>
      <c r="L76" s="163"/>
      <c r="M76" s="163"/>
      <c r="N76" s="171"/>
      <c r="O76" s="171"/>
      <c r="P76" s="171"/>
      <c r="Q76" s="171"/>
      <c r="R76" s="171"/>
      <c r="S76" s="171"/>
      <c r="T76" s="171"/>
      <c r="U76" s="171"/>
    </row>
    <row r="77" spans="1:21" x14ac:dyDescent="0.25">
      <c r="A77" s="163"/>
      <c r="B77" s="163"/>
      <c r="C77" s="180"/>
      <c r="D77" s="163"/>
      <c r="E77" s="163"/>
      <c r="F77" s="163"/>
      <c r="G77" s="163"/>
      <c r="H77" s="163"/>
      <c r="I77" s="163"/>
      <c r="J77" s="163"/>
      <c r="K77" s="163"/>
      <c r="L77" s="163"/>
      <c r="M77" s="163"/>
      <c r="N77" s="171"/>
      <c r="O77" s="171"/>
      <c r="P77" s="171"/>
      <c r="Q77" s="171"/>
      <c r="R77" s="171"/>
      <c r="S77" s="171"/>
      <c r="T77" s="171"/>
      <c r="U77" s="171"/>
    </row>
    <row r="78" spans="1:21" x14ac:dyDescent="0.25">
      <c r="A78" s="163"/>
      <c r="B78" s="163"/>
      <c r="C78" s="180"/>
      <c r="D78" s="163"/>
      <c r="E78" s="163"/>
      <c r="F78" s="163"/>
      <c r="G78" s="163"/>
      <c r="H78" s="163"/>
      <c r="I78" s="163"/>
      <c r="J78" s="163"/>
      <c r="K78" s="163"/>
      <c r="L78" s="163"/>
      <c r="M78" s="163"/>
      <c r="N78" s="171"/>
      <c r="O78" s="171"/>
      <c r="P78" s="171"/>
      <c r="Q78" s="171"/>
      <c r="R78" s="171"/>
      <c r="S78" s="171"/>
      <c r="T78" s="171"/>
      <c r="U78" s="171"/>
    </row>
    <row r="79" spans="1:21" x14ac:dyDescent="0.25">
      <c r="A79" s="163"/>
      <c r="B79" s="163"/>
      <c r="C79" s="180"/>
      <c r="D79" s="163"/>
      <c r="E79" s="163"/>
      <c r="F79" s="163"/>
      <c r="G79" s="163"/>
      <c r="H79" s="163"/>
      <c r="I79" s="163"/>
      <c r="J79" s="163"/>
      <c r="K79" s="163"/>
      <c r="L79" s="163"/>
      <c r="M79" s="163"/>
      <c r="N79" s="171"/>
      <c r="O79" s="171"/>
      <c r="P79" s="171"/>
      <c r="Q79" s="171"/>
      <c r="R79" s="171"/>
      <c r="S79" s="171"/>
      <c r="T79" s="171"/>
      <c r="U79" s="171"/>
    </row>
    <row r="80" spans="1:21" x14ac:dyDescent="0.25">
      <c r="A80" s="163"/>
      <c r="B80" s="163"/>
      <c r="C80" s="180"/>
      <c r="D80" s="163"/>
      <c r="E80" s="163"/>
      <c r="F80" s="163"/>
      <c r="G80" s="163"/>
      <c r="H80" s="163"/>
      <c r="I80" s="163"/>
      <c r="J80" s="163"/>
      <c r="K80" s="163"/>
      <c r="L80" s="163"/>
      <c r="M80" s="163"/>
      <c r="N80" s="171"/>
      <c r="O80" s="171"/>
      <c r="P80" s="171"/>
      <c r="Q80" s="171"/>
      <c r="R80" s="171"/>
      <c r="S80" s="171"/>
      <c r="T80" s="171"/>
      <c r="U80" s="171"/>
    </row>
    <row r="81" spans="1:21" x14ac:dyDescent="0.25">
      <c r="A81" s="163"/>
      <c r="B81" s="163"/>
      <c r="C81" s="180"/>
      <c r="D81" s="163"/>
      <c r="E81" s="163"/>
      <c r="F81" s="163"/>
      <c r="G81" s="163"/>
      <c r="H81" s="163"/>
      <c r="I81" s="163"/>
      <c r="J81" s="163"/>
      <c r="K81" s="163"/>
      <c r="L81" s="163"/>
      <c r="M81" s="163"/>
      <c r="N81" s="171"/>
      <c r="O81" s="171"/>
      <c r="P81" s="171"/>
      <c r="Q81" s="171"/>
      <c r="R81" s="171"/>
      <c r="S81" s="171"/>
      <c r="T81" s="171"/>
      <c r="U81" s="171"/>
    </row>
    <row r="82" spans="1:21" x14ac:dyDescent="0.25">
      <c r="A82" s="163"/>
      <c r="B82" s="163"/>
      <c r="C82" s="180"/>
      <c r="D82" s="163"/>
      <c r="E82" s="163"/>
      <c r="F82" s="163"/>
      <c r="G82" s="163"/>
      <c r="H82" s="163"/>
      <c r="I82" s="163"/>
      <c r="J82" s="163"/>
      <c r="K82" s="163"/>
      <c r="L82" s="163"/>
      <c r="M82" s="163"/>
      <c r="N82" s="171"/>
      <c r="O82" s="171"/>
      <c r="P82" s="171"/>
      <c r="Q82" s="171"/>
      <c r="R82" s="171"/>
      <c r="S82" s="171"/>
      <c r="T82" s="171"/>
      <c r="U82" s="171"/>
    </row>
    <row r="83" spans="1:21" x14ac:dyDescent="0.25">
      <c r="A83" s="163"/>
      <c r="B83" s="163"/>
      <c r="C83" s="180"/>
      <c r="D83" s="163"/>
      <c r="E83" s="163"/>
      <c r="F83" s="163"/>
      <c r="G83" s="163"/>
      <c r="H83" s="163"/>
      <c r="I83" s="163"/>
      <c r="J83" s="163"/>
      <c r="K83" s="163"/>
      <c r="L83" s="163"/>
      <c r="M83" s="163"/>
      <c r="N83" s="171"/>
      <c r="O83" s="171"/>
      <c r="P83" s="171"/>
      <c r="Q83" s="171"/>
      <c r="R83" s="171"/>
      <c r="S83" s="171"/>
      <c r="T83" s="171"/>
      <c r="U83" s="171"/>
    </row>
    <row r="84" spans="1:21" x14ac:dyDescent="0.25">
      <c r="A84" s="163"/>
      <c r="B84" s="163"/>
      <c r="C84" s="180"/>
      <c r="D84" s="163"/>
      <c r="E84" s="163"/>
      <c r="F84" s="163"/>
      <c r="G84" s="163"/>
      <c r="H84" s="163"/>
      <c r="I84" s="163"/>
      <c r="J84" s="163"/>
      <c r="K84" s="163"/>
      <c r="L84" s="163"/>
      <c r="M84" s="163"/>
      <c r="N84" s="171"/>
      <c r="O84" s="171"/>
      <c r="P84" s="171"/>
      <c r="Q84" s="171"/>
      <c r="R84" s="171"/>
      <c r="S84" s="171"/>
      <c r="T84" s="171"/>
      <c r="U84" s="171"/>
    </row>
    <row r="85" spans="1:21" x14ac:dyDescent="0.25">
      <c r="A85" s="163"/>
      <c r="B85" s="163"/>
      <c r="C85" s="180"/>
      <c r="D85" s="163"/>
      <c r="E85" s="163"/>
      <c r="F85" s="163"/>
      <c r="G85" s="163"/>
      <c r="H85" s="163"/>
      <c r="I85" s="163"/>
      <c r="J85" s="163"/>
      <c r="K85" s="163"/>
      <c r="L85" s="163"/>
      <c r="M85" s="163"/>
      <c r="N85" s="171"/>
      <c r="O85" s="171"/>
      <c r="P85" s="171"/>
      <c r="Q85" s="171"/>
      <c r="R85" s="171"/>
      <c r="S85" s="171"/>
      <c r="T85" s="171"/>
      <c r="U85" s="171"/>
    </row>
    <row r="86" spans="1:21" x14ac:dyDescent="0.25">
      <c r="A86" s="163"/>
      <c r="B86" s="163"/>
      <c r="C86" s="180"/>
      <c r="D86" s="163"/>
      <c r="E86" s="163"/>
      <c r="F86" s="163"/>
      <c r="G86" s="163"/>
      <c r="H86" s="163"/>
      <c r="I86" s="163"/>
      <c r="J86" s="163"/>
      <c r="K86" s="163"/>
      <c r="L86" s="163"/>
      <c r="M86" s="163"/>
      <c r="N86" s="171"/>
      <c r="O86" s="171"/>
      <c r="P86" s="171"/>
      <c r="Q86" s="171"/>
      <c r="R86" s="171"/>
      <c r="S86" s="171"/>
      <c r="T86" s="171"/>
      <c r="U86" s="171"/>
    </row>
    <row r="87" spans="1:21" x14ac:dyDescent="0.25">
      <c r="A87" s="163"/>
      <c r="B87" s="163"/>
      <c r="C87" s="180"/>
      <c r="D87" s="163"/>
      <c r="E87" s="163"/>
      <c r="F87" s="163"/>
      <c r="G87" s="163"/>
      <c r="H87" s="163"/>
      <c r="I87" s="163"/>
      <c r="J87" s="163"/>
      <c r="K87" s="163"/>
      <c r="L87" s="163"/>
      <c r="M87" s="163"/>
      <c r="N87" s="171"/>
      <c r="O87" s="171"/>
      <c r="P87" s="171"/>
      <c r="Q87" s="171"/>
      <c r="R87" s="171"/>
      <c r="S87" s="171"/>
      <c r="T87" s="171"/>
      <c r="U87" s="171"/>
    </row>
    <row r="88" spans="1:21" x14ac:dyDescent="0.25">
      <c r="A88" s="163"/>
      <c r="B88" s="163"/>
      <c r="C88" s="180"/>
      <c r="D88" s="163"/>
      <c r="E88" s="163"/>
      <c r="F88" s="163"/>
      <c r="G88" s="163"/>
      <c r="H88" s="163"/>
      <c r="I88" s="163"/>
      <c r="J88" s="163"/>
      <c r="K88" s="163"/>
      <c r="L88" s="163"/>
      <c r="M88" s="163"/>
      <c r="N88" s="171"/>
      <c r="O88" s="171"/>
      <c r="P88" s="171"/>
      <c r="Q88" s="171"/>
      <c r="R88" s="171"/>
      <c r="S88" s="171"/>
      <c r="T88" s="171"/>
      <c r="U88" s="171"/>
    </row>
    <row r="89" spans="1:21" x14ac:dyDescent="0.25">
      <c r="A89" s="163"/>
      <c r="B89" s="163"/>
      <c r="C89" s="180"/>
      <c r="D89" s="163"/>
      <c r="E89" s="163"/>
      <c r="F89" s="163"/>
      <c r="G89" s="163"/>
      <c r="H89" s="163"/>
      <c r="I89" s="163"/>
      <c r="J89" s="163"/>
      <c r="K89" s="163"/>
      <c r="L89" s="163"/>
      <c r="M89" s="163"/>
      <c r="N89" s="171"/>
      <c r="O89" s="171"/>
      <c r="P89" s="171"/>
      <c r="Q89" s="171"/>
      <c r="R89" s="171"/>
      <c r="S89" s="171"/>
      <c r="T89" s="171"/>
      <c r="U89" s="171"/>
    </row>
    <row r="90" spans="1:21" x14ac:dyDescent="0.25">
      <c r="A90" s="163"/>
      <c r="B90" s="163"/>
      <c r="C90" s="180"/>
      <c r="D90" s="163"/>
      <c r="E90" s="163"/>
      <c r="F90" s="163"/>
      <c r="G90" s="163"/>
      <c r="H90" s="163"/>
      <c r="I90" s="163"/>
      <c r="J90" s="163"/>
      <c r="K90" s="163"/>
      <c r="L90" s="163"/>
      <c r="M90" s="163"/>
      <c r="N90" s="171"/>
      <c r="O90" s="171"/>
      <c r="P90" s="171"/>
      <c r="Q90" s="171"/>
      <c r="R90" s="171"/>
      <c r="S90" s="171"/>
      <c r="T90" s="171"/>
      <c r="U90" s="171"/>
    </row>
    <row r="91" spans="1:21" x14ac:dyDescent="0.25">
      <c r="A91" s="163"/>
      <c r="B91" s="163"/>
      <c r="C91" s="180"/>
      <c r="D91" s="163"/>
      <c r="E91" s="163"/>
      <c r="F91" s="163"/>
      <c r="G91" s="163"/>
      <c r="H91" s="163"/>
      <c r="I91" s="163"/>
      <c r="J91" s="163"/>
      <c r="K91" s="163"/>
      <c r="L91" s="163"/>
      <c r="M91" s="163"/>
      <c r="N91" s="171"/>
      <c r="O91" s="171"/>
      <c r="P91" s="171"/>
      <c r="Q91" s="171"/>
      <c r="R91" s="171"/>
      <c r="S91" s="171"/>
      <c r="T91" s="171"/>
      <c r="U91" s="171"/>
    </row>
    <row r="92" spans="1:21" x14ac:dyDescent="0.25">
      <c r="A92" s="163"/>
      <c r="B92" s="163"/>
      <c r="C92" s="180"/>
      <c r="D92" s="163"/>
      <c r="E92" s="163"/>
      <c r="F92" s="163"/>
      <c r="G92" s="163"/>
      <c r="H92" s="163"/>
      <c r="I92" s="163"/>
      <c r="J92" s="163"/>
      <c r="K92" s="163"/>
      <c r="L92" s="163"/>
      <c r="M92" s="163"/>
      <c r="N92" s="171"/>
      <c r="O92" s="171"/>
      <c r="P92" s="171"/>
      <c r="Q92" s="171"/>
      <c r="R92" s="171"/>
      <c r="S92" s="171"/>
      <c r="T92" s="171"/>
      <c r="U92" s="171"/>
    </row>
    <row r="93" spans="1:21" x14ac:dyDescent="0.25">
      <c r="A93" s="163"/>
      <c r="B93" s="163"/>
      <c r="C93" s="180"/>
      <c r="D93" s="163"/>
      <c r="E93" s="163"/>
      <c r="F93" s="163"/>
      <c r="G93" s="163"/>
      <c r="H93" s="163"/>
      <c r="I93" s="163"/>
      <c r="J93" s="163"/>
      <c r="K93" s="163"/>
      <c r="L93" s="163"/>
      <c r="M93" s="163"/>
      <c r="N93" s="171"/>
      <c r="O93" s="171"/>
      <c r="P93" s="171"/>
      <c r="Q93" s="171"/>
      <c r="R93" s="171"/>
      <c r="S93" s="171"/>
      <c r="T93" s="171"/>
      <c r="U93" s="171"/>
    </row>
    <row r="94" spans="1:21" x14ac:dyDescent="0.25">
      <c r="A94" s="163"/>
      <c r="B94" s="163"/>
      <c r="C94" s="180"/>
      <c r="D94" s="163"/>
      <c r="E94" s="163"/>
      <c r="F94" s="163"/>
      <c r="G94" s="163"/>
      <c r="H94" s="163"/>
      <c r="I94" s="163"/>
      <c r="J94" s="163"/>
      <c r="K94" s="163"/>
      <c r="L94" s="163"/>
      <c r="M94" s="163"/>
      <c r="N94" s="171"/>
      <c r="O94" s="171"/>
      <c r="P94" s="171"/>
      <c r="Q94" s="171"/>
      <c r="R94" s="171"/>
      <c r="S94" s="171"/>
      <c r="T94" s="171"/>
      <c r="U94" s="171"/>
    </row>
    <row r="95" spans="1:21" x14ac:dyDescent="0.25">
      <c r="A95" s="163"/>
      <c r="B95" s="163"/>
      <c r="C95" s="180"/>
      <c r="D95" s="163"/>
      <c r="E95" s="163"/>
      <c r="F95" s="163"/>
      <c r="G95" s="163"/>
      <c r="H95" s="163"/>
      <c r="I95" s="163"/>
      <c r="J95" s="163"/>
      <c r="K95" s="163"/>
      <c r="L95" s="163"/>
      <c r="M95" s="163"/>
      <c r="N95" s="171"/>
      <c r="O95" s="171"/>
      <c r="P95" s="171"/>
      <c r="Q95" s="171"/>
      <c r="R95" s="171"/>
      <c r="S95" s="171"/>
      <c r="T95" s="171"/>
      <c r="U95" s="171"/>
    </row>
    <row r="96" spans="1:21" x14ac:dyDescent="0.25">
      <c r="A96" s="163"/>
      <c r="B96" s="163"/>
      <c r="C96" s="180"/>
      <c r="D96" s="163"/>
      <c r="E96" s="163"/>
      <c r="F96" s="163"/>
      <c r="G96" s="163"/>
      <c r="H96" s="163"/>
      <c r="I96" s="163"/>
      <c r="J96" s="163"/>
      <c r="K96" s="163"/>
      <c r="L96" s="163"/>
      <c r="M96" s="163"/>
      <c r="N96" s="171"/>
      <c r="O96" s="171"/>
      <c r="P96" s="171"/>
      <c r="Q96" s="171"/>
      <c r="R96" s="171"/>
      <c r="S96" s="171"/>
      <c r="T96" s="171"/>
      <c r="U96" s="171"/>
    </row>
    <row r="97" spans="1:21" x14ac:dyDescent="0.25">
      <c r="A97" s="163"/>
      <c r="B97" s="163"/>
      <c r="C97" s="180"/>
      <c r="D97" s="163"/>
      <c r="E97" s="163"/>
      <c r="F97" s="163"/>
      <c r="G97" s="163"/>
      <c r="H97" s="163"/>
      <c r="I97" s="163"/>
      <c r="J97" s="163"/>
      <c r="K97" s="163"/>
      <c r="L97" s="163"/>
      <c r="M97" s="163"/>
      <c r="N97" s="171"/>
      <c r="O97" s="171"/>
      <c r="P97" s="171"/>
      <c r="Q97" s="171"/>
      <c r="R97" s="171"/>
      <c r="S97" s="171"/>
      <c r="T97" s="171"/>
      <c r="U97" s="171"/>
    </row>
    <row r="98" spans="1:21" x14ac:dyDescent="0.25">
      <c r="A98" s="163"/>
      <c r="B98" s="163"/>
      <c r="C98" s="180"/>
      <c r="D98" s="163"/>
      <c r="E98" s="163"/>
      <c r="F98" s="163"/>
      <c r="G98" s="163"/>
      <c r="H98" s="163"/>
      <c r="I98" s="163"/>
      <c r="J98" s="163"/>
      <c r="K98" s="163"/>
      <c r="L98" s="163"/>
      <c r="M98" s="163"/>
      <c r="N98" s="171"/>
      <c r="O98" s="171"/>
      <c r="P98" s="171"/>
      <c r="Q98" s="171"/>
      <c r="R98" s="171"/>
      <c r="S98" s="171"/>
      <c r="T98" s="171"/>
      <c r="U98" s="171"/>
    </row>
    <row r="99" spans="1:21" x14ac:dyDescent="0.25">
      <c r="A99" s="163"/>
      <c r="B99" s="163"/>
      <c r="C99" s="180"/>
      <c r="D99" s="163"/>
      <c r="E99" s="163"/>
      <c r="F99" s="163"/>
      <c r="G99" s="163"/>
      <c r="H99" s="163"/>
      <c r="I99" s="163"/>
      <c r="J99" s="163"/>
      <c r="K99" s="163"/>
      <c r="L99" s="163"/>
      <c r="M99" s="163"/>
      <c r="N99" s="171"/>
      <c r="O99" s="171"/>
      <c r="P99" s="171"/>
      <c r="Q99" s="171"/>
      <c r="R99" s="171"/>
      <c r="S99" s="171"/>
      <c r="T99" s="171"/>
      <c r="U99" s="171"/>
    </row>
    <row r="100" spans="1:21" x14ac:dyDescent="0.25">
      <c r="A100" s="163"/>
      <c r="B100" s="163"/>
      <c r="C100" s="180"/>
      <c r="D100" s="163"/>
      <c r="E100" s="163"/>
      <c r="F100" s="163"/>
      <c r="G100" s="163"/>
      <c r="H100" s="163"/>
      <c r="I100" s="163"/>
      <c r="J100" s="163"/>
      <c r="K100" s="163"/>
      <c r="L100" s="163"/>
      <c r="M100" s="163"/>
      <c r="N100" s="171"/>
      <c r="O100" s="171"/>
      <c r="P100" s="171"/>
      <c r="Q100" s="171"/>
      <c r="R100" s="171"/>
      <c r="S100" s="171"/>
      <c r="T100" s="171"/>
      <c r="U100" s="171"/>
    </row>
    <row r="101" spans="1:21" x14ac:dyDescent="0.25">
      <c r="A101" s="163"/>
      <c r="B101" s="163"/>
      <c r="C101" s="180"/>
      <c r="D101" s="163"/>
      <c r="E101" s="163"/>
      <c r="F101" s="163"/>
      <c r="G101" s="163"/>
      <c r="H101" s="163"/>
      <c r="I101" s="163"/>
      <c r="J101" s="163"/>
      <c r="K101" s="163"/>
      <c r="L101" s="163"/>
      <c r="M101" s="163"/>
      <c r="N101" s="171"/>
      <c r="O101" s="171"/>
      <c r="P101" s="171"/>
      <c r="Q101" s="171"/>
      <c r="R101" s="171"/>
      <c r="S101" s="171"/>
      <c r="T101" s="171"/>
      <c r="U101" s="171"/>
    </row>
    <row r="102" spans="1:21" x14ac:dyDescent="0.25">
      <c r="A102" s="163"/>
      <c r="B102" s="163"/>
      <c r="C102" s="180"/>
      <c r="D102" s="163"/>
      <c r="E102" s="163"/>
      <c r="F102" s="163"/>
      <c r="G102" s="163"/>
      <c r="H102" s="163"/>
      <c r="I102" s="163"/>
      <c r="J102" s="163"/>
      <c r="K102" s="163"/>
      <c r="L102" s="163"/>
      <c r="M102" s="163"/>
      <c r="N102" s="171"/>
      <c r="O102" s="171"/>
      <c r="P102" s="171"/>
      <c r="Q102" s="171"/>
      <c r="R102" s="171"/>
      <c r="S102" s="171"/>
      <c r="T102" s="171"/>
      <c r="U102" s="171"/>
    </row>
    <row r="103" spans="1:21" x14ac:dyDescent="0.25">
      <c r="C103" s="180"/>
      <c r="D103" s="163"/>
      <c r="E103" s="163"/>
      <c r="F103" s="163"/>
      <c r="G103" s="163"/>
      <c r="H103" s="163"/>
      <c r="I103" s="163"/>
      <c r="J103" s="163"/>
      <c r="K103" s="163"/>
      <c r="L103" s="163"/>
      <c r="M103" s="163"/>
      <c r="N103" s="171"/>
    </row>
    <row r="104" spans="1:21" x14ac:dyDescent="0.25">
      <c r="C104" s="180"/>
      <c r="D104" s="163"/>
      <c r="E104" s="163"/>
      <c r="F104" s="163"/>
      <c r="G104" s="163"/>
      <c r="H104" s="163"/>
      <c r="I104" s="163"/>
      <c r="J104" s="163"/>
      <c r="K104" s="163"/>
      <c r="L104" s="163"/>
      <c r="M104" s="163"/>
      <c r="N104" s="171"/>
    </row>
    <row r="105" spans="1:21" x14ac:dyDescent="0.25">
      <c r="C105" s="180"/>
      <c r="D105" s="163"/>
      <c r="E105" s="163"/>
      <c r="F105" s="163"/>
      <c r="G105" s="163"/>
      <c r="H105" s="163"/>
      <c r="I105" s="163"/>
      <c r="J105" s="163"/>
      <c r="K105" s="163"/>
      <c r="L105" s="163"/>
      <c r="M105" s="163"/>
      <c r="N105" s="171"/>
    </row>
    <row r="106" spans="1:21" x14ac:dyDescent="0.25">
      <c r="C106" s="180"/>
      <c r="D106" s="163"/>
      <c r="E106" s="163"/>
      <c r="F106" s="163"/>
      <c r="G106" s="163"/>
      <c r="H106" s="163"/>
      <c r="I106" s="163"/>
      <c r="J106" s="163"/>
      <c r="K106" s="163"/>
      <c r="L106" s="163"/>
      <c r="M106" s="163"/>
      <c r="N106" s="171"/>
    </row>
  </sheetData>
  <mergeCells count="130">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32"/>
    <mergeCell ref="B9:B16"/>
    <mergeCell ref="C9:C10"/>
    <mergeCell ref="D9:D10"/>
    <mergeCell ref="E9:E10"/>
    <mergeCell ref="T9:T16"/>
    <mergeCell ref="C13:C14"/>
    <mergeCell ref="D13:D14"/>
    <mergeCell ref="E13:E14"/>
    <mergeCell ref="B17:B24"/>
    <mergeCell ref="U13:U14"/>
    <mergeCell ref="V13:V14"/>
    <mergeCell ref="C15:C16"/>
    <mergeCell ref="D15:D16"/>
    <mergeCell ref="E15:E16"/>
    <mergeCell ref="U15:U16"/>
    <mergeCell ref="V15:V16"/>
    <mergeCell ref="U9:U10"/>
    <mergeCell ref="V9:V10"/>
    <mergeCell ref="C11:C12"/>
    <mergeCell ref="D11:D12"/>
    <mergeCell ref="E11:E12"/>
    <mergeCell ref="U11:U12"/>
    <mergeCell ref="V11:V12"/>
    <mergeCell ref="C17:C18"/>
    <mergeCell ref="D17:D18"/>
    <mergeCell ref="E17:E18"/>
    <mergeCell ref="T17:T24"/>
    <mergeCell ref="U17:U18"/>
    <mergeCell ref="V17:V18"/>
    <mergeCell ref="C19:C20"/>
    <mergeCell ref="D19:D20"/>
    <mergeCell ref="E19:E20"/>
    <mergeCell ref="U19:U20"/>
    <mergeCell ref="B25:B32"/>
    <mergeCell ref="C25:C26"/>
    <mergeCell ref="D25:D26"/>
    <mergeCell ref="E25:E26"/>
    <mergeCell ref="T25:T32"/>
    <mergeCell ref="V19:V20"/>
    <mergeCell ref="C21:C22"/>
    <mergeCell ref="D21:D22"/>
    <mergeCell ref="E21:E22"/>
    <mergeCell ref="U21:U22"/>
    <mergeCell ref="V21:V22"/>
    <mergeCell ref="U25:U26"/>
    <mergeCell ref="V25:V26"/>
    <mergeCell ref="C27:C28"/>
    <mergeCell ref="D27:D28"/>
    <mergeCell ref="E27:E28"/>
    <mergeCell ref="U27:U28"/>
    <mergeCell ref="V27:V28"/>
    <mergeCell ref="C23:C24"/>
    <mergeCell ref="D23:D24"/>
    <mergeCell ref="E23:E24"/>
    <mergeCell ref="U23:U24"/>
    <mergeCell ref="V23:V24"/>
    <mergeCell ref="C29:C30"/>
    <mergeCell ref="D29:D30"/>
    <mergeCell ref="E29:E30"/>
    <mergeCell ref="U29:U30"/>
    <mergeCell ref="V29:V30"/>
    <mergeCell ref="C31:C32"/>
    <mergeCell ref="D31:D32"/>
    <mergeCell ref="E31:E32"/>
    <mergeCell ref="U31:U32"/>
    <mergeCell ref="V31:V32"/>
    <mergeCell ref="U33:U34"/>
    <mergeCell ref="V33:V34"/>
    <mergeCell ref="C35:C36"/>
    <mergeCell ref="D35:D36"/>
    <mergeCell ref="E35:E36"/>
    <mergeCell ref="U35:U36"/>
    <mergeCell ref="V35:V36"/>
    <mergeCell ref="C33:C34"/>
    <mergeCell ref="D33:D34"/>
    <mergeCell ref="E33:E34"/>
    <mergeCell ref="T33:T40"/>
    <mergeCell ref="C37:C38"/>
    <mergeCell ref="D37:D38"/>
    <mergeCell ref="E37:E38"/>
    <mergeCell ref="E43:E44"/>
    <mergeCell ref="U43:U44"/>
    <mergeCell ref="U37:U38"/>
    <mergeCell ref="V37:V38"/>
    <mergeCell ref="C39:C40"/>
    <mergeCell ref="D39:D40"/>
    <mergeCell ref="E39:E40"/>
    <mergeCell ref="U39:U40"/>
    <mergeCell ref="V39:V40"/>
    <mergeCell ref="A47:S47"/>
    <mergeCell ref="C51:I51"/>
    <mergeCell ref="J51:P51"/>
    <mergeCell ref="C52:I52"/>
    <mergeCell ref="J52:P52"/>
    <mergeCell ref="C53:I53"/>
    <mergeCell ref="J53:P53"/>
    <mergeCell ref="V43:V44"/>
    <mergeCell ref="C45:C46"/>
    <mergeCell ref="D45:D46"/>
    <mergeCell ref="E45:E46"/>
    <mergeCell ref="U45:U46"/>
    <mergeCell ref="V45:V46"/>
    <mergeCell ref="A33:A46"/>
    <mergeCell ref="B33:B40"/>
    <mergeCell ref="B41:B46"/>
    <mergeCell ref="C41:C42"/>
    <mergeCell ref="D41:D42"/>
    <mergeCell ref="E41:E42"/>
    <mergeCell ref="T41:T46"/>
    <mergeCell ref="U41:U42"/>
    <mergeCell ref="V41:V42"/>
    <mergeCell ref="C43:C44"/>
    <mergeCell ref="D43:D44"/>
  </mergeCells>
  <printOptions horizontalCentered="1" verticalCentered="1"/>
  <pageMargins left="0" right="0" top="0.55118110236220508" bottom="0" header="0.31496062992126012" footer="0"/>
  <pageSetup scale="35" fitToWidth="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838"/>
  <sheetViews>
    <sheetView zoomScale="57" zoomScaleNormal="57" workbookViewId="0">
      <selection sqref="A1:D3"/>
    </sheetView>
  </sheetViews>
  <sheetFormatPr baseColWidth="10" defaultRowHeight="15" x14ac:dyDescent="0.25"/>
  <cols>
    <col min="1" max="1" width="8.42578125" style="377" customWidth="1"/>
    <col min="2" max="2" width="18.140625" style="377" customWidth="1"/>
    <col min="3" max="3" width="18.42578125" style="377" customWidth="1"/>
    <col min="4" max="4" width="11.42578125" style="377" customWidth="1"/>
    <col min="5" max="5" width="6.7109375" style="377" customWidth="1"/>
    <col min="6" max="6" width="19.7109375" style="75" bestFit="1" customWidth="1"/>
    <col min="7" max="7" width="17.42578125" style="377" bestFit="1" customWidth="1"/>
    <col min="8" max="12" width="19.7109375" style="377" bestFit="1" customWidth="1"/>
    <col min="13" max="13" width="19.7109375" style="247" bestFit="1" customWidth="1"/>
    <col min="14" max="14" width="19.7109375" style="377" bestFit="1" customWidth="1"/>
    <col min="15" max="17" width="19.42578125" style="377" bestFit="1" customWidth="1"/>
    <col min="18" max="18" width="24.85546875" style="377" customWidth="1"/>
    <col min="19" max="19" width="39.5703125" style="377" customWidth="1"/>
    <col min="20" max="20" width="15" style="377" bestFit="1" customWidth="1"/>
    <col min="21" max="21" width="17" style="377" bestFit="1" customWidth="1"/>
    <col min="22" max="22" width="16.7109375" style="377" bestFit="1" customWidth="1"/>
    <col min="23" max="23" width="17" style="377" bestFit="1" customWidth="1"/>
    <col min="24" max="24" width="16.7109375" style="188" bestFit="1" customWidth="1"/>
    <col min="25" max="25" width="17" style="188" bestFit="1" customWidth="1"/>
    <col min="26" max="26" width="17" style="377" bestFit="1" customWidth="1"/>
    <col min="27" max="29" width="16.7109375" style="377" bestFit="1" customWidth="1"/>
    <col min="30" max="30" width="17" style="498" bestFit="1" customWidth="1"/>
    <col min="31" max="31" width="25.7109375" style="377" customWidth="1"/>
    <col min="32" max="32" width="53.5703125" style="377" customWidth="1"/>
    <col min="33" max="33" width="10.140625" style="377" customWidth="1"/>
    <col min="34" max="34" width="11.140625" style="377" customWidth="1"/>
    <col min="35" max="35" width="17.140625" style="377" customWidth="1"/>
    <col min="36" max="36" width="23.7109375" style="377" customWidth="1"/>
    <col min="37" max="37" width="26.7109375" style="377" customWidth="1"/>
    <col min="38" max="38" width="21.42578125" style="377" customWidth="1"/>
    <col min="39" max="39" width="21.85546875" style="377" customWidth="1"/>
    <col min="40" max="40" width="18.85546875" style="377" customWidth="1"/>
    <col min="41" max="41" width="15.42578125" style="377" customWidth="1"/>
    <col min="42" max="49" width="11.42578125" style="377"/>
    <col min="50" max="50" width="14.85546875" style="377" customWidth="1"/>
    <col min="51" max="51" width="15.85546875" style="377" customWidth="1"/>
    <col min="52" max="52" width="17.7109375" style="377" customWidth="1"/>
    <col min="53" max="257" width="11.42578125" style="377"/>
    <col min="258" max="258" width="23" style="377" customWidth="1"/>
    <col min="259" max="259" width="11.42578125" style="377"/>
    <col min="260" max="260" width="11.42578125" style="377" customWidth="1"/>
    <col min="261" max="261" width="21" style="377" customWidth="1"/>
    <col min="262" max="262" width="24.42578125" style="377" customWidth="1"/>
    <col min="263" max="266" width="17.85546875" style="377" customWidth="1"/>
    <col min="267" max="267" width="21.7109375" style="377" customWidth="1"/>
    <col min="268" max="268" width="26.85546875" style="377" customWidth="1"/>
    <col min="269" max="269" width="24.85546875" style="377" customWidth="1"/>
    <col min="270" max="274" width="5.85546875" style="377" bestFit="1" customWidth="1"/>
    <col min="275" max="275" width="30.28515625" style="377" customWidth="1"/>
    <col min="276" max="279" width="18.42578125" style="377" customWidth="1"/>
    <col min="280" max="280" width="21.28515625" style="377" customWidth="1"/>
    <col min="281" max="281" width="19.42578125" style="377" customWidth="1"/>
    <col min="282" max="282" width="25.85546875" style="377" customWidth="1"/>
    <col min="283" max="286" width="5.85546875" style="377" bestFit="1" customWidth="1"/>
    <col min="287" max="287" width="8.28515625" style="377" customWidth="1"/>
    <col min="288" max="289" width="30.140625" style="377" customWidth="1"/>
    <col min="290" max="290" width="18.7109375" style="377" customWidth="1"/>
    <col min="291" max="291" width="20.140625" style="377" customWidth="1"/>
    <col min="292" max="292" width="31.28515625" style="377" customWidth="1"/>
    <col min="293" max="293" width="26.7109375" style="377" customWidth="1"/>
    <col min="294" max="294" width="21.42578125" style="377" customWidth="1"/>
    <col min="295" max="295" width="21.85546875" style="377" customWidth="1"/>
    <col min="296" max="296" width="18.85546875" style="377" customWidth="1"/>
    <col min="297" max="297" width="15.42578125" style="377" customWidth="1"/>
    <col min="298" max="305" width="11.42578125" style="377"/>
    <col min="306" max="306" width="14.85546875" style="377" customWidth="1"/>
    <col min="307" max="307" width="15.85546875" style="377" customWidth="1"/>
    <col min="308" max="308" width="17.7109375" style="377" customWidth="1"/>
    <col min="309" max="513" width="11.42578125" style="377"/>
    <col min="514" max="514" width="23" style="377" customWidth="1"/>
    <col min="515" max="515" width="11.42578125" style="377"/>
    <col min="516" max="516" width="11.42578125" style="377" customWidth="1"/>
    <col min="517" max="517" width="21" style="377" customWidth="1"/>
    <col min="518" max="518" width="24.42578125" style="377" customWidth="1"/>
    <col min="519" max="522" width="17.85546875" style="377" customWidth="1"/>
    <col min="523" max="523" width="21.7109375" style="377" customWidth="1"/>
    <col min="524" max="524" width="26.85546875" style="377" customWidth="1"/>
    <col min="525" max="525" width="24.85546875" style="377" customWidth="1"/>
    <col min="526" max="530" width="5.85546875" style="377" bestFit="1" customWidth="1"/>
    <col min="531" max="531" width="30.28515625" style="377" customWidth="1"/>
    <col min="532" max="535" width="18.42578125" style="377" customWidth="1"/>
    <col min="536" max="536" width="21.28515625" style="377" customWidth="1"/>
    <col min="537" max="537" width="19.42578125" style="377" customWidth="1"/>
    <col min="538" max="538" width="25.85546875" style="377" customWidth="1"/>
    <col min="539" max="542" width="5.85546875" style="377" bestFit="1" customWidth="1"/>
    <col min="543" max="543" width="8.28515625" style="377" customWidth="1"/>
    <col min="544" max="545" width="30.140625" style="377" customWidth="1"/>
    <col min="546" max="546" width="18.7109375" style="377" customWidth="1"/>
    <col min="547" max="547" width="20.140625" style="377" customWidth="1"/>
    <col min="548" max="548" width="31.28515625" style="377" customWidth="1"/>
    <col min="549" max="549" width="26.7109375" style="377" customWidth="1"/>
    <col min="550" max="550" width="21.42578125" style="377" customWidth="1"/>
    <col min="551" max="551" width="21.85546875" style="377" customWidth="1"/>
    <col min="552" max="552" width="18.85546875" style="377" customWidth="1"/>
    <col min="553" max="553" width="15.42578125" style="377" customWidth="1"/>
    <col min="554" max="561" width="11.42578125" style="377"/>
    <col min="562" max="562" width="14.85546875" style="377" customWidth="1"/>
    <col min="563" max="563" width="15.85546875" style="377" customWidth="1"/>
    <col min="564" max="564" width="17.7109375" style="377" customWidth="1"/>
    <col min="565" max="769" width="11.42578125" style="377"/>
    <col min="770" max="770" width="23" style="377" customWidth="1"/>
    <col min="771" max="771" width="11.42578125" style="377"/>
    <col min="772" max="772" width="11.42578125" style="377" customWidth="1"/>
    <col min="773" max="773" width="21" style="377" customWidth="1"/>
    <col min="774" max="774" width="24.42578125" style="377" customWidth="1"/>
    <col min="775" max="778" width="17.85546875" style="377" customWidth="1"/>
    <col min="779" max="779" width="21.7109375" style="377" customWidth="1"/>
    <col min="780" max="780" width="26.85546875" style="377" customWidth="1"/>
    <col min="781" max="781" width="24.85546875" style="377" customWidth="1"/>
    <col min="782" max="786" width="5.85546875" style="377" bestFit="1" customWidth="1"/>
    <col min="787" max="787" width="30.28515625" style="377" customWidth="1"/>
    <col min="788" max="791" width="18.42578125" style="377" customWidth="1"/>
    <col min="792" max="792" width="21.28515625" style="377" customWidth="1"/>
    <col min="793" max="793" width="19.42578125" style="377" customWidth="1"/>
    <col min="794" max="794" width="25.85546875" style="377" customWidth="1"/>
    <col min="795" max="798" width="5.85546875" style="377" bestFit="1" customWidth="1"/>
    <col min="799" max="799" width="8.28515625" style="377" customWidth="1"/>
    <col min="800" max="801" width="30.140625" style="377" customWidth="1"/>
    <col min="802" max="802" width="18.7109375" style="377" customWidth="1"/>
    <col min="803" max="803" width="20.140625" style="377" customWidth="1"/>
    <col min="804" max="804" width="31.28515625" style="377" customWidth="1"/>
    <col min="805" max="805" width="26.7109375" style="377" customWidth="1"/>
    <col min="806" max="806" width="21.42578125" style="377" customWidth="1"/>
    <col min="807" max="807" width="21.85546875" style="377" customWidth="1"/>
    <col min="808" max="808" width="18.85546875" style="377" customWidth="1"/>
    <col min="809" max="809" width="15.42578125" style="377" customWidth="1"/>
    <col min="810" max="817" width="11.42578125" style="377"/>
    <col min="818" max="818" width="14.85546875" style="377" customWidth="1"/>
    <col min="819" max="819" width="15.85546875" style="377" customWidth="1"/>
    <col min="820" max="820" width="17.7109375" style="377" customWidth="1"/>
    <col min="821" max="1025" width="11.42578125" style="377"/>
    <col min="1026" max="1026" width="23" style="377" customWidth="1"/>
    <col min="1027" max="1027" width="11.42578125" style="377"/>
    <col min="1028" max="1028" width="11.42578125" style="377" customWidth="1"/>
    <col min="1029" max="1029" width="21" style="377" customWidth="1"/>
    <col min="1030" max="1030" width="24.42578125" style="377" customWidth="1"/>
    <col min="1031" max="1034" width="17.85546875" style="377" customWidth="1"/>
    <col min="1035" max="1035" width="21.7109375" style="377" customWidth="1"/>
    <col min="1036" max="1036" width="26.85546875" style="377" customWidth="1"/>
    <col min="1037" max="1037" width="24.85546875" style="377" customWidth="1"/>
    <col min="1038" max="1042" width="5.85546875" style="377" bestFit="1" customWidth="1"/>
    <col min="1043" max="1043" width="30.28515625" style="377" customWidth="1"/>
    <col min="1044" max="1047" width="18.42578125" style="377" customWidth="1"/>
    <col min="1048" max="1048" width="21.28515625" style="377" customWidth="1"/>
    <col min="1049" max="1049" width="19.42578125" style="377" customWidth="1"/>
    <col min="1050" max="1050" width="25.85546875" style="377" customWidth="1"/>
    <col min="1051" max="1054" width="5.85546875" style="377" bestFit="1" customWidth="1"/>
    <col min="1055" max="1055" width="8.28515625" style="377" customWidth="1"/>
    <col min="1056" max="1057" width="30.140625" style="377" customWidth="1"/>
    <col min="1058" max="1058" width="18.7109375" style="377" customWidth="1"/>
    <col min="1059" max="1059" width="20.140625" style="377" customWidth="1"/>
    <col min="1060" max="1060" width="31.28515625" style="377" customWidth="1"/>
    <col min="1061" max="1061" width="26.7109375" style="377" customWidth="1"/>
    <col min="1062" max="1062" width="21.42578125" style="377" customWidth="1"/>
    <col min="1063" max="1063" width="21.85546875" style="377" customWidth="1"/>
    <col min="1064" max="1064" width="18.85546875" style="377" customWidth="1"/>
    <col min="1065" max="1065" width="15.42578125" style="377" customWidth="1"/>
    <col min="1066" max="1073" width="11.42578125" style="377"/>
    <col min="1074" max="1074" width="14.85546875" style="377" customWidth="1"/>
    <col min="1075" max="1075" width="15.85546875" style="377" customWidth="1"/>
    <col min="1076" max="1076" width="17.7109375" style="377" customWidth="1"/>
    <col min="1077" max="1281" width="11.42578125" style="377"/>
    <col min="1282" max="1282" width="23" style="377" customWidth="1"/>
    <col min="1283" max="1283" width="11.42578125" style="377"/>
    <col min="1284" max="1284" width="11.42578125" style="377" customWidth="1"/>
    <col min="1285" max="1285" width="21" style="377" customWidth="1"/>
    <col min="1286" max="1286" width="24.42578125" style="377" customWidth="1"/>
    <col min="1287" max="1290" width="17.85546875" style="377" customWidth="1"/>
    <col min="1291" max="1291" width="21.7109375" style="377" customWidth="1"/>
    <col min="1292" max="1292" width="26.85546875" style="377" customWidth="1"/>
    <col min="1293" max="1293" width="24.85546875" style="377" customWidth="1"/>
    <col min="1294" max="1298" width="5.85546875" style="377" bestFit="1" customWidth="1"/>
    <col min="1299" max="1299" width="30.28515625" style="377" customWidth="1"/>
    <col min="1300" max="1303" width="18.42578125" style="377" customWidth="1"/>
    <col min="1304" max="1304" width="21.28515625" style="377" customWidth="1"/>
    <col min="1305" max="1305" width="19.42578125" style="377" customWidth="1"/>
    <col min="1306" max="1306" width="25.85546875" style="377" customWidth="1"/>
    <col min="1307" max="1310" width="5.85546875" style="377" bestFit="1" customWidth="1"/>
    <col min="1311" max="1311" width="8.28515625" style="377" customWidth="1"/>
    <col min="1312" max="1313" width="30.140625" style="377" customWidth="1"/>
    <col min="1314" max="1314" width="18.7109375" style="377" customWidth="1"/>
    <col min="1315" max="1315" width="20.140625" style="377" customWidth="1"/>
    <col min="1316" max="1316" width="31.28515625" style="377" customWidth="1"/>
    <col min="1317" max="1317" width="26.7109375" style="377" customWidth="1"/>
    <col min="1318" max="1318" width="21.42578125" style="377" customWidth="1"/>
    <col min="1319" max="1319" width="21.85546875" style="377" customWidth="1"/>
    <col min="1320" max="1320" width="18.85546875" style="377" customWidth="1"/>
    <col min="1321" max="1321" width="15.42578125" style="377" customWidth="1"/>
    <col min="1322" max="1329" width="11.42578125" style="377"/>
    <col min="1330" max="1330" width="14.85546875" style="377" customWidth="1"/>
    <col min="1331" max="1331" width="15.85546875" style="377" customWidth="1"/>
    <col min="1332" max="1332" width="17.7109375" style="377" customWidth="1"/>
    <col min="1333" max="1537" width="11.42578125" style="377"/>
    <col min="1538" max="1538" width="23" style="377" customWidth="1"/>
    <col min="1539" max="1539" width="11.42578125" style="377"/>
    <col min="1540" max="1540" width="11.42578125" style="377" customWidth="1"/>
    <col min="1541" max="1541" width="21" style="377" customWidth="1"/>
    <col min="1542" max="1542" width="24.42578125" style="377" customWidth="1"/>
    <col min="1543" max="1546" width="17.85546875" style="377" customWidth="1"/>
    <col min="1547" max="1547" width="21.7109375" style="377" customWidth="1"/>
    <col min="1548" max="1548" width="26.85546875" style="377" customWidth="1"/>
    <col min="1549" max="1549" width="24.85546875" style="377" customWidth="1"/>
    <col min="1550" max="1554" width="5.85546875" style="377" bestFit="1" customWidth="1"/>
    <col min="1555" max="1555" width="30.28515625" style="377" customWidth="1"/>
    <col min="1556" max="1559" width="18.42578125" style="377" customWidth="1"/>
    <col min="1560" max="1560" width="21.28515625" style="377" customWidth="1"/>
    <col min="1561" max="1561" width="19.42578125" style="377" customWidth="1"/>
    <col min="1562" max="1562" width="25.85546875" style="377" customWidth="1"/>
    <col min="1563" max="1566" width="5.85546875" style="377" bestFit="1" customWidth="1"/>
    <col min="1567" max="1567" width="8.28515625" style="377" customWidth="1"/>
    <col min="1568" max="1569" width="30.140625" style="377" customWidth="1"/>
    <col min="1570" max="1570" width="18.7109375" style="377" customWidth="1"/>
    <col min="1571" max="1571" width="20.140625" style="377" customWidth="1"/>
    <col min="1572" max="1572" width="31.28515625" style="377" customWidth="1"/>
    <col min="1573" max="1573" width="26.7109375" style="377" customWidth="1"/>
    <col min="1574" max="1574" width="21.42578125" style="377" customWidth="1"/>
    <col min="1575" max="1575" width="21.85546875" style="377" customWidth="1"/>
    <col min="1576" max="1576" width="18.85546875" style="377" customWidth="1"/>
    <col min="1577" max="1577" width="15.42578125" style="377" customWidth="1"/>
    <col min="1578" max="1585" width="11.42578125" style="377"/>
    <col min="1586" max="1586" width="14.85546875" style="377" customWidth="1"/>
    <col min="1587" max="1587" width="15.85546875" style="377" customWidth="1"/>
    <col min="1588" max="1588" width="17.7109375" style="377" customWidth="1"/>
    <col min="1589" max="1793" width="11.42578125" style="377"/>
    <col min="1794" max="1794" width="23" style="377" customWidth="1"/>
    <col min="1795" max="1795" width="11.42578125" style="377"/>
    <col min="1796" max="1796" width="11.42578125" style="377" customWidth="1"/>
    <col min="1797" max="1797" width="21" style="377" customWidth="1"/>
    <col min="1798" max="1798" width="24.42578125" style="377" customWidth="1"/>
    <col min="1799" max="1802" width="17.85546875" style="377" customWidth="1"/>
    <col min="1803" max="1803" width="21.7109375" style="377" customWidth="1"/>
    <col min="1804" max="1804" width="26.85546875" style="377" customWidth="1"/>
    <col min="1805" max="1805" width="24.85546875" style="377" customWidth="1"/>
    <col min="1806" max="1810" width="5.85546875" style="377" bestFit="1" customWidth="1"/>
    <col min="1811" max="1811" width="30.28515625" style="377" customWidth="1"/>
    <col min="1812" max="1815" width="18.42578125" style="377" customWidth="1"/>
    <col min="1816" max="1816" width="21.28515625" style="377" customWidth="1"/>
    <col min="1817" max="1817" width="19.42578125" style="377" customWidth="1"/>
    <col min="1818" max="1818" width="25.85546875" style="377" customWidth="1"/>
    <col min="1819" max="1822" width="5.85546875" style="377" bestFit="1" customWidth="1"/>
    <col min="1823" max="1823" width="8.28515625" style="377" customWidth="1"/>
    <col min="1824" max="1825" width="30.140625" style="377" customWidth="1"/>
    <col min="1826" max="1826" width="18.7109375" style="377" customWidth="1"/>
    <col min="1827" max="1827" width="20.140625" style="377" customWidth="1"/>
    <col min="1828" max="1828" width="31.28515625" style="377" customWidth="1"/>
    <col min="1829" max="1829" width="26.7109375" style="377" customWidth="1"/>
    <col min="1830" max="1830" width="21.42578125" style="377" customWidth="1"/>
    <col min="1831" max="1831" width="21.85546875" style="377" customWidth="1"/>
    <col min="1832" max="1832" width="18.85546875" style="377" customWidth="1"/>
    <col min="1833" max="1833" width="15.42578125" style="377" customWidth="1"/>
    <col min="1834" max="1841" width="11.42578125" style="377"/>
    <col min="1842" max="1842" width="14.85546875" style="377" customWidth="1"/>
    <col min="1843" max="1843" width="15.85546875" style="377" customWidth="1"/>
    <col min="1844" max="1844" width="17.7109375" style="377" customWidth="1"/>
    <col min="1845" max="2049" width="11.42578125" style="377"/>
    <col min="2050" max="2050" width="23" style="377" customWidth="1"/>
    <col min="2051" max="2051" width="11.42578125" style="377"/>
    <col min="2052" max="2052" width="11.42578125" style="377" customWidth="1"/>
    <col min="2053" max="2053" width="21" style="377" customWidth="1"/>
    <col min="2054" max="2054" width="24.42578125" style="377" customWidth="1"/>
    <col min="2055" max="2058" width="17.85546875" style="377" customWidth="1"/>
    <col min="2059" max="2059" width="21.7109375" style="377" customWidth="1"/>
    <col min="2060" max="2060" width="26.85546875" style="377" customWidth="1"/>
    <col min="2061" max="2061" width="24.85546875" style="377" customWidth="1"/>
    <col min="2062" max="2066" width="5.85546875" style="377" bestFit="1" customWidth="1"/>
    <col min="2067" max="2067" width="30.28515625" style="377" customWidth="1"/>
    <col min="2068" max="2071" width="18.42578125" style="377" customWidth="1"/>
    <col min="2072" max="2072" width="21.28515625" style="377" customWidth="1"/>
    <col min="2073" max="2073" width="19.42578125" style="377" customWidth="1"/>
    <col min="2074" max="2074" width="25.85546875" style="377" customWidth="1"/>
    <col min="2075" max="2078" width="5.85546875" style="377" bestFit="1" customWidth="1"/>
    <col min="2079" max="2079" width="8.28515625" style="377" customWidth="1"/>
    <col min="2080" max="2081" width="30.140625" style="377" customWidth="1"/>
    <col min="2082" max="2082" width="18.7109375" style="377" customWidth="1"/>
    <col min="2083" max="2083" width="20.140625" style="377" customWidth="1"/>
    <col min="2084" max="2084" width="31.28515625" style="377" customWidth="1"/>
    <col min="2085" max="2085" width="26.7109375" style="377" customWidth="1"/>
    <col min="2086" max="2086" width="21.42578125" style="377" customWidth="1"/>
    <col min="2087" max="2087" width="21.85546875" style="377" customWidth="1"/>
    <col min="2088" max="2088" width="18.85546875" style="377" customWidth="1"/>
    <col min="2089" max="2089" width="15.42578125" style="377" customWidth="1"/>
    <col min="2090" max="2097" width="11.42578125" style="377"/>
    <col min="2098" max="2098" width="14.85546875" style="377" customWidth="1"/>
    <col min="2099" max="2099" width="15.85546875" style="377" customWidth="1"/>
    <col min="2100" max="2100" width="17.7109375" style="377" customWidth="1"/>
    <col min="2101" max="2305" width="11.42578125" style="377"/>
    <col min="2306" max="2306" width="23" style="377" customWidth="1"/>
    <col min="2307" max="2307" width="11.42578125" style="377"/>
    <col min="2308" max="2308" width="11.42578125" style="377" customWidth="1"/>
    <col min="2309" max="2309" width="21" style="377" customWidth="1"/>
    <col min="2310" max="2310" width="24.42578125" style="377" customWidth="1"/>
    <col min="2311" max="2314" width="17.85546875" style="377" customWidth="1"/>
    <col min="2315" max="2315" width="21.7109375" style="377" customWidth="1"/>
    <col min="2316" max="2316" width="26.85546875" style="377" customWidth="1"/>
    <col min="2317" max="2317" width="24.85546875" style="377" customWidth="1"/>
    <col min="2318" max="2322" width="5.85546875" style="377" bestFit="1" customWidth="1"/>
    <col min="2323" max="2323" width="30.28515625" style="377" customWidth="1"/>
    <col min="2324" max="2327" width="18.42578125" style="377" customWidth="1"/>
    <col min="2328" max="2328" width="21.28515625" style="377" customWidth="1"/>
    <col min="2329" max="2329" width="19.42578125" style="377" customWidth="1"/>
    <col min="2330" max="2330" width="25.85546875" style="377" customWidth="1"/>
    <col min="2331" max="2334" width="5.85546875" style="377" bestFit="1" customWidth="1"/>
    <col min="2335" max="2335" width="8.28515625" style="377" customWidth="1"/>
    <col min="2336" max="2337" width="30.140625" style="377" customWidth="1"/>
    <col min="2338" max="2338" width="18.7109375" style="377" customWidth="1"/>
    <col min="2339" max="2339" width="20.140625" style="377" customWidth="1"/>
    <col min="2340" max="2340" width="31.28515625" style="377" customWidth="1"/>
    <col min="2341" max="2341" width="26.7109375" style="377" customWidth="1"/>
    <col min="2342" max="2342" width="21.42578125" style="377" customWidth="1"/>
    <col min="2343" max="2343" width="21.85546875" style="377" customWidth="1"/>
    <col min="2344" max="2344" width="18.85546875" style="377" customWidth="1"/>
    <col min="2345" max="2345" width="15.42578125" style="377" customWidth="1"/>
    <col min="2346" max="2353" width="11.42578125" style="377"/>
    <col min="2354" max="2354" width="14.85546875" style="377" customWidth="1"/>
    <col min="2355" max="2355" width="15.85546875" style="377" customWidth="1"/>
    <col min="2356" max="2356" width="17.7109375" style="377" customWidth="1"/>
    <col min="2357" max="2561" width="11.42578125" style="377"/>
    <col min="2562" max="2562" width="23" style="377" customWidth="1"/>
    <col min="2563" max="2563" width="11.42578125" style="377"/>
    <col min="2564" max="2564" width="11.42578125" style="377" customWidth="1"/>
    <col min="2565" max="2565" width="21" style="377" customWidth="1"/>
    <col min="2566" max="2566" width="24.42578125" style="377" customWidth="1"/>
    <col min="2567" max="2570" width="17.85546875" style="377" customWidth="1"/>
    <col min="2571" max="2571" width="21.7109375" style="377" customWidth="1"/>
    <col min="2572" max="2572" width="26.85546875" style="377" customWidth="1"/>
    <col min="2573" max="2573" width="24.85546875" style="377" customWidth="1"/>
    <col min="2574" max="2578" width="5.85546875" style="377" bestFit="1" customWidth="1"/>
    <col min="2579" max="2579" width="30.28515625" style="377" customWidth="1"/>
    <col min="2580" max="2583" width="18.42578125" style="377" customWidth="1"/>
    <col min="2584" max="2584" width="21.28515625" style="377" customWidth="1"/>
    <col min="2585" max="2585" width="19.42578125" style="377" customWidth="1"/>
    <col min="2586" max="2586" width="25.85546875" style="377" customWidth="1"/>
    <col min="2587" max="2590" width="5.85546875" style="377" bestFit="1" customWidth="1"/>
    <col min="2591" max="2591" width="8.28515625" style="377" customWidth="1"/>
    <col min="2592" max="2593" width="30.140625" style="377" customWidth="1"/>
    <col min="2594" max="2594" width="18.7109375" style="377" customWidth="1"/>
    <col min="2595" max="2595" width="20.140625" style="377" customWidth="1"/>
    <col min="2596" max="2596" width="31.28515625" style="377" customWidth="1"/>
    <col min="2597" max="2597" width="26.7109375" style="377" customWidth="1"/>
    <col min="2598" max="2598" width="21.42578125" style="377" customWidth="1"/>
    <col min="2599" max="2599" width="21.85546875" style="377" customWidth="1"/>
    <col min="2600" max="2600" width="18.85546875" style="377" customWidth="1"/>
    <col min="2601" max="2601" width="15.42578125" style="377" customWidth="1"/>
    <col min="2602" max="2609" width="11.42578125" style="377"/>
    <col min="2610" max="2610" width="14.85546875" style="377" customWidth="1"/>
    <col min="2611" max="2611" width="15.85546875" style="377" customWidth="1"/>
    <col min="2612" max="2612" width="17.7109375" style="377" customWidth="1"/>
    <col min="2613" max="2817" width="11.42578125" style="377"/>
    <col min="2818" max="2818" width="23" style="377" customWidth="1"/>
    <col min="2819" max="2819" width="11.42578125" style="377"/>
    <col min="2820" max="2820" width="11.42578125" style="377" customWidth="1"/>
    <col min="2821" max="2821" width="21" style="377" customWidth="1"/>
    <col min="2822" max="2822" width="24.42578125" style="377" customWidth="1"/>
    <col min="2823" max="2826" width="17.85546875" style="377" customWidth="1"/>
    <col min="2827" max="2827" width="21.7109375" style="377" customWidth="1"/>
    <col min="2828" max="2828" width="26.85546875" style="377" customWidth="1"/>
    <col min="2829" max="2829" width="24.85546875" style="377" customWidth="1"/>
    <col min="2830" max="2834" width="5.85546875" style="377" bestFit="1" customWidth="1"/>
    <col min="2835" max="2835" width="30.28515625" style="377" customWidth="1"/>
    <col min="2836" max="2839" width="18.42578125" style="377" customWidth="1"/>
    <col min="2840" max="2840" width="21.28515625" style="377" customWidth="1"/>
    <col min="2841" max="2841" width="19.42578125" style="377" customWidth="1"/>
    <col min="2842" max="2842" width="25.85546875" style="377" customWidth="1"/>
    <col min="2843" max="2846" width="5.85546875" style="377" bestFit="1" customWidth="1"/>
    <col min="2847" max="2847" width="8.28515625" style="377" customWidth="1"/>
    <col min="2848" max="2849" width="30.140625" style="377" customWidth="1"/>
    <col min="2850" max="2850" width="18.7109375" style="377" customWidth="1"/>
    <col min="2851" max="2851" width="20.140625" style="377" customWidth="1"/>
    <col min="2852" max="2852" width="31.28515625" style="377" customWidth="1"/>
    <col min="2853" max="2853" width="26.7109375" style="377" customWidth="1"/>
    <col min="2854" max="2854" width="21.42578125" style="377" customWidth="1"/>
    <col min="2855" max="2855" width="21.85546875" style="377" customWidth="1"/>
    <col min="2856" max="2856" width="18.85546875" style="377" customWidth="1"/>
    <col min="2857" max="2857" width="15.42578125" style="377" customWidth="1"/>
    <col min="2858" max="2865" width="11.42578125" style="377"/>
    <col min="2866" max="2866" width="14.85546875" style="377" customWidth="1"/>
    <col min="2867" max="2867" width="15.85546875" style="377" customWidth="1"/>
    <col min="2868" max="2868" width="17.7109375" style="377" customWidth="1"/>
    <col min="2869" max="3073" width="11.42578125" style="377"/>
    <col min="3074" max="3074" width="23" style="377" customWidth="1"/>
    <col min="3075" max="3075" width="11.42578125" style="377"/>
    <col min="3076" max="3076" width="11.42578125" style="377" customWidth="1"/>
    <col min="3077" max="3077" width="21" style="377" customWidth="1"/>
    <col min="3078" max="3078" width="24.42578125" style="377" customWidth="1"/>
    <col min="3079" max="3082" width="17.85546875" style="377" customWidth="1"/>
    <col min="3083" max="3083" width="21.7109375" style="377" customWidth="1"/>
    <col min="3084" max="3084" width="26.85546875" style="377" customWidth="1"/>
    <col min="3085" max="3085" width="24.85546875" style="377" customWidth="1"/>
    <col min="3086" max="3090" width="5.85546875" style="377" bestFit="1" customWidth="1"/>
    <col min="3091" max="3091" width="30.28515625" style="377" customWidth="1"/>
    <col min="3092" max="3095" width="18.42578125" style="377" customWidth="1"/>
    <col min="3096" max="3096" width="21.28515625" style="377" customWidth="1"/>
    <col min="3097" max="3097" width="19.42578125" style="377" customWidth="1"/>
    <col min="3098" max="3098" width="25.85546875" style="377" customWidth="1"/>
    <col min="3099" max="3102" width="5.85546875" style="377" bestFit="1" customWidth="1"/>
    <col min="3103" max="3103" width="8.28515625" style="377" customWidth="1"/>
    <col min="3104" max="3105" width="30.140625" style="377" customWidth="1"/>
    <col min="3106" max="3106" width="18.7109375" style="377" customWidth="1"/>
    <col min="3107" max="3107" width="20.140625" style="377" customWidth="1"/>
    <col min="3108" max="3108" width="31.28515625" style="377" customWidth="1"/>
    <col min="3109" max="3109" width="26.7109375" style="377" customWidth="1"/>
    <col min="3110" max="3110" width="21.42578125" style="377" customWidth="1"/>
    <col min="3111" max="3111" width="21.85546875" style="377" customWidth="1"/>
    <col min="3112" max="3112" width="18.85546875" style="377" customWidth="1"/>
    <col min="3113" max="3113" width="15.42578125" style="377" customWidth="1"/>
    <col min="3114" max="3121" width="11.42578125" style="377"/>
    <col min="3122" max="3122" width="14.85546875" style="377" customWidth="1"/>
    <col min="3123" max="3123" width="15.85546875" style="377" customWidth="1"/>
    <col min="3124" max="3124" width="17.7109375" style="377" customWidth="1"/>
    <col min="3125" max="3329" width="11.42578125" style="377"/>
    <col min="3330" max="3330" width="23" style="377" customWidth="1"/>
    <col min="3331" max="3331" width="11.42578125" style="377"/>
    <col min="3332" max="3332" width="11.42578125" style="377" customWidth="1"/>
    <col min="3333" max="3333" width="21" style="377" customWidth="1"/>
    <col min="3334" max="3334" width="24.42578125" style="377" customWidth="1"/>
    <col min="3335" max="3338" width="17.85546875" style="377" customWidth="1"/>
    <col min="3339" max="3339" width="21.7109375" style="377" customWidth="1"/>
    <col min="3340" max="3340" width="26.85546875" style="377" customWidth="1"/>
    <col min="3341" max="3341" width="24.85546875" style="377" customWidth="1"/>
    <col min="3342" max="3346" width="5.85546875" style="377" bestFit="1" customWidth="1"/>
    <col min="3347" max="3347" width="30.28515625" style="377" customWidth="1"/>
    <col min="3348" max="3351" width="18.42578125" style="377" customWidth="1"/>
    <col min="3352" max="3352" width="21.28515625" style="377" customWidth="1"/>
    <col min="3353" max="3353" width="19.42578125" style="377" customWidth="1"/>
    <col min="3354" max="3354" width="25.85546875" style="377" customWidth="1"/>
    <col min="3355" max="3358" width="5.85546875" style="377" bestFit="1" customWidth="1"/>
    <col min="3359" max="3359" width="8.28515625" style="377" customWidth="1"/>
    <col min="3360" max="3361" width="30.140625" style="377" customWidth="1"/>
    <col min="3362" max="3362" width="18.7109375" style="377" customWidth="1"/>
    <col min="3363" max="3363" width="20.140625" style="377" customWidth="1"/>
    <col min="3364" max="3364" width="31.28515625" style="377" customWidth="1"/>
    <col min="3365" max="3365" width="26.7109375" style="377" customWidth="1"/>
    <col min="3366" max="3366" width="21.42578125" style="377" customWidth="1"/>
    <col min="3367" max="3367" width="21.85546875" style="377" customWidth="1"/>
    <col min="3368" max="3368" width="18.85546875" style="377" customWidth="1"/>
    <col min="3369" max="3369" width="15.42578125" style="377" customWidth="1"/>
    <col min="3370" max="3377" width="11.42578125" style="377"/>
    <col min="3378" max="3378" width="14.85546875" style="377" customWidth="1"/>
    <col min="3379" max="3379" width="15.85546875" style="377" customWidth="1"/>
    <col min="3380" max="3380" width="17.7109375" style="377" customWidth="1"/>
    <col min="3381" max="3585" width="11.42578125" style="377"/>
    <col min="3586" max="3586" width="23" style="377" customWidth="1"/>
    <col min="3587" max="3587" width="11.42578125" style="377"/>
    <col min="3588" max="3588" width="11.42578125" style="377" customWidth="1"/>
    <col min="3589" max="3589" width="21" style="377" customWidth="1"/>
    <col min="3590" max="3590" width="24.42578125" style="377" customWidth="1"/>
    <col min="3591" max="3594" width="17.85546875" style="377" customWidth="1"/>
    <col min="3595" max="3595" width="21.7109375" style="377" customWidth="1"/>
    <col min="3596" max="3596" width="26.85546875" style="377" customWidth="1"/>
    <col min="3597" max="3597" width="24.85546875" style="377" customWidth="1"/>
    <col min="3598" max="3602" width="5.85546875" style="377" bestFit="1" customWidth="1"/>
    <col min="3603" max="3603" width="30.28515625" style="377" customWidth="1"/>
    <col min="3604" max="3607" width="18.42578125" style="377" customWidth="1"/>
    <col min="3608" max="3608" width="21.28515625" style="377" customWidth="1"/>
    <col min="3609" max="3609" width="19.42578125" style="377" customWidth="1"/>
    <col min="3610" max="3610" width="25.85546875" style="377" customWidth="1"/>
    <col min="3611" max="3614" width="5.85546875" style="377" bestFit="1" customWidth="1"/>
    <col min="3615" max="3615" width="8.28515625" style="377" customWidth="1"/>
    <col min="3616" max="3617" width="30.140625" style="377" customWidth="1"/>
    <col min="3618" max="3618" width="18.7109375" style="377" customWidth="1"/>
    <col min="3619" max="3619" width="20.140625" style="377" customWidth="1"/>
    <col min="3620" max="3620" width="31.28515625" style="377" customWidth="1"/>
    <col min="3621" max="3621" width="26.7109375" style="377" customWidth="1"/>
    <col min="3622" max="3622" width="21.42578125" style="377" customWidth="1"/>
    <col min="3623" max="3623" width="21.85546875" style="377" customWidth="1"/>
    <col min="3624" max="3624" width="18.85546875" style="377" customWidth="1"/>
    <col min="3625" max="3625" width="15.42578125" style="377" customWidth="1"/>
    <col min="3626" max="3633" width="11.42578125" style="377"/>
    <col min="3634" max="3634" width="14.85546875" style="377" customWidth="1"/>
    <col min="3635" max="3635" width="15.85546875" style="377" customWidth="1"/>
    <col min="3636" max="3636" width="17.7109375" style="377" customWidth="1"/>
    <col min="3637" max="3841" width="11.42578125" style="377"/>
    <col min="3842" max="3842" width="23" style="377" customWidth="1"/>
    <col min="3843" max="3843" width="11.42578125" style="377"/>
    <col min="3844" max="3844" width="11.42578125" style="377" customWidth="1"/>
    <col min="3845" max="3845" width="21" style="377" customWidth="1"/>
    <col min="3846" max="3846" width="24.42578125" style="377" customWidth="1"/>
    <col min="3847" max="3850" width="17.85546875" style="377" customWidth="1"/>
    <col min="3851" max="3851" width="21.7109375" style="377" customWidth="1"/>
    <col min="3852" max="3852" width="26.85546875" style="377" customWidth="1"/>
    <col min="3853" max="3853" width="24.85546875" style="377" customWidth="1"/>
    <col min="3854" max="3858" width="5.85546875" style="377" bestFit="1" customWidth="1"/>
    <col min="3859" max="3859" width="30.28515625" style="377" customWidth="1"/>
    <col min="3860" max="3863" width="18.42578125" style="377" customWidth="1"/>
    <col min="3864" max="3864" width="21.28515625" style="377" customWidth="1"/>
    <col min="3865" max="3865" width="19.42578125" style="377" customWidth="1"/>
    <col min="3866" max="3866" width="25.85546875" style="377" customWidth="1"/>
    <col min="3867" max="3870" width="5.85546875" style="377" bestFit="1" customWidth="1"/>
    <col min="3871" max="3871" width="8.28515625" style="377" customWidth="1"/>
    <col min="3872" max="3873" width="30.140625" style="377" customWidth="1"/>
    <col min="3874" max="3874" width="18.7109375" style="377" customWidth="1"/>
    <col min="3875" max="3875" width="20.140625" style="377" customWidth="1"/>
    <col min="3876" max="3876" width="31.28515625" style="377" customWidth="1"/>
    <col min="3877" max="3877" width="26.7109375" style="377" customWidth="1"/>
    <col min="3878" max="3878" width="21.42578125" style="377" customWidth="1"/>
    <col min="3879" max="3879" width="21.85546875" style="377" customWidth="1"/>
    <col min="3880" max="3880" width="18.85546875" style="377" customWidth="1"/>
    <col min="3881" max="3881" width="15.42578125" style="377" customWidth="1"/>
    <col min="3882" max="3889" width="11.42578125" style="377"/>
    <col min="3890" max="3890" width="14.85546875" style="377" customWidth="1"/>
    <col min="3891" max="3891" width="15.85546875" style="377" customWidth="1"/>
    <col min="3892" max="3892" width="17.7109375" style="377" customWidth="1"/>
    <col min="3893" max="4097" width="11.42578125" style="377"/>
    <col min="4098" max="4098" width="23" style="377" customWidth="1"/>
    <col min="4099" max="4099" width="11.42578125" style="377"/>
    <col min="4100" max="4100" width="11.42578125" style="377" customWidth="1"/>
    <col min="4101" max="4101" width="21" style="377" customWidth="1"/>
    <col min="4102" max="4102" width="24.42578125" style="377" customWidth="1"/>
    <col min="4103" max="4106" width="17.85546875" style="377" customWidth="1"/>
    <col min="4107" max="4107" width="21.7109375" style="377" customWidth="1"/>
    <col min="4108" max="4108" width="26.85546875" style="377" customWidth="1"/>
    <col min="4109" max="4109" width="24.85546875" style="377" customWidth="1"/>
    <col min="4110" max="4114" width="5.85546875" style="377" bestFit="1" customWidth="1"/>
    <col min="4115" max="4115" width="30.28515625" style="377" customWidth="1"/>
    <col min="4116" max="4119" width="18.42578125" style="377" customWidth="1"/>
    <col min="4120" max="4120" width="21.28515625" style="377" customWidth="1"/>
    <col min="4121" max="4121" width="19.42578125" style="377" customWidth="1"/>
    <col min="4122" max="4122" width="25.85546875" style="377" customWidth="1"/>
    <col min="4123" max="4126" width="5.85546875" style="377" bestFit="1" customWidth="1"/>
    <col min="4127" max="4127" width="8.28515625" style="377" customWidth="1"/>
    <col min="4128" max="4129" width="30.140625" style="377" customWidth="1"/>
    <col min="4130" max="4130" width="18.7109375" style="377" customWidth="1"/>
    <col min="4131" max="4131" width="20.140625" style="377" customWidth="1"/>
    <col min="4132" max="4132" width="31.28515625" style="377" customWidth="1"/>
    <col min="4133" max="4133" width="26.7109375" style="377" customWidth="1"/>
    <col min="4134" max="4134" width="21.42578125" style="377" customWidth="1"/>
    <col min="4135" max="4135" width="21.85546875" style="377" customWidth="1"/>
    <col min="4136" max="4136" width="18.85546875" style="377" customWidth="1"/>
    <col min="4137" max="4137" width="15.42578125" style="377" customWidth="1"/>
    <col min="4138" max="4145" width="11.42578125" style="377"/>
    <col min="4146" max="4146" width="14.85546875" style="377" customWidth="1"/>
    <col min="4147" max="4147" width="15.85546875" style="377" customWidth="1"/>
    <col min="4148" max="4148" width="17.7109375" style="377" customWidth="1"/>
    <col min="4149" max="4353" width="11.42578125" style="377"/>
    <col min="4354" max="4354" width="23" style="377" customWidth="1"/>
    <col min="4355" max="4355" width="11.42578125" style="377"/>
    <col min="4356" max="4356" width="11.42578125" style="377" customWidth="1"/>
    <col min="4357" max="4357" width="21" style="377" customWidth="1"/>
    <col min="4358" max="4358" width="24.42578125" style="377" customWidth="1"/>
    <col min="4359" max="4362" width="17.85546875" style="377" customWidth="1"/>
    <col min="4363" max="4363" width="21.7109375" style="377" customWidth="1"/>
    <col min="4364" max="4364" width="26.85546875" style="377" customWidth="1"/>
    <col min="4365" max="4365" width="24.85546875" style="377" customWidth="1"/>
    <col min="4366" max="4370" width="5.85546875" style="377" bestFit="1" customWidth="1"/>
    <col min="4371" max="4371" width="30.28515625" style="377" customWidth="1"/>
    <col min="4372" max="4375" width="18.42578125" style="377" customWidth="1"/>
    <col min="4376" max="4376" width="21.28515625" style="377" customWidth="1"/>
    <col min="4377" max="4377" width="19.42578125" style="377" customWidth="1"/>
    <col min="4378" max="4378" width="25.85546875" style="377" customWidth="1"/>
    <col min="4379" max="4382" width="5.85546875" style="377" bestFit="1" customWidth="1"/>
    <col min="4383" max="4383" width="8.28515625" style="377" customWidth="1"/>
    <col min="4384" max="4385" width="30.140625" style="377" customWidth="1"/>
    <col min="4386" max="4386" width="18.7109375" style="377" customWidth="1"/>
    <col min="4387" max="4387" width="20.140625" style="377" customWidth="1"/>
    <col min="4388" max="4388" width="31.28515625" style="377" customWidth="1"/>
    <col min="4389" max="4389" width="26.7109375" style="377" customWidth="1"/>
    <col min="4390" max="4390" width="21.42578125" style="377" customWidth="1"/>
    <col min="4391" max="4391" width="21.85546875" style="377" customWidth="1"/>
    <col min="4392" max="4392" width="18.85546875" style="377" customWidth="1"/>
    <col min="4393" max="4393" width="15.42578125" style="377" customWidth="1"/>
    <col min="4394" max="4401" width="11.42578125" style="377"/>
    <col min="4402" max="4402" width="14.85546875" style="377" customWidth="1"/>
    <col min="4403" max="4403" width="15.85546875" style="377" customWidth="1"/>
    <col min="4404" max="4404" width="17.7109375" style="377" customWidth="1"/>
    <col min="4405" max="4609" width="11.42578125" style="377"/>
    <col min="4610" max="4610" width="23" style="377" customWidth="1"/>
    <col min="4611" max="4611" width="11.42578125" style="377"/>
    <col min="4612" max="4612" width="11.42578125" style="377" customWidth="1"/>
    <col min="4613" max="4613" width="21" style="377" customWidth="1"/>
    <col min="4614" max="4614" width="24.42578125" style="377" customWidth="1"/>
    <col min="4615" max="4618" width="17.85546875" style="377" customWidth="1"/>
    <col min="4619" max="4619" width="21.7109375" style="377" customWidth="1"/>
    <col min="4620" max="4620" width="26.85546875" style="377" customWidth="1"/>
    <col min="4621" max="4621" width="24.85546875" style="377" customWidth="1"/>
    <col min="4622" max="4626" width="5.85546875" style="377" bestFit="1" customWidth="1"/>
    <col min="4627" max="4627" width="30.28515625" style="377" customWidth="1"/>
    <col min="4628" max="4631" width="18.42578125" style="377" customWidth="1"/>
    <col min="4632" max="4632" width="21.28515625" style="377" customWidth="1"/>
    <col min="4633" max="4633" width="19.42578125" style="377" customWidth="1"/>
    <col min="4634" max="4634" width="25.85546875" style="377" customWidth="1"/>
    <col min="4635" max="4638" width="5.85546875" style="377" bestFit="1" customWidth="1"/>
    <col min="4639" max="4639" width="8.28515625" style="377" customWidth="1"/>
    <col min="4640" max="4641" width="30.140625" style="377" customWidth="1"/>
    <col min="4642" max="4642" width="18.7109375" style="377" customWidth="1"/>
    <col min="4643" max="4643" width="20.140625" style="377" customWidth="1"/>
    <col min="4644" max="4644" width="31.28515625" style="377" customWidth="1"/>
    <col min="4645" max="4645" width="26.7109375" style="377" customWidth="1"/>
    <col min="4646" max="4646" width="21.42578125" style="377" customWidth="1"/>
    <col min="4647" max="4647" width="21.85546875" style="377" customWidth="1"/>
    <col min="4648" max="4648" width="18.85546875" style="377" customWidth="1"/>
    <col min="4649" max="4649" width="15.42578125" style="377" customWidth="1"/>
    <col min="4650" max="4657" width="11.42578125" style="377"/>
    <col min="4658" max="4658" width="14.85546875" style="377" customWidth="1"/>
    <col min="4659" max="4659" width="15.85546875" style="377" customWidth="1"/>
    <col min="4660" max="4660" width="17.7109375" style="377" customWidth="1"/>
    <col min="4661" max="4865" width="11.42578125" style="377"/>
    <col min="4866" max="4866" width="23" style="377" customWidth="1"/>
    <col min="4867" max="4867" width="11.42578125" style="377"/>
    <col min="4868" max="4868" width="11.42578125" style="377" customWidth="1"/>
    <col min="4869" max="4869" width="21" style="377" customWidth="1"/>
    <col min="4870" max="4870" width="24.42578125" style="377" customWidth="1"/>
    <col min="4871" max="4874" width="17.85546875" style="377" customWidth="1"/>
    <col min="4875" max="4875" width="21.7109375" style="377" customWidth="1"/>
    <col min="4876" max="4876" width="26.85546875" style="377" customWidth="1"/>
    <col min="4877" max="4877" width="24.85546875" style="377" customWidth="1"/>
    <col min="4878" max="4882" width="5.85546875" style="377" bestFit="1" customWidth="1"/>
    <col min="4883" max="4883" width="30.28515625" style="377" customWidth="1"/>
    <col min="4884" max="4887" width="18.42578125" style="377" customWidth="1"/>
    <col min="4888" max="4888" width="21.28515625" style="377" customWidth="1"/>
    <col min="4889" max="4889" width="19.42578125" style="377" customWidth="1"/>
    <col min="4890" max="4890" width="25.85546875" style="377" customWidth="1"/>
    <col min="4891" max="4894" width="5.85546875" style="377" bestFit="1" customWidth="1"/>
    <col min="4895" max="4895" width="8.28515625" style="377" customWidth="1"/>
    <col min="4896" max="4897" width="30.140625" style="377" customWidth="1"/>
    <col min="4898" max="4898" width="18.7109375" style="377" customWidth="1"/>
    <col min="4899" max="4899" width="20.140625" style="377" customWidth="1"/>
    <col min="4900" max="4900" width="31.28515625" style="377" customWidth="1"/>
    <col min="4901" max="4901" width="26.7109375" style="377" customWidth="1"/>
    <col min="4902" max="4902" width="21.42578125" style="377" customWidth="1"/>
    <col min="4903" max="4903" width="21.85546875" style="377" customWidth="1"/>
    <col min="4904" max="4904" width="18.85546875" style="377" customWidth="1"/>
    <col min="4905" max="4905" width="15.42578125" style="377" customWidth="1"/>
    <col min="4906" max="4913" width="11.42578125" style="377"/>
    <col min="4914" max="4914" width="14.85546875" style="377" customWidth="1"/>
    <col min="4915" max="4915" width="15.85546875" style="377" customWidth="1"/>
    <col min="4916" max="4916" width="17.7109375" style="377" customWidth="1"/>
    <col min="4917" max="5121" width="11.42578125" style="377"/>
    <col min="5122" max="5122" width="23" style="377" customWidth="1"/>
    <col min="5123" max="5123" width="11.42578125" style="377"/>
    <col min="5124" max="5124" width="11.42578125" style="377" customWidth="1"/>
    <col min="5125" max="5125" width="21" style="377" customWidth="1"/>
    <col min="5126" max="5126" width="24.42578125" style="377" customWidth="1"/>
    <col min="5127" max="5130" width="17.85546875" style="377" customWidth="1"/>
    <col min="5131" max="5131" width="21.7109375" style="377" customWidth="1"/>
    <col min="5132" max="5132" width="26.85546875" style="377" customWidth="1"/>
    <col min="5133" max="5133" width="24.85546875" style="377" customWidth="1"/>
    <col min="5134" max="5138" width="5.85546875" style="377" bestFit="1" customWidth="1"/>
    <col min="5139" max="5139" width="30.28515625" style="377" customWidth="1"/>
    <col min="5140" max="5143" width="18.42578125" style="377" customWidth="1"/>
    <col min="5144" max="5144" width="21.28515625" style="377" customWidth="1"/>
    <col min="5145" max="5145" width="19.42578125" style="377" customWidth="1"/>
    <col min="5146" max="5146" width="25.85546875" style="377" customWidth="1"/>
    <col min="5147" max="5150" width="5.85546875" style="377" bestFit="1" customWidth="1"/>
    <col min="5151" max="5151" width="8.28515625" style="377" customWidth="1"/>
    <col min="5152" max="5153" width="30.140625" style="377" customWidth="1"/>
    <col min="5154" max="5154" width="18.7109375" style="377" customWidth="1"/>
    <col min="5155" max="5155" width="20.140625" style="377" customWidth="1"/>
    <col min="5156" max="5156" width="31.28515625" style="377" customWidth="1"/>
    <col min="5157" max="5157" width="26.7109375" style="377" customWidth="1"/>
    <col min="5158" max="5158" width="21.42578125" style="377" customWidth="1"/>
    <col min="5159" max="5159" width="21.85546875" style="377" customWidth="1"/>
    <col min="5160" max="5160" width="18.85546875" style="377" customWidth="1"/>
    <col min="5161" max="5161" width="15.42578125" style="377" customWidth="1"/>
    <col min="5162" max="5169" width="11.42578125" style="377"/>
    <col min="5170" max="5170" width="14.85546875" style="377" customWidth="1"/>
    <col min="5171" max="5171" width="15.85546875" style="377" customWidth="1"/>
    <col min="5172" max="5172" width="17.7109375" style="377" customWidth="1"/>
    <col min="5173" max="5377" width="11.42578125" style="377"/>
    <col min="5378" max="5378" width="23" style="377" customWidth="1"/>
    <col min="5379" max="5379" width="11.42578125" style="377"/>
    <col min="5380" max="5380" width="11.42578125" style="377" customWidth="1"/>
    <col min="5381" max="5381" width="21" style="377" customWidth="1"/>
    <col min="5382" max="5382" width="24.42578125" style="377" customWidth="1"/>
    <col min="5383" max="5386" width="17.85546875" style="377" customWidth="1"/>
    <col min="5387" max="5387" width="21.7109375" style="377" customWidth="1"/>
    <col min="5388" max="5388" width="26.85546875" style="377" customWidth="1"/>
    <col min="5389" max="5389" width="24.85546875" style="377" customWidth="1"/>
    <col min="5390" max="5394" width="5.85546875" style="377" bestFit="1" customWidth="1"/>
    <col min="5395" max="5395" width="30.28515625" style="377" customWidth="1"/>
    <col min="5396" max="5399" width="18.42578125" style="377" customWidth="1"/>
    <col min="5400" max="5400" width="21.28515625" style="377" customWidth="1"/>
    <col min="5401" max="5401" width="19.42578125" style="377" customWidth="1"/>
    <col min="5402" max="5402" width="25.85546875" style="377" customWidth="1"/>
    <col min="5403" max="5406" width="5.85546875" style="377" bestFit="1" customWidth="1"/>
    <col min="5407" max="5407" width="8.28515625" style="377" customWidth="1"/>
    <col min="5408" max="5409" width="30.140625" style="377" customWidth="1"/>
    <col min="5410" max="5410" width="18.7109375" style="377" customWidth="1"/>
    <col min="5411" max="5411" width="20.140625" style="377" customWidth="1"/>
    <col min="5412" max="5412" width="31.28515625" style="377" customWidth="1"/>
    <col min="5413" max="5413" width="26.7109375" style="377" customWidth="1"/>
    <col min="5414" max="5414" width="21.42578125" style="377" customWidth="1"/>
    <col min="5415" max="5415" width="21.85546875" style="377" customWidth="1"/>
    <col min="5416" max="5416" width="18.85546875" style="377" customWidth="1"/>
    <col min="5417" max="5417" width="15.42578125" style="377" customWidth="1"/>
    <col min="5418" max="5425" width="11.42578125" style="377"/>
    <col min="5426" max="5426" width="14.85546875" style="377" customWidth="1"/>
    <col min="5427" max="5427" width="15.85546875" style="377" customWidth="1"/>
    <col min="5428" max="5428" width="17.7109375" style="377" customWidth="1"/>
    <col min="5429" max="5633" width="11.42578125" style="377"/>
    <col min="5634" max="5634" width="23" style="377" customWidth="1"/>
    <col min="5635" max="5635" width="11.42578125" style="377"/>
    <col min="5636" max="5636" width="11.42578125" style="377" customWidth="1"/>
    <col min="5637" max="5637" width="21" style="377" customWidth="1"/>
    <col min="5638" max="5638" width="24.42578125" style="377" customWidth="1"/>
    <col min="5639" max="5642" width="17.85546875" style="377" customWidth="1"/>
    <col min="5643" max="5643" width="21.7109375" style="377" customWidth="1"/>
    <col min="5644" max="5644" width="26.85546875" style="377" customWidth="1"/>
    <col min="5645" max="5645" width="24.85546875" style="377" customWidth="1"/>
    <col min="5646" max="5650" width="5.85546875" style="377" bestFit="1" customWidth="1"/>
    <col min="5651" max="5651" width="30.28515625" style="377" customWidth="1"/>
    <col min="5652" max="5655" width="18.42578125" style="377" customWidth="1"/>
    <col min="5656" max="5656" width="21.28515625" style="377" customWidth="1"/>
    <col min="5657" max="5657" width="19.42578125" style="377" customWidth="1"/>
    <col min="5658" max="5658" width="25.85546875" style="377" customWidth="1"/>
    <col min="5659" max="5662" width="5.85546875" style="377" bestFit="1" customWidth="1"/>
    <col min="5663" max="5663" width="8.28515625" style="377" customWidth="1"/>
    <col min="5664" max="5665" width="30.140625" style="377" customWidth="1"/>
    <col min="5666" max="5666" width="18.7109375" style="377" customWidth="1"/>
    <col min="5667" max="5667" width="20.140625" style="377" customWidth="1"/>
    <col min="5668" max="5668" width="31.28515625" style="377" customWidth="1"/>
    <col min="5669" max="5669" width="26.7109375" style="377" customWidth="1"/>
    <col min="5670" max="5670" width="21.42578125" style="377" customWidth="1"/>
    <col min="5671" max="5671" width="21.85546875" style="377" customWidth="1"/>
    <col min="5672" max="5672" width="18.85546875" style="377" customWidth="1"/>
    <col min="5673" max="5673" width="15.42578125" style="377" customWidth="1"/>
    <col min="5674" max="5681" width="11.42578125" style="377"/>
    <col min="5682" max="5682" width="14.85546875" style="377" customWidth="1"/>
    <col min="5683" max="5683" width="15.85546875" style="377" customWidth="1"/>
    <col min="5684" max="5684" width="17.7109375" style="377" customWidth="1"/>
    <col min="5685" max="5889" width="11.42578125" style="377"/>
    <col min="5890" max="5890" width="23" style="377" customWidth="1"/>
    <col min="5891" max="5891" width="11.42578125" style="377"/>
    <col min="5892" max="5892" width="11.42578125" style="377" customWidth="1"/>
    <col min="5893" max="5893" width="21" style="377" customWidth="1"/>
    <col min="5894" max="5894" width="24.42578125" style="377" customWidth="1"/>
    <col min="5895" max="5898" width="17.85546875" style="377" customWidth="1"/>
    <col min="5899" max="5899" width="21.7109375" style="377" customWidth="1"/>
    <col min="5900" max="5900" width="26.85546875" style="377" customWidth="1"/>
    <col min="5901" max="5901" width="24.85546875" style="377" customWidth="1"/>
    <col min="5902" max="5906" width="5.85546875" style="377" bestFit="1" customWidth="1"/>
    <col min="5907" max="5907" width="30.28515625" style="377" customWidth="1"/>
    <col min="5908" max="5911" width="18.42578125" style="377" customWidth="1"/>
    <col min="5912" max="5912" width="21.28515625" style="377" customWidth="1"/>
    <col min="5913" max="5913" width="19.42578125" style="377" customWidth="1"/>
    <col min="5914" max="5914" width="25.85546875" style="377" customWidth="1"/>
    <col min="5915" max="5918" width="5.85546875" style="377" bestFit="1" customWidth="1"/>
    <col min="5919" max="5919" width="8.28515625" style="377" customWidth="1"/>
    <col min="5920" max="5921" width="30.140625" style="377" customWidth="1"/>
    <col min="5922" max="5922" width="18.7109375" style="377" customWidth="1"/>
    <col min="5923" max="5923" width="20.140625" style="377" customWidth="1"/>
    <col min="5924" max="5924" width="31.28515625" style="377" customWidth="1"/>
    <col min="5925" max="5925" width="26.7109375" style="377" customWidth="1"/>
    <col min="5926" max="5926" width="21.42578125" style="377" customWidth="1"/>
    <col min="5927" max="5927" width="21.85546875" style="377" customWidth="1"/>
    <col min="5928" max="5928" width="18.85546875" style="377" customWidth="1"/>
    <col min="5929" max="5929" width="15.42578125" style="377" customWidth="1"/>
    <col min="5930" max="5937" width="11.42578125" style="377"/>
    <col min="5938" max="5938" width="14.85546875" style="377" customWidth="1"/>
    <col min="5939" max="5939" width="15.85546875" style="377" customWidth="1"/>
    <col min="5940" max="5940" width="17.7109375" style="377" customWidth="1"/>
    <col min="5941" max="6145" width="11.42578125" style="377"/>
    <col min="6146" max="6146" width="23" style="377" customWidth="1"/>
    <col min="6147" max="6147" width="11.42578125" style="377"/>
    <col min="6148" max="6148" width="11.42578125" style="377" customWidth="1"/>
    <col min="6149" max="6149" width="21" style="377" customWidth="1"/>
    <col min="6150" max="6150" width="24.42578125" style="377" customWidth="1"/>
    <col min="6151" max="6154" width="17.85546875" style="377" customWidth="1"/>
    <col min="6155" max="6155" width="21.7109375" style="377" customWidth="1"/>
    <col min="6156" max="6156" width="26.85546875" style="377" customWidth="1"/>
    <col min="6157" max="6157" width="24.85546875" style="377" customWidth="1"/>
    <col min="6158" max="6162" width="5.85546875" style="377" bestFit="1" customWidth="1"/>
    <col min="6163" max="6163" width="30.28515625" style="377" customWidth="1"/>
    <col min="6164" max="6167" width="18.42578125" style="377" customWidth="1"/>
    <col min="6168" max="6168" width="21.28515625" style="377" customWidth="1"/>
    <col min="6169" max="6169" width="19.42578125" style="377" customWidth="1"/>
    <col min="6170" max="6170" width="25.85546875" style="377" customWidth="1"/>
    <col min="6171" max="6174" width="5.85546875" style="377" bestFit="1" customWidth="1"/>
    <col min="6175" max="6175" width="8.28515625" style="377" customWidth="1"/>
    <col min="6176" max="6177" width="30.140625" style="377" customWidth="1"/>
    <col min="6178" max="6178" width="18.7109375" style="377" customWidth="1"/>
    <col min="6179" max="6179" width="20.140625" style="377" customWidth="1"/>
    <col min="6180" max="6180" width="31.28515625" style="377" customWidth="1"/>
    <col min="6181" max="6181" width="26.7109375" style="377" customWidth="1"/>
    <col min="6182" max="6182" width="21.42578125" style="377" customWidth="1"/>
    <col min="6183" max="6183" width="21.85546875" style="377" customWidth="1"/>
    <col min="6184" max="6184" width="18.85546875" style="377" customWidth="1"/>
    <col min="6185" max="6185" width="15.42578125" style="377" customWidth="1"/>
    <col min="6186" max="6193" width="11.42578125" style="377"/>
    <col min="6194" max="6194" width="14.85546875" style="377" customWidth="1"/>
    <col min="6195" max="6195" width="15.85546875" style="377" customWidth="1"/>
    <col min="6196" max="6196" width="17.7109375" style="377" customWidth="1"/>
    <col min="6197" max="6401" width="11.42578125" style="377"/>
    <col min="6402" max="6402" width="23" style="377" customWidth="1"/>
    <col min="6403" max="6403" width="11.42578125" style="377"/>
    <col min="6404" max="6404" width="11.42578125" style="377" customWidth="1"/>
    <col min="6405" max="6405" width="21" style="377" customWidth="1"/>
    <col min="6406" max="6406" width="24.42578125" style="377" customWidth="1"/>
    <col min="6407" max="6410" width="17.85546875" style="377" customWidth="1"/>
    <col min="6411" max="6411" width="21.7109375" style="377" customWidth="1"/>
    <col min="6412" max="6412" width="26.85546875" style="377" customWidth="1"/>
    <col min="6413" max="6413" width="24.85546875" style="377" customWidth="1"/>
    <col min="6414" max="6418" width="5.85546875" style="377" bestFit="1" customWidth="1"/>
    <col min="6419" max="6419" width="30.28515625" style="377" customWidth="1"/>
    <col min="6420" max="6423" width="18.42578125" style="377" customWidth="1"/>
    <col min="6424" max="6424" width="21.28515625" style="377" customWidth="1"/>
    <col min="6425" max="6425" width="19.42578125" style="377" customWidth="1"/>
    <col min="6426" max="6426" width="25.85546875" style="377" customWidth="1"/>
    <col min="6427" max="6430" width="5.85546875" style="377" bestFit="1" customWidth="1"/>
    <col min="6431" max="6431" width="8.28515625" style="377" customWidth="1"/>
    <col min="6432" max="6433" width="30.140625" style="377" customWidth="1"/>
    <col min="6434" max="6434" width="18.7109375" style="377" customWidth="1"/>
    <col min="6435" max="6435" width="20.140625" style="377" customWidth="1"/>
    <col min="6436" max="6436" width="31.28515625" style="377" customWidth="1"/>
    <col min="6437" max="6437" width="26.7109375" style="377" customWidth="1"/>
    <col min="6438" max="6438" width="21.42578125" style="377" customWidth="1"/>
    <col min="6439" max="6439" width="21.85546875" style="377" customWidth="1"/>
    <col min="6440" max="6440" width="18.85546875" style="377" customWidth="1"/>
    <col min="6441" max="6441" width="15.42578125" style="377" customWidth="1"/>
    <col min="6442" max="6449" width="11.42578125" style="377"/>
    <col min="6450" max="6450" width="14.85546875" style="377" customWidth="1"/>
    <col min="6451" max="6451" width="15.85546875" style="377" customWidth="1"/>
    <col min="6452" max="6452" width="17.7109375" style="377" customWidth="1"/>
    <col min="6453" max="6657" width="11.42578125" style="377"/>
    <col min="6658" max="6658" width="23" style="377" customWidth="1"/>
    <col min="6659" max="6659" width="11.42578125" style="377"/>
    <col min="6660" max="6660" width="11.42578125" style="377" customWidth="1"/>
    <col min="6661" max="6661" width="21" style="377" customWidth="1"/>
    <col min="6662" max="6662" width="24.42578125" style="377" customWidth="1"/>
    <col min="6663" max="6666" width="17.85546875" style="377" customWidth="1"/>
    <col min="6667" max="6667" width="21.7109375" style="377" customWidth="1"/>
    <col min="6668" max="6668" width="26.85546875" style="377" customWidth="1"/>
    <col min="6669" max="6669" width="24.85546875" style="377" customWidth="1"/>
    <col min="6670" max="6674" width="5.85546875" style="377" bestFit="1" customWidth="1"/>
    <col min="6675" max="6675" width="30.28515625" style="377" customWidth="1"/>
    <col min="6676" max="6679" width="18.42578125" style="377" customWidth="1"/>
    <col min="6680" max="6680" width="21.28515625" style="377" customWidth="1"/>
    <col min="6681" max="6681" width="19.42578125" style="377" customWidth="1"/>
    <col min="6682" max="6682" width="25.85546875" style="377" customWidth="1"/>
    <col min="6683" max="6686" width="5.85546875" style="377" bestFit="1" customWidth="1"/>
    <col min="6687" max="6687" width="8.28515625" style="377" customWidth="1"/>
    <col min="6688" max="6689" width="30.140625" style="377" customWidth="1"/>
    <col min="6690" max="6690" width="18.7109375" style="377" customWidth="1"/>
    <col min="6691" max="6691" width="20.140625" style="377" customWidth="1"/>
    <col min="6692" max="6692" width="31.28515625" style="377" customWidth="1"/>
    <col min="6693" max="6693" width="26.7109375" style="377" customWidth="1"/>
    <col min="6694" max="6694" width="21.42578125" style="377" customWidth="1"/>
    <col min="6695" max="6695" width="21.85546875" style="377" customWidth="1"/>
    <col min="6696" max="6696" width="18.85546875" style="377" customWidth="1"/>
    <col min="6697" max="6697" width="15.42578125" style="377" customWidth="1"/>
    <col min="6698" max="6705" width="11.42578125" style="377"/>
    <col min="6706" max="6706" width="14.85546875" style="377" customWidth="1"/>
    <col min="6707" max="6707" width="15.85546875" style="377" customWidth="1"/>
    <col min="6708" max="6708" width="17.7109375" style="377" customWidth="1"/>
    <col min="6709" max="6913" width="11.42578125" style="377"/>
    <col min="6914" max="6914" width="23" style="377" customWidth="1"/>
    <col min="6915" max="6915" width="11.42578125" style="377"/>
    <col min="6916" max="6916" width="11.42578125" style="377" customWidth="1"/>
    <col min="6917" max="6917" width="21" style="377" customWidth="1"/>
    <col min="6918" max="6918" width="24.42578125" style="377" customWidth="1"/>
    <col min="6919" max="6922" width="17.85546875" style="377" customWidth="1"/>
    <col min="6923" max="6923" width="21.7109375" style="377" customWidth="1"/>
    <col min="6924" max="6924" width="26.85546875" style="377" customWidth="1"/>
    <col min="6925" max="6925" width="24.85546875" style="377" customWidth="1"/>
    <col min="6926" max="6930" width="5.85546875" style="377" bestFit="1" customWidth="1"/>
    <col min="6931" max="6931" width="30.28515625" style="377" customWidth="1"/>
    <col min="6932" max="6935" width="18.42578125" style="377" customWidth="1"/>
    <col min="6936" max="6936" width="21.28515625" style="377" customWidth="1"/>
    <col min="6937" max="6937" width="19.42578125" style="377" customWidth="1"/>
    <col min="6938" max="6938" width="25.85546875" style="377" customWidth="1"/>
    <col min="6939" max="6942" width="5.85546875" style="377" bestFit="1" customWidth="1"/>
    <col min="6943" max="6943" width="8.28515625" style="377" customWidth="1"/>
    <col min="6944" max="6945" width="30.140625" style="377" customWidth="1"/>
    <col min="6946" max="6946" width="18.7109375" style="377" customWidth="1"/>
    <col min="6947" max="6947" width="20.140625" style="377" customWidth="1"/>
    <col min="6948" max="6948" width="31.28515625" style="377" customWidth="1"/>
    <col min="6949" max="6949" width="26.7109375" style="377" customWidth="1"/>
    <col min="6950" max="6950" width="21.42578125" style="377" customWidth="1"/>
    <col min="6951" max="6951" width="21.85546875" style="377" customWidth="1"/>
    <col min="6952" max="6952" width="18.85546875" style="377" customWidth="1"/>
    <col min="6953" max="6953" width="15.42578125" style="377" customWidth="1"/>
    <col min="6954" max="6961" width="11.42578125" style="377"/>
    <col min="6962" max="6962" width="14.85546875" style="377" customWidth="1"/>
    <col min="6963" max="6963" width="15.85546875" style="377" customWidth="1"/>
    <col min="6964" max="6964" width="17.7109375" style="377" customWidth="1"/>
    <col min="6965" max="7169" width="11.42578125" style="377"/>
    <col min="7170" max="7170" width="23" style="377" customWidth="1"/>
    <col min="7171" max="7171" width="11.42578125" style="377"/>
    <col min="7172" max="7172" width="11.42578125" style="377" customWidth="1"/>
    <col min="7173" max="7173" width="21" style="377" customWidth="1"/>
    <col min="7174" max="7174" width="24.42578125" style="377" customWidth="1"/>
    <col min="7175" max="7178" width="17.85546875" style="377" customWidth="1"/>
    <col min="7179" max="7179" width="21.7109375" style="377" customWidth="1"/>
    <col min="7180" max="7180" width="26.85546875" style="377" customWidth="1"/>
    <col min="7181" max="7181" width="24.85546875" style="377" customWidth="1"/>
    <col min="7182" max="7186" width="5.85546875" style="377" bestFit="1" customWidth="1"/>
    <col min="7187" max="7187" width="30.28515625" style="377" customWidth="1"/>
    <col min="7188" max="7191" width="18.42578125" style="377" customWidth="1"/>
    <col min="7192" max="7192" width="21.28515625" style="377" customWidth="1"/>
    <col min="7193" max="7193" width="19.42578125" style="377" customWidth="1"/>
    <col min="7194" max="7194" width="25.85546875" style="377" customWidth="1"/>
    <col min="7195" max="7198" width="5.85546875" style="377" bestFit="1" customWidth="1"/>
    <col min="7199" max="7199" width="8.28515625" style="377" customWidth="1"/>
    <col min="7200" max="7201" width="30.140625" style="377" customWidth="1"/>
    <col min="7202" max="7202" width="18.7109375" style="377" customWidth="1"/>
    <col min="7203" max="7203" width="20.140625" style="377" customWidth="1"/>
    <col min="7204" max="7204" width="31.28515625" style="377" customWidth="1"/>
    <col min="7205" max="7205" width="26.7109375" style="377" customWidth="1"/>
    <col min="7206" max="7206" width="21.42578125" style="377" customWidth="1"/>
    <col min="7207" max="7207" width="21.85546875" style="377" customWidth="1"/>
    <col min="7208" max="7208" width="18.85546875" style="377" customWidth="1"/>
    <col min="7209" max="7209" width="15.42578125" style="377" customWidth="1"/>
    <col min="7210" max="7217" width="11.42578125" style="377"/>
    <col min="7218" max="7218" width="14.85546875" style="377" customWidth="1"/>
    <col min="7219" max="7219" width="15.85546875" style="377" customWidth="1"/>
    <col min="7220" max="7220" width="17.7109375" style="377" customWidth="1"/>
    <col min="7221" max="7425" width="11.42578125" style="377"/>
    <col min="7426" max="7426" width="23" style="377" customWidth="1"/>
    <col min="7427" max="7427" width="11.42578125" style="377"/>
    <col min="7428" max="7428" width="11.42578125" style="377" customWidth="1"/>
    <col min="7429" max="7429" width="21" style="377" customWidth="1"/>
    <col min="7430" max="7430" width="24.42578125" style="377" customWidth="1"/>
    <col min="7431" max="7434" width="17.85546875" style="377" customWidth="1"/>
    <col min="7435" max="7435" width="21.7109375" style="377" customWidth="1"/>
    <col min="7436" max="7436" width="26.85546875" style="377" customWidth="1"/>
    <col min="7437" max="7437" width="24.85546875" style="377" customWidth="1"/>
    <col min="7438" max="7442" width="5.85546875" style="377" bestFit="1" customWidth="1"/>
    <col min="7443" max="7443" width="30.28515625" style="377" customWidth="1"/>
    <col min="7444" max="7447" width="18.42578125" style="377" customWidth="1"/>
    <col min="7448" max="7448" width="21.28515625" style="377" customWidth="1"/>
    <col min="7449" max="7449" width="19.42578125" style="377" customWidth="1"/>
    <col min="7450" max="7450" width="25.85546875" style="377" customWidth="1"/>
    <col min="7451" max="7454" width="5.85546875" style="377" bestFit="1" customWidth="1"/>
    <col min="7455" max="7455" width="8.28515625" style="377" customWidth="1"/>
    <col min="7456" max="7457" width="30.140625" style="377" customWidth="1"/>
    <col min="7458" max="7458" width="18.7109375" style="377" customWidth="1"/>
    <col min="7459" max="7459" width="20.140625" style="377" customWidth="1"/>
    <col min="7460" max="7460" width="31.28515625" style="377" customWidth="1"/>
    <col min="7461" max="7461" width="26.7109375" style="377" customWidth="1"/>
    <col min="7462" max="7462" width="21.42578125" style="377" customWidth="1"/>
    <col min="7463" max="7463" width="21.85546875" style="377" customWidth="1"/>
    <col min="7464" max="7464" width="18.85546875" style="377" customWidth="1"/>
    <col min="7465" max="7465" width="15.42578125" style="377" customWidth="1"/>
    <col min="7466" max="7473" width="11.42578125" style="377"/>
    <col min="7474" max="7474" width="14.85546875" style="377" customWidth="1"/>
    <col min="7475" max="7475" width="15.85546875" style="377" customWidth="1"/>
    <col min="7476" max="7476" width="17.7109375" style="377" customWidth="1"/>
    <col min="7477" max="7681" width="11.42578125" style="377"/>
    <col min="7682" max="7682" width="23" style="377" customWidth="1"/>
    <col min="7683" max="7683" width="11.42578125" style="377"/>
    <col min="7684" max="7684" width="11.42578125" style="377" customWidth="1"/>
    <col min="7685" max="7685" width="21" style="377" customWidth="1"/>
    <col min="7686" max="7686" width="24.42578125" style="377" customWidth="1"/>
    <col min="7687" max="7690" width="17.85546875" style="377" customWidth="1"/>
    <col min="7691" max="7691" width="21.7109375" style="377" customWidth="1"/>
    <col min="7692" max="7692" width="26.85546875" style="377" customWidth="1"/>
    <col min="7693" max="7693" width="24.85546875" style="377" customWidth="1"/>
    <col min="7694" max="7698" width="5.85546875" style="377" bestFit="1" customWidth="1"/>
    <col min="7699" max="7699" width="30.28515625" style="377" customWidth="1"/>
    <col min="7700" max="7703" width="18.42578125" style="377" customWidth="1"/>
    <col min="7704" max="7704" width="21.28515625" style="377" customWidth="1"/>
    <col min="7705" max="7705" width="19.42578125" style="377" customWidth="1"/>
    <col min="7706" max="7706" width="25.85546875" style="377" customWidth="1"/>
    <col min="7707" max="7710" width="5.85546875" style="377" bestFit="1" customWidth="1"/>
    <col min="7711" max="7711" width="8.28515625" style="377" customWidth="1"/>
    <col min="7712" max="7713" width="30.140625" style="377" customWidth="1"/>
    <col min="7714" max="7714" width="18.7109375" style="377" customWidth="1"/>
    <col min="7715" max="7715" width="20.140625" style="377" customWidth="1"/>
    <col min="7716" max="7716" width="31.28515625" style="377" customWidth="1"/>
    <col min="7717" max="7717" width="26.7109375" style="377" customWidth="1"/>
    <col min="7718" max="7718" width="21.42578125" style="377" customWidth="1"/>
    <col min="7719" max="7719" width="21.85546875" style="377" customWidth="1"/>
    <col min="7720" max="7720" width="18.85546875" style="377" customWidth="1"/>
    <col min="7721" max="7721" width="15.42578125" style="377" customWidth="1"/>
    <col min="7722" max="7729" width="11.42578125" style="377"/>
    <col min="7730" max="7730" width="14.85546875" style="377" customWidth="1"/>
    <col min="7731" max="7731" width="15.85546875" style="377" customWidth="1"/>
    <col min="7732" max="7732" width="17.7109375" style="377" customWidth="1"/>
    <col min="7733" max="7937" width="11.42578125" style="377"/>
    <col min="7938" max="7938" width="23" style="377" customWidth="1"/>
    <col min="7939" max="7939" width="11.42578125" style="377"/>
    <col min="7940" max="7940" width="11.42578125" style="377" customWidth="1"/>
    <col min="7941" max="7941" width="21" style="377" customWidth="1"/>
    <col min="7942" max="7942" width="24.42578125" style="377" customWidth="1"/>
    <col min="7943" max="7946" width="17.85546875" style="377" customWidth="1"/>
    <col min="7947" max="7947" width="21.7109375" style="377" customWidth="1"/>
    <col min="7948" max="7948" width="26.85546875" style="377" customWidth="1"/>
    <col min="7949" max="7949" width="24.85546875" style="377" customWidth="1"/>
    <col min="7950" max="7954" width="5.85546875" style="377" bestFit="1" customWidth="1"/>
    <col min="7955" max="7955" width="30.28515625" style="377" customWidth="1"/>
    <col min="7956" max="7959" width="18.42578125" style="377" customWidth="1"/>
    <col min="7960" max="7960" width="21.28515625" style="377" customWidth="1"/>
    <col min="7961" max="7961" width="19.42578125" style="377" customWidth="1"/>
    <col min="7962" max="7962" width="25.85546875" style="377" customWidth="1"/>
    <col min="7963" max="7966" width="5.85546875" style="377" bestFit="1" customWidth="1"/>
    <col min="7967" max="7967" width="8.28515625" style="377" customWidth="1"/>
    <col min="7968" max="7969" width="30.140625" style="377" customWidth="1"/>
    <col min="7970" max="7970" width="18.7109375" style="377" customWidth="1"/>
    <col min="7971" max="7971" width="20.140625" style="377" customWidth="1"/>
    <col min="7972" max="7972" width="31.28515625" style="377" customWidth="1"/>
    <col min="7973" max="7973" width="26.7109375" style="377" customWidth="1"/>
    <col min="7974" max="7974" width="21.42578125" style="377" customWidth="1"/>
    <col min="7975" max="7975" width="21.85546875" style="377" customWidth="1"/>
    <col min="7976" max="7976" width="18.85546875" style="377" customWidth="1"/>
    <col min="7977" max="7977" width="15.42578125" style="377" customWidth="1"/>
    <col min="7978" max="7985" width="11.42578125" style="377"/>
    <col min="7986" max="7986" width="14.85546875" style="377" customWidth="1"/>
    <col min="7987" max="7987" width="15.85546875" style="377" customWidth="1"/>
    <col min="7988" max="7988" width="17.7109375" style="377" customWidth="1"/>
    <col min="7989" max="8193" width="11.42578125" style="377"/>
    <col min="8194" max="8194" width="23" style="377" customWidth="1"/>
    <col min="8195" max="8195" width="11.42578125" style="377"/>
    <col min="8196" max="8196" width="11.42578125" style="377" customWidth="1"/>
    <col min="8197" max="8197" width="21" style="377" customWidth="1"/>
    <col min="8198" max="8198" width="24.42578125" style="377" customWidth="1"/>
    <col min="8199" max="8202" width="17.85546875" style="377" customWidth="1"/>
    <col min="8203" max="8203" width="21.7109375" style="377" customWidth="1"/>
    <col min="8204" max="8204" width="26.85546875" style="377" customWidth="1"/>
    <col min="8205" max="8205" width="24.85546875" style="377" customWidth="1"/>
    <col min="8206" max="8210" width="5.85546875" style="377" bestFit="1" customWidth="1"/>
    <col min="8211" max="8211" width="30.28515625" style="377" customWidth="1"/>
    <col min="8212" max="8215" width="18.42578125" style="377" customWidth="1"/>
    <col min="8216" max="8216" width="21.28515625" style="377" customWidth="1"/>
    <col min="8217" max="8217" width="19.42578125" style="377" customWidth="1"/>
    <col min="8218" max="8218" width="25.85546875" style="377" customWidth="1"/>
    <col min="8219" max="8222" width="5.85546875" style="377" bestFit="1" customWidth="1"/>
    <col min="8223" max="8223" width="8.28515625" style="377" customWidth="1"/>
    <col min="8224" max="8225" width="30.140625" style="377" customWidth="1"/>
    <col min="8226" max="8226" width="18.7109375" style="377" customWidth="1"/>
    <col min="8227" max="8227" width="20.140625" style="377" customWidth="1"/>
    <col min="8228" max="8228" width="31.28515625" style="377" customWidth="1"/>
    <col min="8229" max="8229" width="26.7109375" style="377" customWidth="1"/>
    <col min="8230" max="8230" width="21.42578125" style="377" customWidth="1"/>
    <col min="8231" max="8231" width="21.85546875" style="377" customWidth="1"/>
    <col min="8232" max="8232" width="18.85546875" style="377" customWidth="1"/>
    <col min="8233" max="8233" width="15.42578125" style="377" customWidth="1"/>
    <col min="8234" max="8241" width="11.42578125" style="377"/>
    <col min="8242" max="8242" width="14.85546875" style="377" customWidth="1"/>
    <col min="8243" max="8243" width="15.85546875" style="377" customWidth="1"/>
    <col min="8244" max="8244" width="17.7109375" style="377" customWidth="1"/>
    <col min="8245" max="8449" width="11.42578125" style="377"/>
    <col min="8450" max="8450" width="23" style="377" customWidth="1"/>
    <col min="8451" max="8451" width="11.42578125" style="377"/>
    <col min="8452" max="8452" width="11.42578125" style="377" customWidth="1"/>
    <col min="8453" max="8453" width="21" style="377" customWidth="1"/>
    <col min="8454" max="8454" width="24.42578125" style="377" customWidth="1"/>
    <col min="8455" max="8458" width="17.85546875" style="377" customWidth="1"/>
    <col min="8459" max="8459" width="21.7109375" style="377" customWidth="1"/>
    <col min="8460" max="8460" width="26.85546875" style="377" customWidth="1"/>
    <col min="8461" max="8461" width="24.85546875" style="377" customWidth="1"/>
    <col min="8462" max="8466" width="5.85546875" style="377" bestFit="1" customWidth="1"/>
    <col min="8467" max="8467" width="30.28515625" style="377" customWidth="1"/>
    <col min="8468" max="8471" width="18.42578125" style="377" customWidth="1"/>
    <col min="8472" max="8472" width="21.28515625" style="377" customWidth="1"/>
    <col min="8473" max="8473" width="19.42578125" style="377" customWidth="1"/>
    <col min="8474" max="8474" width="25.85546875" style="377" customWidth="1"/>
    <col min="8475" max="8478" width="5.85546875" style="377" bestFit="1" customWidth="1"/>
    <col min="8479" max="8479" width="8.28515625" style="377" customWidth="1"/>
    <col min="8480" max="8481" width="30.140625" style="377" customWidth="1"/>
    <col min="8482" max="8482" width="18.7109375" style="377" customWidth="1"/>
    <col min="8483" max="8483" width="20.140625" style="377" customWidth="1"/>
    <col min="8484" max="8484" width="31.28515625" style="377" customWidth="1"/>
    <col min="8485" max="8485" width="26.7109375" style="377" customWidth="1"/>
    <col min="8486" max="8486" width="21.42578125" style="377" customWidth="1"/>
    <col min="8487" max="8487" width="21.85546875" style="377" customWidth="1"/>
    <col min="8488" max="8488" width="18.85546875" style="377" customWidth="1"/>
    <col min="8489" max="8489" width="15.42578125" style="377" customWidth="1"/>
    <col min="8490" max="8497" width="11.42578125" style="377"/>
    <col min="8498" max="8498" width="14.85546875" style="377" customWidth="1"/>
    <col min="8499" max="8499" width="15.85546875" style="377" customWidth="1"/>
    <col min="8500" max="8500" width="17.7109375" style="377" customWidth="1"/>
    <col min="8501" max="8705" width="11.42578125" style="377"/>
    <col min="8706" max="8706" width="23" style="377" customWidth="1"/>
    <col min="8707" max="8707" width="11.42578125" style="377"/>
    <col min="8708" max="8708" width="11.42578125" style="377" customWidth="1"/>
    <col min="8709" max="8709" width="21" style="377" customWidth="1"/>
    <col min="8710" max="8710" width="24.42578125" style="377" customWidth="1"/>
    <col min="8711" max="8714" width="17.85546875" style="377" customWidth="1"/>
    <col min="8715" max="8715" width="21.7109375" style="377" customWidth="1"/>
    <col min="8716" max="8716" width="26.85546875" style="377" customWidth="1"/>
    <col min="8717" max="8717" width="24.85546875" style="377" customWidth="1"/>
    <col min="8718" max="8722" width="5.85546875" style="377" bestFit="1" customWidth="1"/>
    <col min="8723" max="8723" width="30.28515625" style="377" customWidth="1"/>
    <col min="8724" max="8727" width="18.42578125" style="377" customWidth="1"/>
    <col min="8728" max="8728" width="21.28515625" style="377" customWidth="1"/>
    <col min="8729" max="8729" width="19.42578125" style="377" customWidth="1"/>
    <col min="8730" max="8730" width="25.85546875" style="377" customWidth="1"/>
    <col min="8731" max="8734" width="5.85546875" style="377" bestFit="1" customWidth="1"/>
    <col min="8735" max="8735" width="8.28515625" style="377" customWidth="1"/>
    <col min="8736" max="8737" width="30.140625" style="377" customWidth="1"/>
    <col min="8738" max="8738" width="18.7109375" style="377" customWidth="1"/>
    <col min="8739" max="8739" width="20.140625" style="377" customWidth="1"/>
    <col min="8740" max="8740" width="31.28515625" style="377" customWidth="1"/>
    <col min="8741" max="8741" width="26.7109375" style="377" customWidth="1"/>
    <col min="8742" max="8742" width="21.42578125" style="377" customWidth="1"/>
    <col min="8743" max="8743" width="21.85546875" style="377" customWidth="1"/>
    <col min="8744" max="8744" width="18.85546875" style="377" customWidth="1"/>
    <col min="8745" max="8745" width="15.42578125" style="377" customWidth="1"/>
    <col min="8746" max="8753" width="11.42578125" style="377"/>
    <col min="8754" max="8754" width="14.85546875" style="377" customWidth="1"/>
    <col min="8755" max="8755" width="15.85546875" style="377" customWidth="1"/>
    <col min="8756" max="8756" width="17.7109375" style="377" customWidth="1"/>
    <col min="8757" max="8961" width="11.42578125" style="377"/>
    <col min="8962" max="8962" width="23" style="377" customWidth="1"/>
    <col min="8963" max="8963" width="11.42578125" style="377"/>
    <col min="8964" max="8964" width="11.42578125" style="377" customWidth="1"/>
    <col min="8965" max="8965" width="21" style="377" customWidth="1"/>
    <col min="8966" max="8966" width="24.42578125" style="377" customWidth="1"/>
    <col min="8967" max="8970" width="17.85546875" style="377" customWidth="1"/>
    <col min="8971" max="8971" width="21.7109375" style="377" customWidth="1"/>
    <col min="8972" max="8972" width="26.85546875" style="377" customWidth="1"/>
    <col min="8973" max="8973" width="24.85546875" style="377" customWidth="1"/>
    <col min="8974" max="8978" width="5.85546875" style="377" bestFit="1" customWidth="1"/>
    <col min="8979" max="8979" width="30.28515625" style="377" customWidth="1"/>
    <col min="8980" max="8983" width="18.42578125" style="377" customWidth="1"/>
    <col min="8984" max="8984" width="21.28515625" style="377" customWidth="1"/>
    <col min="8985" max="8985" width="19.42578125" style="377" customWidth="1"/>
    <col min="8986" max="8986" width="25.85546875" style="377" customWidth="1"/>
    <col min="8987" max="8990" width="5.85546875" style="377" bestFit="1" customWidth="1"/>
    <col min="8991" max="8991" width="8.28515625" style="377" customWidth="1"/>
    <col min="8992" max="8993" width="30.140625" style="377" customWidth="1"/>
    <col min="8994" max="8994" width="18.7109375" style="377" customWidth="1"/>
    <col min="8995" max="8995" width="20.140625" style="377" customWidth="1"/>
    <col min="8996" max="8996" width="31.28515625" style="377" customWidth="1"/>
    <col min="8997" max="8997" width="26.7109375" style="377" customWidth="1"/>
    <col min="8998" max="8998" width="21.42578125" style="377" customWidth="1"/>
    <col min="8999" max="8999" width="21.85546875" style="377" customWidth="1"/>
    <col min="9000" max="9000" width="18.85546875" style="377" customWidth="1"/>
    <col min="9001" max="9001" width="15.42578125" style="377" customWidth="1"/>
    <col min="9002" max="9009" width="11.42578125" style="377"/>
    <col min="9010" max="9010" width="14.85546875" style="377" customWidth="1"/>
    <col min="9011" max="9011" width="15.85546875" style="377" customWidth="1"/>
    <col min="9012" max="9012" width="17.7109375" style="377" customWidth="1"/>
    <col min="9013" max="9217" width="11.42578125" style="377"/>
    <col min="9218" max="9218" width="23" style="377" customWidth="1"/>
    <col min="9219" max="9219" width="11.42578125" style="377"/>
    <col min="9220" max="9220" width="11.42578125" style="377" customWidth="1"/>
    <col min="9221" max="9221" width="21" style="377" customWidth="1"/>
    <col min="9222" max="9222" width="24.42578125" style="377" customWidth="1"/>
    <col min="9223" max="9226" width="17.85546875" style="377" customWidth="1"/>
    <col min="9227" max="9227" width="21.7109375" style="377" customWidth="1"/>
    <col min="9228" max="9228" width="26.85546875" style="377" customWidth="1"/>
    <col min="9229" max="9229" width="24.85546875" style="377" customWidth="1"/>
    <col min="9230" max="9234" width="5.85546875" style="377" bestFit="1" customWidth="1"/>
    <col min="9235" max="9235" width="30.28515625" style="377" customWidth="1"/>
    <col min="9236" max="9239" width="18.42578125" style="377" customWidth="1"/>
    <col min="9240" max="9240" width="21.28515625" style="377" customWidth="1"/>
    <col min="9241" max="9241" width="19.42578125" style="377" customWidth="1"/>
    <col min="9242" max="9242" width="25.85546875" style="377" customWidth="1"/>
    <col min="9243" max="9246" width="5.85546875" style="377" bestFit="1" customWidth="1"/>
    <col min="9247" max="9247" width="8.28515625" style="377" customWidth="1"/>
    <col min="9248" max="9249" width="30.140625" style="377" customWidth="1"/>
    <col min="9250" max="9250" width="18.7109375" style="377" customWidth="1"/>
    <col min="9251" max="9251" width="20.140625" style="377" customWidth="1"/>
    <col min="9252" max="9252" width="31.28515625" style="377" customWidth="1"/>
    <col min="9253" max="9253" width="26.7109375" style="377" customWidth="1"/>
    <col min="9254" max="9254" width="21.42578125" style="377" customWidth="1"/>
    <col min="9255" max="9255" width="21.85546875" style="377" customWidth="1"/>
    <col min="9256" max="9256" width="18.85546875" style="377" customWidth="1"/>
    <col min="9257" max="9257" width="15.42578125" style="377" customWidth="1"/>
    <col min="9258" max="9265" width="11.42578125" style="377"/>
    <col min="9266" max="9266" width="14.85546875" style="377" customWidth="1"/>
    <col min="9267" max="9267" width="15.85546875" style="377" customWidth="1"/>
    <col min="9268" max="9268" width="17.7109375" style="377" customWidth="1"/>
    <col min="9269" max="9473" width="11.42578125" style="377"/>
    <col min="9474" max="9474" width="23" style="377" customWidth="1"/>
    <col min="9475" max="9475" width="11.42578125" style="377"/>
    <col min="9476" max="9476" width="11.42578125" style="377" customWidth="1"/>
    <col min="9477" max="9477" width="21" style="377" customWidth="1"/>
    <col min="9478" max="9478" width="24.42578125" style="377" customWidth="1"/>
    <col min="9479" max="9482" width="17.85546875" style="377" customWidth="1"/>
    <col min="9483" max="9483" width="21.7109375" style="377" customWidth="1"/>
    <col min="9484" max="9484" width="26.85546875" style="377" customWidth="1"/>
    <col min="9485" max="9485" width="24.85546875" style="377" customWidth="1"/>
    <col min="9486" max="9490" width="5.85546875" style="377" bestFit="1" customWidth="1"/>
    <col min="9491" max="9491" width="30.28515625" style="377" customWidth="1"/>
    <col min="9492" max="9495" width="18.42578125" style="377" customWidth="1"/>
    <col min="9496" max="9496" width="21.28515625" style="377" customWidth="1"/>
    <col min="9497" max="9497" width="19.42578125" style="377" customWidth="1"/>
    <col min="9498" max="9498" width="25.85546875" style="377" customWidth="1"/>
    <col min="9499" max="9502" width="5.85546875" style="377" bestFit="1" customWidth="1"/>
    <col min="9503" max="9503" width="8.28515625" style="377" customWidth="1"/>
    <col min="9504" max="9505" width="30.140625" style="377" customWidth="1"/>
    <col min="9506" max="9506" width="18.7109375" style="377" customWidth="1"/>
    <col min="9507" max="9507" width="20.140625" style="377" customWidth="1"/>
    <col min="9508" max="9508" width="31.28515625" style="377" customWidth="1"/>
    <col min="9509" max="9509" width="26.7109375" style="377" customWidth="1"/>
    <col min="9510" max="9510" width="21.42578125" style="377" customWidth="1"/>
    <col min="9511" max="9511" width="21.85546875" style="377" customWidth="1"/>
    <col min="9512" max="9512" width="18.85546875" style="377" customWidth="1"/>
    <col min="9513" max="9513" width="15.42578125" style="377" customWidth="1"/>
    <col min="9514" max="9521" width="11.42578125" style="377"/>
    <col min="9522" max="9522" width="14.85546875" style="377" customWidth="1"/>
    <col min="9523" max="9523" width="15.85546875" style="377" customWidth="1"/>
    <col min="9524" max="9524" width="17.7109375" style="377" customWidth="1"/>
    <col min="9525" max="9729" width="11.42578125" style="377"/>
    <col min="9730" max="9730" width="23" style="377" customWidth="1"/>
    <col min="9731" max="9731" width="11.42578125" style="377"/>
    <col min="9732" max="9732" width="11.42578125" style="377" customWidth="1"/>
    <col min="9733" max="9733" width="21" style="377" customWidth="1"/>
    <col min="9734" max="9734" width="24.42578125" style="377" customWidth="1"/>
    <col min="9735" max="9738" width="17.85546875" style="377" customWidth="1"/>
    <col min="9739" max="9739" width="21.7109375" style="377" customWidth="1"/>
    <col min="9740" max="9740" width="26.85546875" style="377" customWidth="1"/>
    <col min="9741" max="9741" width="24.85546875" style="377" customWidth="1"/>
    <col min="9742" max="9746" width="5.85546875" style="377" bestFit="1" customWidth="1"/>
    <col min="9747" max="9747" width="30.28515625" style="377" customWidth="1"/>
    <col min="9748" max="9751" width="18.42578125" style="377" customWidth="1"/>
    <col min="9752" max="9752" width="21.28515625" style="377" customWidth="1"/>
    <col min="9753" max="9753" width="19.42578125" style="377" customWidth="1"/>
    <col min="9754" max="9754" width="25.85546875" style="377" customWidth="1"/>
    <col min="9755" max="9758" width="5.85546875" style="377" bestFit="1" customWidth="1"/>
    <col min="9759" max="9759" width="8.28515625" style="377" customWidth="1"/>
    <col min="9760" max="9761" width="30.140625" style="377" customWidth="1"/>
    <col min="9762" max="9762" width="18.7109375" style="377" customWidth="1"/>
    <col min="9763" max="9763" width="20.140625" style="377" customWidth="1"/>
    <col min="9764" max="9764" width="31.28515625" style="377" customWidth="1"/>
    <col min="9765" max="9765" width="26.7109375" style="377" customWidth="1"/>
    <col min="9766" max="9766" width="21.42578125" style="377" customWidth="1"/>
    <col min="9767" max="9767" width="21.85546875" style="377" customWidth="1"/>
    <col min="9768" max="9768" width="18.85546875" style="377" customWidth="1"/>
    <col min="9769" max="9769" width="15.42578125" style="377" customWidth="1"/>
    <col min="9770" max="9777" width="11.42578125" style="377"/>
    <col min="9778" max="9778" width="14.85546875" style="377" customWidth="1"/>
    <col min="9779" max="9779" width="15.85546875" style="377" customWidth="1"/>
    <col min="9780" max="9780" width="17.7109375" style="377" customWidth="1"/>
    <col min="9781" max="9985" width="11.42578125" style="377"/>
    <col min="9986" max="9986" width="23" style="377" customWidth="1"/>
    <col min="9987" max="9987" width="11.42578125" style="377"/>
    <col min="9988" max="9988" width="11.42578125" style="377" customWidth="1"/>
    <col min="9989" max="9989" width="21" style="377" customWidth="1"/>
    <col min="9990" max="9990" width="24.42578125" style="377" customWidth="1"/>
    <col min="9991" max="9994" width="17.85546875" style="377" customWidth="1"/>
    <col min="9995" max="9995" width="21.7109375" style="377" customWidth="1"/>
    <col min="9996" max="9996" width="26.85546875" style="377" customWidth="1"/>
    <col min="9997" max="9997" width="24.85546875" style="377" customWidth="1"/>
    <col min="9998" max="10002" width="5.85546875" style="377" bestFit="1" customWidth="1"/>
    <col min="10003" max="10003" width="30.28515625" style="377" customWidth="1"/>
    <col min="10004" max="10007" width="18.42578125" style="377" customWidth="1"/>
    <col min="10008" max="10008" width="21.28515625" style="377" customWidth="1"/>
    <col min="10009" max="10009" width="19.42578125" style="377" customWidth="1"/>
    <col min="10010" max="10010" width="25.85546875" style="377" customWidth="1"/>
    <col min="10011" max="10014" width="5.85546875" style="377" bestFit="1" customWidth="1"/>
    <col min="10015" max="10015" width="8.28515625" style="377" customWidth="1"/>
    <col min="10016" max="10017" width="30.140625" style="377" customWidth="1"/>
    <col min="10018" max="10018" width="18.7109375" style="377" customWidth="1"/>
    <col min="10019" max="10019" width="20.140625" style="377" customWidth="1"/>
    <col min="10020" max="10020" width="31.28515625" style="377" customWidth="1"/>
    <col min="10021" max="10021" width="26.7109375" style="377" customWidth="1"/>
    <col min="10022" max="10022" width="21.42578125" style="377" customWidth="1"/>
    <col min="10023" max="10023" width="21.85546875" style="377" customWidth="1"/>
    <col min="10024" max="10024" width="18.85546875" style="377" customWidth="1"/>
    <col min="10025" max="10025" width="15.42578125" style="377" customWidth="1"/>
    <col min="10026" max="10033" width="11.42578125" style="377"/>
    <col min="10034" max="10034" width="14.85546875" style="377" customWidth="1"/>
    <col min="10035" max="10035" width="15.85546875" style="377" customWidth="1"/>
    <col min="10036" max="10036" width="17.7109375" style="377" customWidth="1"/>
    <col min="10037" max="10241" width="11.42578125" style="377"/>
    <col min="10242" max="10242" width="23" style="377" customWidth="1"/>
    <col min="10243" max="10243" width="11.42578125" style="377"/>
    <col min="10244" max="10244" width="11.42578125" style="377" customWidth="1"/>
    <col min="10245" max="10245" width="21" style="377" customWidth="1"/>
    <col min="10246" max="10246" width="24.42578125" style="377" customWidth="1"/>
    <col min="10247" max="10250" width="17.85546875" style="377" customWidth="1"/>
    <col min="10251" max="10251" width="21.7109375" style="377" customWidth="1"/>
    <col min="10252" max="10252" width="26.85546875" style="377" customWidth="1"/>
    <col min="10253" max="10253" width="24.85546875" style="377" customWidth="1"/>
    <col min="10254" max="10258" width="5.85546875" style="377" bestFit="1" customWidth="1"/>
    <col min="10259" max="10259" width="30.28515625" style="377" customWidth="1"/>
    <col min="10260" max="10263" width="18.42578125" style="377" customWidth="1"/>
    <col min="10264" max="10264" width="21.28515625" style="377" customWidth="1"/>
    <col min="10265" max="10265" width="19.42578125" style="377" customWidth="1"/>
    <col min="10266" max="10266" width="25.85546875" style="377" customWidth="1"/>
    <col min="10267" max="10270" width="5.85546875" style="377" bestFit="1" customWidth="1"/>
    <col min="10271" max="10271" width="8.28515625" style="377" customWidth="1"/>
    <col min="10272" max="10273" width="30.140625" style="377" customWidth="1"/>
    <col min="10274" max="10274" width="18.7109375" style="377" customWidth="1"/>
    <col min="10275" max="10275" width="20.140625" style="377" customWidth="1"/>
    <col min="10276" max="10276" width="31.28515625" style="377" customWidth="1"/>
    <col min="10277" max="10277" width="26.7109375" style="377" customWidth="1"/>
    <col min="10278" max="10278" width="21.42578125" style="377" customWidth="1"/>
    <col min="10279" max="10279" width="21.85546875" style="377" customWidth="1"/>
    <col min="10280" max="10280" width="18.85546875" style="377" customWidth="1"/>
    <col min="10281" max="10281" width="15.42578125" style="377" customWidth="1"/>
    <col min="10282" max="10289" width="11.42578125" style="377"/>
    <col min="10290" max="10290" width="14.85546875" style="377" customWidth="1"/>
    <col min="10291" max="10291" width="15.85546875" style="377" customWidth="1"/>
    <col min="10292" max="10292" width="17.7109375" style="377" customWidth="1"/>
    <col min="10293" max="10497" width="11.42578125" style="377"/>
    <col min="10498" max="10498" width="23" style="377" customWidth="1"/>
    <col min="10499" max="10499" width="11.42578125" style="377"/>
    <col min="10500" max="10500" width="11.42578125" style="377" customWidth="1"/>
    <col min="10501" max="10501" width="21" style="377" customWidth="1"/>
    <col min="10502" max="10502" width="24.42578125" style="377" customWidth="1"/>
    <col min="10503" max="10506" width="17.85546875" style="377" customWidth="1"/>
    <col min="10507" max="10507" width="21.7109375" style="377" customWidth="1"/>
    <col min="10508" max="10508" width="26.85546875" style="377" customWidth="1"/>
    <col min="10509" max="10509" width="24.85546875" style="377" customWidth="1"/>
    <col min="10510" max="10514" width="5.85546875" style="377" bestFit="1" customWidth="1"/>
    <col min="10515" max="10515" width="30.28515625" style="377" customWidth="1"/>
    <col min="10516" max="10519" width="18.42578125" style="377" customWidth="1"/>
    <col min="10520" max="10520" width="21.28515625" style="377" customWidth="1"/>
    <col min="10521" max="10521" width="19.42578125" style="377" customWidth="1"/>
    <col min="10522" max="10522" width="25.85546875" style="377" customWidth="1"/>
    <col min="10523" max="10526" width="5.85546875" style="377" bestFit="1" customWidth="1"/>
    <col min="10527" max="10527" width="8.28515625" style="377" customWidth="1"/>
    <col min="10528" max="10529" width="30.140625" style="377" customWidth="1"/>
    <col min="10530" max="10530" width="18.7109375" style="377" customWidth="1"/>
    <col min="10531" max="10531" width="20.140625" style="377" customWidth="1"/>
    <col min="10532" max="10532" width="31.28515625" style="377" customWidth="1"/>
    <col min="10533" max="10533" width="26.7109375" style="377" customWidth="1"/>
    <col min="10534" max="10534" width="21.42578125" style="377" customWidth="1"/>
    <col min="10535" max="10535" width="21.85546875" style="377" customWidth="1"/>
    <col min="10536" max="10536" width="18.85546875" style="377" customWidth="1"/>
    <col min="10537" max="10537" width="15.42578125" style="377" customWidth="1"/>
    <col min="10538" max="10545" width="11.42578125" style="377"/>
    <col min="10546" max="10546" width="14.85546875" style="377" customWidth="1"/>
    <col min="10547" max="10547" width="15.85546875" style="377" customWidth="1"/>
    <col min="10548" max="10548" width="17.7109375" style="377" customWidth="1"/>
    <col min="10549" max="10753" width="11.42578125" style="377"/>
    <col min="10754" max="10754" width="23" style="377" customWidth="1"/>
    <col min="10755" max="10755" width="11.42578125" style="377"/>
    <col min="10756" max="10756" width="11.42578125" style="377" customWidth="1"/>
    <col min="10757" max="10757" width="21" style="377" customWidth="1"/>
    <col min="10758" max="10758" width="24.42578125" style="377" customWidth="1"/>
    <col min="10759" max="10762" width="17.85546875" style="377" customWidth="1"/>
    <col min="10763" max="10763" width="21.7109375" style="377" customWidth="1"/>
    <col min="10764" max="10764" width="26.85546875" style="377" customWidth="1"/>
    <col min="10765" max="10765" width="24.85546875" style="377" customWidth="1"/>
    <col min="10766" max="10770" width="5.85546875" style="377" bestFit="1" customWidth="1"/>
    <col min="10771" max="10771" width="30.28515625" style="377" customWidth="1"/>
    <col min="10772" max="10775" width="18.42578125" style="377" customWidth="1"/>
    <col min="10776" max="10776" width="21.28515625" style="377" customWidth="1"/>
    <col min="10777" max="10777" width="19.42578125" style="377" customWidth="1"/>
    <col min="10778" max="10778" width="25.85546875" style="377" customWidth="1"/>
    <col min="10779" max="10782" width="5.85546875" style="377" bestFit="1" customWidth="1"/>
    <col min="10783" max="10783" width="8.28515625" style="377" customWidth="1"/>
    <col min="10784" max="10785" width="30.140625" style="377" customWidth="1"/>
    <col min="10786" max="10786" width="18.7109375" style="377" customWidth="1"/>
    <col min="10787" max="10787" width="20.140625" style="377" customWidth="1"/>
    <col min="10788" max="10788" width="31.28515625" style="377" customWidth="1"/>
    <col min="10789" max="10789" width="26.7109375" style="377" customWidth="1"/>
    <col min="10790" max="10790" width="21.42578125" style="377" customWidth="1"/>
    <col min="10791" max="10791" width="21.85546875" style="377" customWidth="1"/>
    <col min="10792" max="10792" width="18.85546875" style="377" customWidth="1"/>
    <col min="10793" max="10793" width="15.42578125" style="377" customWidth="1"/>
    <col min="10794" max="10801" width="11.42578125" style="377"/>
    <col min="10802" max="10802" width="14.85546875" style="377" customWidth="1"/>
    <col min="10803" max="10803" width="15.85546875" style="377" customWidth="1"/>
    <col min="10804" max="10804" width="17.7109375" style="377" customWidth="1"/>
    <col min="10805" max="11009" width="11.42578125" style="377"/>
    <col min="11010" max="11010" width="23" style="377" customWidth="1"/>
    <col min="11011" max="11011" width="11.42578125" style="377"/>
    <col min="11012" max="11012" width="11.42578125" style="377" customWidth="1"/>
    <col min="11013" max="11013" width="21" style="377" customWidth="1"/>
    <col min="11014" max="11014" width="24.42578125" style="377" customWidth="1"/>
    <col min="11015" max="11018" width="17.85546875" style="377" customWidth="1"/>
    <col min="11019" max="11019" width="21.7109375" style="377" customWidth="1"/>
    <col min="11020" max="11020" width="26.85546875" style="377" customWidth="1"/>
    <col min="11021" max="11021" width="24.85546875" style="377" customWidth="1"/>
    <col min="11022" max="11026" width="5.85546875" style="377" bestFit="1" customWidth="1"/>
    <col min="11027" max="11027" width="30.28515625" style="377" customWidth="1"/>
    <col min="11028" max="11031" width="18.42578125" style="377" customWidth="1"/>
    <col min="11032" max="11032" width="21.28515625" style="377" customWidth="1"/>
    <col min="11033" max="11033" width="19.42578125" style="377" customWidth="1"/>
    <col min="11034" max="11034" width="25.85546875" style="377" customWidth="1"/>
    <col min="11035" max="11038" width="5.85546875" style="377" bestFit="1" customWidth="1"/>
    <col min="11039" max="11039" width="8.28515625" style="377" customWidth="1"/>
    <col min="11040" max="11041" width="30.140625" style="377" customWidth="1"/>
    <col min="11042" max="11042" width="18.7109375" style="377" customWidth="1"/>
    <col min="11043" max="11043" width="20.140625" style="377" customWidth="1"/>
    <col min="11044" max="11044" width="31.28515625" style="377" customWidth="1"/>
    <col min="11045" max="11045" width="26.7109375" style="377" customWidth="1"/>
    <col min="11046" max="11046" width="21.42578125" style="377" customWidth="1"/>
    <col min="11047" max="11047" width="21.85546875" style="377" customWidth="1"/>
    <col min="11048" max="11048" width="18.85546875" style="377" customWidth="1"/>
    <col min="11049" max="11049" width="15.42578125" style="377" customWidth="1"/>
    <col min="11050" max="11057" width="11.42578125" style="377"/>
    <col min="11058" max="11058" width="14.85546875" style="377" customWidth="1"/>
    <col min="11059" max="11059" width="15.85546875" style="377" customWidth="1"/>
    <col min="11060" max="11060" width="17.7109375" style="377" customWidth="1"/>
    <col min="11061" max="11265" width="11.42578125" style="377"/>
    <col min="11266" max="11266" width="23" style="377" customWidth="1"/>
    <col min="11267" max="11267" width="11.42578125" style="377"/>
    <col min="11268" max="11268" width="11.42578125" style="377" customWidth="1"/>
    <col min="11269" max="11269" width="21" style="377" customWidth="1"/>
    <col min="11270" max="11270" width="24.42578125" style="377" customWidth="1"/>
    <col min="11271" max="11274" width="17.85546875" style="377" customWidth="1"/>
    <col min="11275" max="11275" width="21.7109375" style="377" customWidth="1"/>
    <col min="11276" max="11276" width="26.85546875" style="377" customWidth="1"/>
    <col min="11277" max="11277" width="24.85546875" style="377" customWidth="1"/>
    <col min="11278" max="11282" width="5.85546875" style="377" bestFit="1" customWidth="1"/>
    <col min="11283" max="11283" width="30.28515625" style="377" customWidth="1"/>
    <col min="11284" max="11287" width="18.42578125" style="377" customWidth="1"/>
    <col min="11288" max="11288" width="21.28515625" style="377" customWidth="1"/>
    <col min="11289" max="11289" width="19.42578125" style="377" customWidth="1"/>
    <col min="11290" max="11290" width="25.85546875" style="377" customWidth="1"/>
    <col min="11291" max="11294" width="5.85546875" style="377" bestFit="1" customWidth="1"/>
    <col min="11295" max="11295" width="8.28515625" style="377" customWidth="1"/>
    <col min="11296" max="11297" width="30.140625" style="377" customWidth="1"/>
    <col min="11298" max="11298" width="18.7109375" style="377" customWidth="1"/>
    <col min="11299" max="11299" width="20.140625" style="377" customWidth="1"/>
    <col min="11300" max="11300" width="31.28515625" style="377" customWidth="1"/>
    <col min="11301" max="11301" width="26.7109375" style="377" customWidth="1"/>
    <col min="11302" max="11302" width="21.42578125" style="377" customWidth="1"/>
    <col min="11303" max="11303" width="21.85546875" style="377" customWidth="1"/>
    <col min="11304" max="11304" width="18.85546875" style="377" customWidth="1"/>
    <col min="11305" max="11305" width="15.42578125" style="377" customWidth="1"/>
    <col min="11306" max="11313" width="11.42578125" style="377"/>
    <col min="11314" max="11314" width="14.85546875" style="377" customWidth="1"/>
    <col min="11315" max="11315" width="15.85546875" style="377" customWidth="1"/>
    <col min="11316" max="11316" width="17.7109375" style="377" customWidth="1"/>
    <col min="11317" max="11521" width="11.42578125" style="377"/>
    <col min="11522" max="11522" width="23" style="377" customWidth="1"/>
    <col min="11523" max="11523" width="11.42578125" style="377"/>
    <col min="11524" max="11524" width="11.42578125" style="377" customWidth="1"/>
    <col min="11525" max="11525" width="21" style="377" customWidth="1"/>
    <col min="11526" max="11526" width="24.42578125" style="377" customWidth="1"/>
    <col min="11527" max="11530" width="17.85546875" style="377" customWidth="1"/>
    <col min="11531" max="11531" width="21.7109375" style="377" customWidth="1"/>
    <col min="11532" max="11532" width="26.85546875" style="377" customWidth="1"/>
    <col min="11533" max="11533" width="24.85546875" style="377" customWidth="1"/>
    <col min="11534" max="11538" width="5.85546875" style="377" bestFit="1" customWidth="1"/>
    <col min="11539" max="11539" width="30.28515625" style="377" customWidth="1"/>
    <col min="11540" max="11543" width="18.42578125" style="377" customWidth="1"/>
    <col min="11544" max="11544" width="21.28515625" style="377" customWidth="1"/>
    <col min="11545" max="11545" width="19.42578125" style="377" customWidth="1"/>
    <col min="11546" max="11546" width="25.85546875" style="377" customWidth="1"/>
    <col min="11547" max="11550" width="5.85546875" style="377" bestFit="1" customWidth="1"/>
    <col min="11551" max="11551" width="8.28515625" style="377" customWidth="1"/>
    <col min="11552" max="11553" width="30.140625" style="377" customWidth="1"/>
    <col min="11554" max="11554" width="18.7109375" style="377" customWidth="1"/>
    <col min="11555" max="11555" width="20.140625" style="377" customWidth="1"/>
    <col min="11556" max="11556" width="31.28515625" style="377" customWidth="1"/>
    <col min="11557" max="11557" width="26.7109375" style="377" customWidth="1"/>
    <col min="11558" max="11558" width="21.42578125" style="377" customWidth="1"/>
    <col min="11559" max="11559" width="21.85546875" style="377" customWidth="1"/>
    <col min="11560" max="11560" width="18.85546875" style="377" customWidth="1"/>
    <col min="11561" max="11561" width="15.42578125" style="377" customWidth="1"/>
    <col min="11562" max="11569" width="11.42578125" style="377"/>
    <col min="11570" max="11570" width="14.85546875" style="377" customWidth="1"/>
    <col min="11571" max="11571" width="15.85546875" style="377" customWidth="1"/>
    <col min="11572" max="11572" width="17.7109375" style="377" customWidth="1"/>
    <col min="11573" max="11777" width="11.42578125" style="377"/>
    <col min="11778" max="11778" width="23" style="377" customWidth="1"/>
    <col min="11779" max="11779" width="11.42578125" style="377"/>
    <col min="11780" max="11780" width="11.42578125" style="377" customWidth="1"/>
    <col min="11781" max="11781" width="21" style="377" customWidth="1"/>
    <col min="11782" max="11782" width="24.42578125" style="377" customWidth="1"/>
    <col min="11783" max="11786" width="17.85546875" style="377" customWidth="1"/>
    <col min="11787" max="11787" width="21.7109375" style="377" customWidth="1"/>
    <col min="11788" max="11788" width="26.85546875" style="377" customWidth="1"/>
    <col min="11789" max="11789" width="24.85546875" style="377" customWidth="1"/>
    <col min="11790" max="11794" width="5.85546875" style="377" bestFit="1" customWidth="1"/>
    <col min="11795" max="11795" width="30.28515625" style="377" customWidth="1"/>
    <col min="11796" max="11799" width="18.42578125" style="377" customWidth="1"/>
    <col min="11800" max="11800" width="21.28515625" style="377" customWidth="1"/>
    <col min="11801" max="11801" width="19.42578125" style="377" customWidth="1"/>
    <col min="11802" max="11802" width="25.85546875" style="377" customWidth="1"/>
    <col min="11803" max="11806" width="5.85546875" style="377" bestFit="1" customWidth="1"/>
    <col min="11807" max="11807" width="8.28515625" style="377" customWidth="1"/>
    <col min="11808" max="11809" width="30.140625" style="377" customWidth="1"/>
    <col min="11810" max="11810" width="18.7109375" style="377" customWidth="1"/>
    <col min="11811" max="11811" width="20.140625" style="377" customWidth="1"/>
    <col min="11812" max="11812" width="31.28515625" style="377" customWidth="1"/>
    <col min="11813" max="11813" width="26.7109375" style="377" customWidth="1"/>
    <col min="11814" max="11814" width="21.42578125" style="377" customWidth="1"/>
    <col min="11815" max="11815" width="21.85546875" style="377" customWidth="1"/>
    <col min="11816" max="11816" width="18.85546875" style="377" customWidth="1"/>
    <col min="11817" max="11817" width="15.42578125" style="377" customWidth="1"/>
    <col min="11818" max="11825" width="11.42578125" style="377"/>
    <col min="11826" max="11826" width="14.85546875" style="377" customWidth="1"/>
    <col min="11827" max="11827" width="15.85546875" style="377" customWidth="1"/>
    <col min="11828" max="11828" width="17.7109375" style="377" customWidth="1"/>
    <col min="11829" max="12033" width="11.42578125" style="377"/>
    <col min="12034" max="12034" width="23" style="377" customWidth="1"/>
    <col min="12035" max="12035" width="11.42578125" style="377"/>
    <col min="12036" max="12036" width="11.42578125" style="377" customWidth="1"/>
    <col min="12037" max="12037" width="21" style="377" customWidth="1"/>
    <col min="12038" max="12038" width="24.42578125" style="377" customWidth="1"/>
    <col min="12039" max="12042" width="17.85546875" style="377" customWidth="1"/>
    <col min="12043" max="12043" width="21.7109375" style="377" customWidth="1"/>
    <col min="12044" max="12044" width="26.85546875" style="377" customWidth="1"/>
    <col min="12045" max="12045" width="24.85546875" style="377" customWidth="1"/>
    <col min="12046" max="12050" width="5.85546875" style="377" bestFit="1" customWidth="1"/>
    <col min="12051" max="12051" width="30.28515625" style="377" customWidth="1"/>
    <col min="12052" max="12055" width="18.42578125" style="377" customWidth="1"/>
    <col min="12056" max="12056" width="21.28515625" style="377" customWidth="1"/>
    <col min="12057" max="12057" width="19.42578125" style="377" customWidth="1"/>
    <col min="12058" max="12058" width="25.85546875" style="377" customWidth="1"/>
    <col min="12059" max="12062" width="5.85546875" style="377" bestFit="1" customWidth="1"/>
    <col min="12063" max="12063" width="8.28515625" style="377" customWidth="1"/>
    <col min="12064" max="12065" width="30.140625" style="377" customWidth="1"/>
    <col min="12066" max="12066" width="18.7109375" style="377" customWidth="1"/>
    <col min="12067" max="12067" width="20.140625" style="377" customWidth="1"/>
    <col min="12068" max="12068" width="31.28515625" style="377" customWidth="1"/>
    <col min="12069" max="12069" width="26.7109375" style="377" customWidth="1"/>
    <col min="12070" max="12070" width="21.42578125" style="377" customWidth="1"/>
    <col min="12071" max="12071" width="21.85546875" style="377" customWidth="1"/>
    <col min="12072" max="12072" width="18.85546875" style="377" customWidth="1"/>
    <col min="12073" max="12073" width="15.42578125" style="377" customWidth="1"/>
    <col min="12074" max="12081" width="11.42578125" style="377"/>
    <col min="12082" max="12082" width="14.85546875" style="377" customWidth="1"/>
    <col min="12083" max="12083" width="15.85546875" style="377" customWidth="1"/>
    <col min="12084" max="12084" width="17.7109375" style="377" customWidth="1"/>
    <col min="12085" max="12289" width="11.42578125" style="377"/>
    <col min="12290" max="12290" width="23" style="377" customWidth="1"/>
    <col min="12291" max="12291" width="11.42578125" style="377"/>
    <col min="12292" max="12292" width="11.42578125" style="377" customWidth="1"/>
    <col min="12293" max="12293" width="21" style="377" customWidth="1"/>
    <col min="12294" max="12294" width="24.42578125" style="377" customWidth="1"/>
    <col min="12295" max="12298" width="17.85546875" style="377" customWidth="1"/>
    <col min="12299" max="12299" width="21.7109375" style="377" customWidth="1"/>
    <col min="12300" max="12300" width="26.85546875" style="377" customWidth="1"/>
    <col min="12301" max="12301" width="24.85546875" style="377" customWidth="1"/>
    <col min="12302" max="12306" width="5.85546875" style="377" bestFit="1" customWidth="1"/>
    <col min="12307" max="12307" width="30.28515625" style="377" customWidth="1"/>
    <col min="12308" max="12311" width="18.42578125" style="377" customWidth="1"/>
    <col min="12312" max="12312" width="21.28515625" style="377" customWidth="1"/>
    <col min="12313" max="12313" width="19.42578125" style="377" customWidth="1"/>
    <col min="12314" max="12314" width="25.85546875" style="377" customWidth="1"/>
    <col min="12315" max="12318" width="5.85546875" style="377" bestFit="1" customWidth="1"/>
    <col min="12319" max="12319" width="8.28515625" style="377" customWidth="1"/>
    <col min="12320" max="12321" width="30.140625" style="377" customWidth="1"/>
    <col min="12322" max="12322" width="18.7109375" style="377" customWidth="1"/>
    <col min="12323" max="12323" width="20.140625" style="377" customWidth="1"/>
    <col min="12324" max="12324" width="31.28515625" style="377" customWidth="1"/>
    <col min="12325" max="12325" width="26.7109375" style="377" customWidth="1"/>
    <col min="12326" max="12326" width="21.42578125" style="377" customWidth="1"/>
    <col min="12327" max="12327" width="21.85546875" style="377" customWidth="1"/>
    <col min="12328" max="12328" width="18.85546875" style="377" customWidth="1"/>
    <col min="12329" max="12329" width="15.42578125" style="377" customWidth="1"/>
    <col min="12330" max="12337" width="11.42578125" style="377"/>
    <col min="12338" max="12338" width="14.85546875" style="377" customWidth="1"/>
    <col min="12339" max="12339" width="15.85546875" style="377" customWidth="1"/>
    <col min="12340" max="12340" width="17.7109375" style="377" customWidth="1"/>
    <col min="12341" max="12545" width="11.42578125" style="377"/>
    <col min="12546" max="12546" width="23" style="377" customWidth="1"/>
    <col min="12547" max="12547" width="11.42578125" style="377"/>
    <col min="12548" max="12548" width="11.42578125" style="377" customWidth="1"/>
    <col min="12549" max="12549" width="21" style="377" customWidth="1"/>
    <col min="12550" max="12550" width="24.42578125" style="377" customWidth="1"/>
    <col min="12551" max="12554" width="17.85546875" style="377" customWidth="1"/>
    <col min="12555" max="12555" width="21.7109375" style="377" customWidth="1"/>
    <col min="12556" max="12556" width="26.85546875" style="377" customWidth="1"/>
    <col min="12557" max="12557" width="24.85546875" style="377" customWidth="1"/>
    <col min="12558" max="12562" width="5.85546875" style="377" bestFit="1" customWidth="1"/>
    <col min="12563" max="12563" width="30.28515625" style="377" customWidth="1"/>
    <col min="12564" max="12567" width="18.42578125" style="377" customWidth="1"/>
    <col min="12568" max="12568" width="21.28515625" style="377" customWidth="1"/>
    <col min="12569" max="12569" width="19.42578125" style="377" customWidth="1"/>
    <col min="12570" max="12570" width="25.85546875" style="377" customWidth="1"/>
    <col min="12571" max="12574" width="5.85546875" style="377" bestFit="1" customWidth="1"/>
    <col min="12575" max="12575" width="8.28515625" style="377" customWidth="1"/>
    <col min="12576" max="12577" width="30.140625" style="377" customWidth="1"/>
    <col min="12578" max="12578" width="18.7109375" style="377" customWidth="1"/>
    <col min="12579" max="12579" width="20.140625" style="377" customWidth="1"/>
    <col min="12580" max="12580" width="31.28515625" style="377" customWidth="1"/>
    <col min="12581" max="12581" width="26.7109375" style="377" customWidth="1"/>
    <col min="12582" max="12582" width="21.42578125" style="377" customWidth="1"/>
    <col min="12583" max="12583" width="21.85546875" style="377" customWidth="1"/>
    <col min="12584" max="12584" width="18.85546875" style="377" customWidth="1"/>
    <col min="12585" max="12585" width="15.42578125" style="377" customWidth="1"/>
    <col min="12586" max="12593" width="11.42578125" style="377"/>
    <col min="12594" max="12594" width="14.85546875" style="377" customWidth="1"/>
    <col min="12595" max="12595" width="15.85546875" style="377" customWidth="1"/>
    <col min="12596" max="12596" width="17.7109375" style="377" customWidth="1"/>
    <col min="12597" max="12801" width="11.42578125" style="377"/>
    <col min="12802" max="12802" width="23" style="377" customWidth="1"/>
    <col min="12803" max="12803" width="11.42578125" style="377"/>
    <col min="12804" max="12804" width="11.42578125" style="377" customWidth="1"/>
    <col min="12805" max="12805" width="21" style="377" customWidth="1"/>
    <col min="12806" max="12806" width="24.42578125" style="377" customWidth="1"/>
    <col min="12807" max="12810" width="17.85546875" style="377" customWidth="1"/>
    <col min="12811" max="12811" width="21.7109375" style="377" customWidth="1"/>
    <col min="12812" max="12812" width="26.85546875" style="377" customWidth="1"/>
    <col min="12813" max="12813" width="24.85546875" style="377" customWidth="1"/>
    <col min="12814" max="12818" width="5.85546875" style="377" bestFit="1" customWidth="1"/>
    <col min="12819" max="12819" width="30.28515625" style="377" customWidth="1"/>
    <col min="12820" max="12823" width="18.42578125" style="377" customWidth="1"/>
    <col min="12824" max="12824" width="21.28515625" style="377" customWidth="1"/>
    <col min="12825" max="12825" width="19.42578125" style="377" customWidth="1"/>
    <col min="12826" max="12826" width="25.85546875" style="377" customWidth="1"/>
    <col min="12827" max="12830" width="5.85546875" style="377" bestFit="1" customWidth="1"/>
    <col min="12831" max="12831" width="8.28515625" style="377" customWidth="1"/>
    <col min="12832" max="12833" width="30.140625" style="377" customWidth="1"/>
    <col min="12834" max="12834" width="18.7109375" style="377" customWidth="1"/>
    <col min="12835" max="12835" width="20.140625" style="377" customWidth="1"/>
    <col min="12836" max="12836" width="31.28515625" style="377" customWidth="1"/>
    <col min="12837" max="12837" width="26.7109375" style="377" customWidth="1"/>
    <col min="12838" max="12838" width="21.42578125" style="377" customWidth="1"/>
    <col min="12839" max="12839" width="21.85546875" style="377" customWidth="1"/>
    <col min="12840" max="12840" width="18.85546875" style="377" customWidth="1"/>
    <col min="12841" max="12841" width="15.42578125" style="377" customWidth="1"/>
    <col min="12842" max="12849" width="11.42578125" style="377"/>
    <col min="12850" max="12850" width="14.85546875" style="377" customWidth="1"/>
    <col min="12851" max="12851" width="15.85546875" style="377" customWidth="1"/>
    <col min="12852" max="12852" width="17.7109375" style="377" customWidth="1"/>
    <col min="12853" max="13057" width="11.42578125" style="377"/>
    <col min="13058" max="13058" width="23" style="377" customWidth="1"/>
    <col min="13059" max="13059" width="11.42578125" style="377"/>
    <col min="13060" max="13060" width="11.42578125" style="377" customWidth="1"/>
    <col min="13061" max="13061" width="21" style="377" customWidth="1"/>
    <col min="13062" max="13062" width="24.42578125" style="377" customWidth="1"/>
    <col min="13063" max="13066" width="17.85546875" style="377" customWidth="1"/>
    <col min="13067" max="13067" width="21.7109375" style="377" customWidth="1"/>
    <col min="13068" max="13068" width="26.85546875" style="377" customWidth="1"/>
    <col min="13069" max="13069" width="24.85546875" style="377" customWidth="1"/>
    <col min="13070" max="13074" width="5.85546875" style="377" bestFit="1" customWidth="1"/>
    <col min="13075" max="13075" width="30.28515625" style="377" customWidth="1"/>
    <col min="13076" max="13079" width="18.42578125" style="377" customWidth="1"/>
    <col min="13080" max="13080" width="21.28515625" style="377" customWidth="1"/>
    <col min="13081" max="13081" width="19.42578125" style="377" customWidth="1"/>
    <col min="13082" max="13082" width="25.85546875" style="377" customWidth="1"/>
    <col min="13083" max="13086" width="5.85546875" style="377" bestFit="1" customWidth="1"/>
    <col min="13087" max="13087" width="8.28515625" style="377" customWidth="1"/>
    <col min="13088" max="13089" width="30.140625" style="377" customWidth="1"/>
    <col min="13090" max="13090" width="18.7109375" style="377" customWidth="1"/>
    <col min="13091" max="13091" width="20.140625" style="377" customWidth="1"/>
    <col min="13092" max="13092" width="31.28515625" style="377" customWidth="1"/>
    <col min="13093" max="13093" width="26.7109375" style="377" customWidth="1"/>
    <col min="13094" max="13094" width="21.42578125" style="377" customWidth="1"/>
    <col min="13095" max="13095" width="21.85546875" style="377" customWidth="1"/>
    <col min="13096" max="13096" width="18.85546875" style="377" customWidth="1"/>
    <col min="13097" max="13097" width="15.42578125" style="377" customWidth="1"/>
    <col min="13098" max="13105" width="11.42578125" style="377"/>
    <col min="13106" max="13106" width="14.85546875" style="377" customWidth="1"/>
    <col min="13107" max="13107" width="15.85546875" style="377" customWidth="1"/>
    <col min="13108" max="13108" width="17.7109375" style="377" customWidth="1"/>
    <col min="13109" max="13313" width="11.42578125" style="377"/>
    <col min="13314" max="13314" width="23" style="377" customWidth="1"/>
    <col min="13315" max="13315" width="11.42578125" style="377"/>
    <col min="13316" max="13316" width="11.42578125" style="377" customWidth="1"/>
    <col min="13317" max="13317" width="21" style="377" customWidth="1"/>
    <col min="13318" max="13318" width="24.42578125" style="377" customWidth="1"/>
    <col min="13319" max="13322" width="17.85546875" style="377" customWidth="1"/>
    <col min="13323" max="13323" width="21.7109375" style="377" customWidth="1"/>
    <col min="13324" max="13324" width="26.85546875" style="377" customWidth="1"/>
    <col min="13325" max="13325" width="24.85546875" style="377" customWidth="1"/>
    <col min="13326" max="13330" width="5.85546875" style="377" bestFit="1" customWidth="1"/>
    <col min="13331" max="13331" width="30.28515625" style="377" customWidth="1"/>
    <col min="13332" max="13335" width="18.42578125" style="377" customWidth="1"/>
    <col min="13336" max="13336" width="21.28515625" style="377" customWidth="1"/>
    <col min="13337" max="13337" width="19.42578125" style="377" customWidth="1"/>
    <col min="13338" max="13338" width="25.85546875" style="377" customWidth="1"/>
    <col min="13339" max="13342" width="5.85546875" style="377" bestFit="1" customWidth="1"/>
    <col min="13343" max="13343" width="8.28515625" style="377" customWidth="1"/>
    <col min="13344" max="13345" width="30.140625" style="377" customWidth="1"/>
    <col min="13346" max="13346" width="18.7109375" style="377" customWidth="1"/>
    <col min="13347" max="13347" width="20.140625" style="377" customWidth="1"/>
    <col min="13348" max="13348" width="31.28515625" style="377" customWidth="1"/>
    <col min="13349" max="13349" width="26.7109375" style="377" customWidth="1"/>
    <col min="13350" max="13350" width="21.42578125" style="377" customWidth="1"/>
    <col min="13351" max="13351" width="21.85546875" style="377" customWidth="1"/>
    <col min="13352" max="13352" width="18.85546875" style="377" customWidth="1"/>
    <col min="13353" max="13353" width="15.42578125" style="377" customWidth="1"/>
    <col min="13354" max="13361" width="11.42578125" style="377"/>
    <col min="13362" max="13362" width="14.85546875" style="377" customWidth="1"/>
    <col min="13363" max="13363" width="15.85546875" style="377" customWidth="1"/>
    <col min="13364" max="13364" width="17.7109375" style="377" customWidth="1"/>
    <col min="13365" max="13569" width="11.42578125" style="377"/>
    <col min="13570" max="13570" width="23" style="377" customWidth="1"/>
    <col min="13571" max="13571" width="11.42578125" style="377"/>
    <col min="13572" max="13572" width="11.42578125" style="377" customWidth="1"/>
    <col min="13573" max="13573" width="21" style="377" customWidth="1"/>
    <col min="13574" max="13574" width="24.42578125" style="377" customWidth="1"/>
    <col min="13575" max="13578" width="17.85546875" style="377" customWidth="1"/>
    <col min="13579" max="13579" width="21.7109375" style="377" customWidth="1"/>
    <col min="13580" max="13580" width="26.85546875" style="377" customWidth="1"/>
    <col min="13581" max="13581" width="24.85546875" style="377" customWidth="1"/>
    <col min="13582" max="13586" width="5.85546875" style="377" bestFit="1" customWidth="1"/>
    <col min="13587" max="13587" width="30.28515625" style="377" customWidth="1"/>
    <col min="13588" max="13591" width="18.42578125" style="377" customWidth="1"/>
    <col min="13592" max="13592" width="21.28515625" style="377" customWidth="1"/>
    <col min="13593" max="13593" width="19.42578125" style="377" customWidth="1"/>
    <col min="13594" max="13594" width="25.85546875" style="377" customWidth="1"/>
    <col min="13595" max="13598" width="5.85546875" style="377" bestFit="1" customWidth="1"/>
    <col min="13599" max="13599" width="8.28515625" style="377" customWidth="1"/>
    <col min="13600" max="13601" width="30.140625" style="377" customWidth="1"/>
    <col min="13602" max="13602" width="18.7109375" style="377" customWidth="1"/>
    <col min="13603" max="13603" width="20.140625" style="377" customWidth="1"/>
    <col min="13604" max="13604" width="31.28515625" style="377" customWidth="1"/>
    <col min="13605" max="13605" width="26.7109375" style="377" customWidth="1"/>
    <col min="13606" max="13606" width="21.42578125" style="377" customWidth="1"/>
    <col min="13607" max="13607" width="21.85546875" style="377" customWidth="1"/>
    <col min="13608" max="13608" width="18.85546875" style="377" customWidth="1"/>
    <col min="13609" max="13609" width="15.42578125" style="377" customWidth="1"/>
    <col min="13610" max="13617" width="11.42578125" style="377"/>
    <col min="13618" max="13618" width="14.85546875" style="377" customWidth="1"/>
    <col min="13619" max="13619" width="15.85546875" style="377" customWidth="1"/>
    <col min="13620" max="13620" width="17.7109375" style="377" customWidth="1"/>
    <col min="13621" max="13825" width="11.42578125" style="377"/>
    <col min="13826" max="13826" width="23" style="377" customWidth="1"/>
    <col min="13827" max="13827" width="11.42578125" style="377"/>
    <col min="13828" max="13828" width="11.42578125" style="377" customWidth="1"/>
    <col min="13829" max="13829" width="21" style="377" customWidth="1"/>
    <col min="13830" max="13830" width="24.42578125" style="377" customWidth="1"/>
    <col min="13831" max="13834" width="17.85546875" style="377" customWidth="1"/>
    <col min="13835" max="13835" width="21.7109375" style="377" customWidth="1"/>
    <col min="13836" max="13836" width="26.85546875" style="377" customWidth="1"/>
    <col min="13837" max="13837" width="24.85546875" style="377" customWidth="1"/>
    <col min="13838" max="13842" width="5.85546875" style="377" bestFit="1" customWidth="1"/>
    <col min="13843" max="13843" width="30.28515625" style="377" customWidth="1"/>
    <col min="13844" max="13847" width="18.42578125" style="377" customWidth="1"/>
    <col min="13848" max="13848" width="21.28515625" style="377" customWidth="1"/>
    <col min="13849" max="13849" width="19.42578125" style="377" customWidth="1"/>
    <col min="13850" max="13850" width="25.85546875" style="377" customWidth="1"/>
    <col min="13851" max="13854" width="5.85546875" style="377" bestFit="1" customWidth="1"/>
    <col min="13855" max="13855" width="8.28515625" style="377" customWidth="1"/>
    <col min="13856" max="13857" width="30.140625" style="377" customWidth="1"/>
    <col min="13858" max="13858" width="18.7109375" style="377" customWidth="1"/>
    <col min="13859" max="13859" width="20.140625" style="377" customWidth="1"/>
    <col min="13860" max="13860" width="31.28515625" style="377" customWidth="1"/>
    <col min="13861" max="13861" width="26.7109375" style="377" customWidth="1"/>
    <col min="13862" max="13862" width="21.42578125" style="377" customWidth="1"/>
    <col min="13863" max="13863" width="21.85546875" style="377" customWidth="1"/>
    <col min="13864" max="13864" width="18.85546875" style="377" customWidth="1"/>
    <col min="13865" max="13865" width="15.42578125" style="377" customWidth="1"/>
    <col min="13866" max="13873" width="11.42578125" style="377"/>
    <col min="13874" max="13874" width="14.85546875" style="377" customWidth="1"/>
    <col min="13875" max="13875" width="15.85546875" style="377" customWidth="1"/>
    <col min="13876" max="13876" width="17.7109375" style="377" customWidth="1"/>
    <col min="13877" max="14081" width="11.42578125" style="377"/>
    <col min="14082" max="14082" width="23" style="377" customWidth="1"/>
    <col min="14083" max="14083" width="11.42578125" style="377"/>
    <col min="14084" max="14084" width="11.42578125" style="377" customWidth="1"/>
    <col min="14085" max="14085" width="21" style="377" customWidth="1"/>
    <col min="14086" max="14086" width="24.42578125" style="377" customWidth="1"/>
    <col min="14087" max="14090" width="17.85546875" style="377" customWidth="1"/>
    <col min="14091" max="14091" width="21.7109375" style="377" customWidth="1"/>
    <col min="14092" max="14092" width="26.85546875" style="377" customWidth="1"/>
    <col min="14093" max="14093" width="24.85546875" style="377" customWidth="1"/>
    <col min="14094" max="14098" width="5.85546875" style="377" bestFit="1" customWidth="1"/>
    <col min="14099" max="14099" width="30.28515625" style="377" customWidth="1"/>
    <col min="14100" max="14103" width="18.42578125" style="377" customWidth="1"/>
    <col min="14104" max="14104" width="21.28515625" style="377" customWidth="1"/>
    <col min="14105" max="14105" width="19.42578125" style="377" customWidth="1"/>
    <col min="14106" max="14106" width="25.85546875" style="377" customWidth="1"/>
    <col min="14107" max="14110" width="5.85546875" style="377" bestFit="1" customWidth="1"/>
    <col min="14111" max="14111" width="8.28515625" style="377" customWidth="1"/>
    <col min="14112" max="14113" width="30.140625" style="377" customWidth="1"/>
    <col min="14114" max="14114" width="18.7109375" style="377" customWidth="1"/>
    <col min="14115" max="14115" width="20.140625" style="377" customWidth="1"/>
    <col min="14116" max="14116" width="31.28515625" style="377" customWidth="1"/>
    <col min="14117" max="14117" width="26.7109375" style="377" customWidth="1"/>
    <col min="14118" max="14118" width="21.42578125" style="377" customWidth="1"/>
    <col min="14119" max="14119" width="21.85546875" style="377" customWidth="1"/>
    <col min="14120" max="14120" width="18.85546875" style="377" customWidth="1"/>
    <col min="14121" max="14121" width="15.42578125" style="377" customWidth="1"/>
    <col min="14122" max="14129" width="11.42578125" style="377"/>
    <col min="14130" max="14130" width="14.85546875" style="377" customWidth="1"/>
    <col min="14131" max="14131" width="15.85546875" style="377" customWidth="1"/>
    <col min="14132" max="14132" width="17.7109375" style="377" customWidth="1"/>
    <col min="14133" max="14337" width="11.42578125" style="377"/>
    <col min="14338" max="14338" width="23" style="377" customWidth="1"/>
    <col min="14339" max="14339" width="11.42578125" style="377"/>
    <col min="14340" max="14340" width="11.42578125" style="377" customWidth="1"/>
    <col min="14341" max="14341" width="21" style="377" customWidth="1"/>
    <col min="14342" max="14342" width="24.42578125" style="377" customWidth="1"/>
    <col min="14343" max="14346" width="17.85546875" style="377" customWidth="1"/>
    <col min="14347" max="14347" width="21.7109375" style="377" customWidth="1"/>
    <col min="14348" max="14348" width="26.85546875" style="377" customWidth="1"/>
    <col min="14349" max="14349" width="24.85546875" style="377" customWidth="1"/>
    <col min="14350" max="14354" width="5.85546875" style="377" bestFit="1" customWidth="1"/>
    <col min="14355" max="14355" width="30.28515625" style="377" customWidth="1"/>
    <col min="14356" max="14359" width="18.42578125" style="377" customWidth="1"/>
    <col min="14360" max="14360" width="21.28515625" style="377" customWidth="1"/>
    <col min="14361" max="14361" width="19.42578125" style="377" customWidth="1"/>
    <col min="14362" max="14362" width="25.85546875" style="377" customWidth="1"/>
    <col min="14363" max="14366" width="5.85546875" style="377" bestFit="1" customWidth="1"/>
    <col min="14367" max="14367" width="8.28515625" style="377" customWidth="1"/>
    <col min="14368" max="14369" width="30.140625" style="377" customWidth="1"/>
    <col min="14370" max="14370" width="18.7109375" style="377" customWidth="1"/>
    <col min="14371" max="14371" width="20.140625" style="377" customWidth="1"/>
    <col min="14372" max="14372" width="31.28515625" style="377" customWidth="1"/>
    <col min="14373" max="14373" width="26.7109375" style="377" customWidth="1"/>
    <col min="14374" max="14374" width="21.42578125" style="377" customWidth="1"/>
    <col min="14375" max="14375" width="21.85546875" style="377" customWidth="1"/>
    <col min="14376" max="14376" width="18.85546875" style="377" customWidth="1"/>
    <col min="14377" max="14377" width="15.42578125" style="377" customWidth="1"/>
    <col min="14378" max="14385" width="11.42578125" style="377"/>
    <col min="14386" max="14386" width="14.85546875" style="377" customWidth="1"/>
    <col min="14387" max="14387" width="15.85546875" style="377" customWidth="1"/>
    <col min="14388" max="14388" width="17.7109375" style="377" customWidth="1"/>
    <col min="14389" max="14593" width="11.42578125" style="377"/>
    <col min="14594" max="14594" width="23" style="377" customWidth="1"/>
    <col min="14595" max="14595" width="11.42578125" style="377"/>
    <col min="14596" max="14596" width="11.42578125" style="377" customWidth="1"/>
    <col min="14597" max="14597" width="21" style="377" customWidth="1"/>
    <col min="14598" max="14598" width="24.42578125" style="377" customWidth="1"/>
    <col min="14599" max="14602" width="17.85546875" style="377" customWidth="1"/>
    <col min="14603" max="14603" width="21.7109375" style="377" customWidth="1"/>
    <col min="14604" max="14604" width="26.85546875" style="377" customWidth="1"/>
    <col min="14605" max="14605" width="24.85546875" style="377" customWidth="1"/>
    <col min="14606" max="14610" width="5.85546875" style="377" bestFit="1" customWidth="1"/>
    <col min="14611" max="14611" width="30.28515625" style="377" customWidth="1"/>
    <col min="14612" max="14615" width="18.42578125" style="377" customWidth="1"/>
    <col min="14616" max="14616" width="21.28515625" style="377" customWidth="1"/>
    <col min="14617" max="14617" width="19.42578125" style="377" customWidth="1"/>
    <col min="14618" max="14618" width="25.85546875" style="377" customWidth="1"/>
    <col min="14619" max="14622" width="5.85546875" style="377" bestFit="1" customWidth="1"/>
    <col min="14623" max="14623" width="8.28515625" style="377" customWidth="1"/>
    <col min="14624" max="14625" width="30.140625" style="377" customWidth="1"/>
    <col min="14626" max="14626" width="18.7109375" style="377" customWidth="1"/>
    <col min="14627" max="14627" width="20.140625" style="377" customWidth="1"/>
    <col min="14628" max="14628" width="31.28515625" style="377" customWidth="1"/>
    <col min="14629" max="14629" width="26.7109375" style="377" customWidth="1"/>
    <col min="14630" max="14630" width="21.42578125" style="377" customWidth="1"/>
    <col min="14631" max="14631" width="21.85546875" style="377" customWidth="1"/>
    <col min="14632" max="14632" width="18.85546875" style="377" customWidth="1"/>
    <col min="14633" max="14633" width="15.42578125" style="377" customWidth="1"/>
    <col min="14634" max="14641" width="11.42578125" style="377"/>
    <col min="14642" max="14642" width="14.85546875" style="377" customWidth="1"/>
    <col min="14643" max="14643" width="15.85546875" style="377" customWidth="1"/>
    <col min="14644" max="14644" width="17.7109375" style="377" customWidth="1"/>
    <col min="14645" max="14849" width="11.42578125" style="377"/>
    <col min="14850" max="14850" width="23" style="377" customWidth="1"/>
    <col min="14851" max="14851" width="11.42578125" style="377"/>
    <col min="14852" max="14852" width="11.42578125" style="377" customWidth="1"/>
    <col min="14853" max="14853" width="21" style="377" customWidth="1"/>
    <col min="14854" max="14854" width="24.42578125" style="377" customWidth="1"/>
    <col min="14855" max="14858" width="17.85546875" style="377" customWidth="1"/>
    <col min="14859" max="14859" width="21.7109375" style="377" customWidth="1"/>
    <col min="14860" max="14860" width="26.85546875" style="377" customWidth="1"/>
    <col min="14861" max="14861" width="24.85546875" style="377" customWidth="1"/>
    <col min="14862" max="14866" width="5.85546875" style="377" bestFit="1" customWidth="1"/>
    <col min="14867" max="14867" width="30.28515625" style="377" customWidth="1"/>
    <col min="14868" max="14871" width="18.42578125" style="377" customWidth="1"/>
    <col min="14872" max="14872" width="21.28515625" style="377" customWidth="1"/>
    <col min="14873" max="14873" width="19.42578125" style="377" customWidth="1"/>
    <col min="14874" max="14874" width="25.85546875" style="377" customWidth="1"/>
    <col min="14875" max="14878" width="5.85546875" style="377" bestFit="1" customWidth="1"/>
    <col min="14879" max="14879" width="8.28515625" style="377" customWidth="1"/>
    <col min="14880" max="14881" width="30.140625" style="377" customWidth="1"/>
    <col min="14882" max="14882" width="18.7109375" style="377" customWidth="1"/>
    <col min="14883" max="14883" width="20.140625" style="377" customWidth="1"/>
    <col min="14884" max="14884" width="31.28515625" style="377" customWidth="1"/>
    <col min="14885" max="14885" width="26.7109375" style="377" customWidth="1"/>
    <col min="14886" max="14886" width="21.42578125" style="377" customWidth="1"/>
    <col min="14887" max="14887" width="21.85546875" style="377" customWidth="1"/>
    <col min="14888" max="14888" width="18.85546875" style="377" customWidth="1"/>
    <col min="14889" max="14889" width="15.42578125" style="377" customWidth="1"/>
    <col min="14890" max="14897" width="11.42578125" style="377"/>
    <col min="14898" max="14898" width="14.85546875" style="377" customWidth="1"/>
    <col min="14899" max="14899" width="15.85546875" style="377" customWidth="1"/>
    <col min="14900" max="14900" width="17.7109375" style="377" customWidth="1"/>
    <col min="14901" max="15105" width="11.42578125" style="377"/>
    <col min="15106" max="15106" width="23" style="377" customWidth="1"/>
    <col min="15107" max="15107" width="11.42578125" style="377"/>
    <col min="15108" max="15108" width="11.42578125" style="377" customWidth="1"/>
    <col min="15109" max="15109" width="21" style="377" customWidth="1"/>
    <col min="15110" max="15110" width="24.42578125" style="377" customWidth="1"/>
    <col min="15111" max="15114" width="17.85546875" style="377" customWidth="1"/>
    <col min="15115" max="15115" width="21.7109375" style="377" customWidth="1"/>
    <col min="15116" max="15116" width="26.85546875" style="377" customWidth="1"/>
    <col min="15117" max="15117" width="24.85546875" style="377" customWidth="1"/>
    <col min="15118" max="15122" width="5.85546875" style="377" bestFit="1" customWidth="1"/>
    <col min="15123" max="15123" width="30.28515625" style="377" customWidth="1"/>
    <col min="15124" max="15127" width="18.42578125" style="377" customWidth="1"/>
    <col min="15128" max="15128" width="21.28515625" style="377" customWidth="1"/>
    <col min="15129" max="15129" width="19.42578125" style="377" customWidth="1"/>
    <col min="15130" max="15130" width="25.85546875" style="377" customWidth="1"/>
    <col min="15131" max="15134" width="5.85546875" style="377" bestFit="1" customWidth="1"/>
    <col min="15135" max="15135" width="8.28515625" style="377" customWidth="1"/>
    <col min="15136" max="15137" width="30.140625" style="377" customWidth="1"/>
    <col min="15138" max="15138" width="18.7109375" style="377" customWidth="1"/>
    <col min="15139" max="15139" width="20.140625" style="377" customWidth="1"/>
    <col min="15140" max="15140" width="31.28515625" style="377" customWidth="1"/>
    <col min="15141" max="15141" width="26.7109375" style="377" customWidth="1"/>
    <col min="15142" max="15142" width="21.42578125" style="377" customWidth="1"/>
    <col min="15143" max="15143" width="21.85546875" style="377" customWidth="1"/>
    <col min="15144" max="15144" width="18.85546875" style="377" customWidth="1"/>
    <col min="15145" max="15145" width="15.42578125" style="377" customWidth="1"/>
    <col min="15146" max="15153" width="11.42578125" style="377"/>
    <col min="15154" max="15154" width="14.85546875" style="377" customWidth="1"/>
    <col min="15155" max="15155" width="15.85546875" style="377" customWidth="1"/>
    <col min="15156" max="15156" width="17.7109375" style="377" customWidth="1"/>
    <col min="15157" max="15361" width="11.42578125" style="377"/>
    <col min="15362" max="15362" width="23" style="377" customWidth="1"/>
    <col min="15363" max="15363" width="11.42578125" style="377"/>
    <col min="15364" max="15364" width="11.42578125" style="377" customWidth="1"/>
    <col min="15365" max="15365" width="21" style="377" customWidth="1"/>
    <col min="15366" max="15366" width="24.42578125" style="377" customWidth="1"/>
    <col min="15367" max="15370" width="17.85546875" style="377" customWidth="1"/>
    <col min="15371" max="15371" width="21.7109375" style="377" customWidth="1"/>
    <col min="15372" max="15372" width="26.85546875" style="377" customWidth="1"/>
    <col min="15373" max="15373" width="24.85546875" style="377" customWidth="1"/>
    <col min="15374" max="15378" width="5.85546875" style="377" bestFit="1" customWidth="1"/>
    <col min="15379" max="15379" width="30.28515625" style="377" customWidth="1"/>
    <col min="15380" max="15383" width="18.42578125" style="377" customWidth="1"/>
    <col min="15384" max="15384" width="21.28515625" style="377" customWidth="1"/>
    <col min="15385" max="15385" width="19.42578125" style="377" customWidth="1"/>
    <col min="15386" max="15386" width="25.85546875" style="377" customWidth="1"/>
    <col min="15387" max="15390" width="5.85546875" style="377" bestFit="1" customWidth="1"/>
    <col min="15391" max="15391" width="8.28515625" style="377" customWidth="1"/>
    <col min="15392" max="15393" width="30.140625" style="377" customWidth="1"/>
    <col min="15394" max="15394" width="18.7109375" style="377" customWidth="1"/>
    <col min="15395" max="15395" width="20.140625" style="377" customWidth="1"/>
    <col min="15396" max="15396" width="31.28515625" style="377" customWidth="1"/>
    <col min="15397" max="15397" width="26.7109375" style="377" customWidth="1"/>
    <col min="15398" max="15398" width="21.42578125" style="377" customWidth="1"/>
    <col min="15399" max="15399" width="21.85546875" style="377" customWidth="1"/>
    <col min="15400" max="15400" width="18.85546875" style="377" customWidth="1"/>
    <col min="15401" max="15401" width="15.42578125" style="377" customWidth="1"/>
    <col min="15402" max="15409" width="11.42578125" style="377"/>
    <col min="15410" max="15410" width="14.85546875" style="377" customWidth="1"/>
    <col min="15411" max="15411" width="15.85546875" style="377" customWidth="1"/>
    <col min="15412" max="15412" width="17.7109375" style="377" customWidth="1"/>
    <col min="15413" max="15617" width="11.42578125" style="377"/>
    <col min="15618" max="15618" width="23" style="377" customWidth="1"/>
    <col min="15619" max="15619" width="11.42578125" style="377"/>
    <col min="15620" max="15620" width="11.42578125" style="377" customWidth="1"/>
    <col min="15621" max="15621" width="21" style="377" customWidth="1"/>
    <col min="15622" max="15622" width="24.42578125" style="377" customWidth="1"/>
    <col min="15623" max="15626" width="17.85546875" style="377" customWidth="1"/>
    <col min="15627" max="15627" width="21.7109375" style="377" customWidth="1"/>
    <col min="15628" max="15628" width="26.85546875" style="377" customWidth="1"/>
    <col min="15629" max="15629" width="24.85546875" style="377" customWidth="1"/>
    <col min="15630" max="15634" width="5.85546875" style="377" bestFit="1" customWidth="1"/>
    <col min="15635" max="15635" width="30.28515625" style="377" customWidth="1"/>
    <col min="15636" max="15639" width="18.42578125" style="377" customWidth="1"/>
    <col min="15640" max="15640" width="21.28515625" style="377" customWidth="1"/>
    <col min="15641" max="15641" width="19.42578125" style="377" customWidth="1"/>
    <col min="15642" max="15642" width="25.85546875" style="377" customWidth="1"/>
    <col min="15643" max="15646" width="5.85546875" style="377" bestFit="1" customWidth="1"/>
    <col min="15647" max="15647" width="8.28515625" style="377" customWidth="1"/>
    <col min="15648" max="15649" width="30.140625" style="377" customWidth="1"/>
    <col min="15650" max="15650" width="18.7109375" style="377" customWidth="1"/>
    <col min="15651" max="15651" width="20.140625" style="377" customWidth="1"/>
    <col min="15652" max="15652" width="31.28515625" style="377" customWidth="1"/>
    <col min="15653" max="15653" width="26.7109375" style="377" customWidth="1"/>
    <col min="15654" max="15654" width="21.42578125" style="377" customWidth="1"/>
    <col min="15655" max="15655" width="21.85546875" style="377" customWidth="1"/>
    <col min="15656" max="15656" width="18.85546875" style="377" customWidth="1"/>
    <col min="15657" max="15657" width="15.42578125" style="377" customWidth="1"/>
    <col min="15658" max="15665" width="11.42578125" style="377"/>
    <col min="15666" max="15666" width="14.85546875" style="377" customWidth="1"/>
    <col min="15667" max="15667" width="15.85546875" style="377" customWidth="1"/>
    <col min="15668" max="15668" width="17.7109375" style="377" customWidth="1"/>
    <col min="15669" max="15873" width="11.42578125" style="377"/>
    <col min="15874" max="15874" width="23" style="377" customWidth="1"/>
    <col min="15875" max="15875" width="11.42578125" style="377"/>
    <col min="15876" max="15876" width="11.42578125" style="377" customWidth="1"/>
    <col min="15877" max="15877" width="21" style="377" customWidth="1"/>
    <col min="15878" max="15878" width="24.42578125" style="377" customWidth="1"/>
    <col min="15879" max="15882" width="17.85546875" style="377" customWidth="1"/>
    <col min="15883" max="15883" width="21.7109375" style="377" customWidth="1"/>
    <col min="15884" max="15884" width="26.85546875" style="377" customWidth="1"/>
    <col min="15885" max="15885" width="24.85546875" style="377" customWidth="1"/>
    <col min="15886" max="15890" width="5.85546875" style="377" bestFit="1" customWidth="1"/>
    <col min="15891" max="15891" width="30.28515625" style="377" customWidth="1"/>
    <col min="15892" max="15895" width="18.42578125" style="377" customWidth="1"/>
    <col min="15896" max="15896" width="21.28515625" style="377" customWidth="1"/>
    <col min="15897" max="15897" width="19.42578125" style="377" customWidth="1"/>
    <col min="15898" max="15898" width="25.85546875" style="377" customWidth="1"/>
    <col min="15899" max="15902" width="5.85546875" style="377" bestFit="1" customWidth="1"/>
    <col min="15903" max="15903" width="8.28515625" style="377" customWidth="1"/>
    <col min="15904" max="15905" width="30.140625" style="377" customWidth="1"/>
    <col min="15906" max="15906" width="18.7109375" style="377" customWidth="1"/>
    <col min="15907" max="15907" width="20.140625" style="377" customWidth="1"/>
    <col min="15908" max="15908" width="31.28515625" style="377" customWidth="1"/>
    <col min="15909" max="15909" width="26.7109375" style="377" customWidth="1"/>
    <col min="15910" max="15910" width="21.42578125" style="377" customWidth="1"/>
    <col min="15911" max="15911" width="21.85546875" style="377" customWidth="1"/>
    <col min="15912" max="15912" width="18.85546875" style="377" customWidth="1"/>
    <col min="15913" max="15913" width="15.42578125" style="377" customWidth="1"/>
    <col min="15914" max="15921" width="11.42578125" style="377"/>
    <col min="15922" max="15922" width="14.85546875" style="377" customWidth="1"/>
    <col min="15923" max="15923" width="15.85546875" style="377" customWidth="1"/>
    <col min="15924" max="15924" width="17.7109375" style="377" customWidth="1"/>
    <col min="15925" max="16129" width="11.42578125" style="377"/>
    <col min="16130" max="16130" width="23" style="377" customWidth="1"/>
    <col min="16131" max="16131" width="11.42578125" style="377"/>
    <col min="16132" max="16132" width="11.42578125" style="377" customWidth="1"/>
    <col min="16133" max="16133" width="21" style="377" customWidth="1"/>
    <col min="16134" max="16134" width="24.42578125" style="377" customWidth="1"/>
    <col min="16135" max="16138" width="17.85546875" style="377" customWidth="1"/>
    <col min="16139" max="16139" width="21.7109375" style="377" customWidth="1"/>
    <col min="16140" max="16140" width="26.85546875" style="377" customWidth="1"/>
    <col min="16141" max="16141" width="24.85546875" style="377" customWidth="1"/>
    <col min="16142" max="16146" width="5.85546875" style="377" bestFit="1" customWidth="1"/>
    <col min="16147" max="16147" width="30.28515625" style="377" customWidth="1"/>
    <col min="16148" max="16151" width="18.42578125" style="377" customWidth="1"/>
    <col min="16152" max="16152" width="21.28515625" style="377" customWidth="1"/>
    <col min="16153" max="16153" width="19.42578125" style="377" customWidth="1"/>
    <col min="16154" max="16154" width="25.85546875" style="377" customWidth="1"/>
    <col min="16155" max="16158" width="5.85546875" style="377" bestFit="1" customWidth="1"/>
    <col min="16159" max="16159" width="8.28515625" style="377" customWidth="1"/>
    <col min="16160" max="16161" width="30.140625" style="377" customWidth="1"/>
    <col min="16162" max="16162" width="18.7109375" style="377" customWidth="1"/>
    <col min="16163" max="16163" width="20.140625" style="377" customWidth="1"/>
    <col min="16164" max="16164" width="31.28515625" style="377" customWidth="1"/>
    <col min="16165" max="16165" width="26.7109375" style="377" customWidth="1"/>
    <col min="16166" max="16166" width="21.42578125" style="377" customWidth="1"/>
    <col min="16167" max="16167" width="21.85546875" style="377" customWidth="1"/>
    <col min="16168" max="16168" width="18.85546875" style="377" customWidth="1"/>
    <col min="16169" max="16169" width="15.42578125" style="377" customWidth="1"/>
    <col min="16170" max="16177" width="11.42578125" style="377"/>
    <col min="16178" max="16178" width="14.85546875" style="377" customWidth="1"/>
    <col min="16179" max="16179" width="15.85546875" style="377" customWidth="1"/>
    <col min="16180" max="16180" width="17.7109375" style="377" customWidth="1"/>
    <col min="16181" max="16384" width="11.42578125" style="377"/>
  </cols>
  <sheetData>
    <row r="1" spans="1:56" ht="29.25" customHeight="1" x14ac:dyDescent="0.25">
      <c r="A1" s="923"/>
      <c r="B1" s="924"/>
      <c r="C1" s="924"/>
      <c r="D1" s="924"/>
      <c r="E1" s="927" t="s">
        <v>0</v>
      </c>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c r="AF1" s="927"/>
      <c r="AG1" s="927"/>
      <c r="AH1" s="927"/>
      <c r="AI1" s="927"/>
      <c r="AJ1" s="927"/>
      <c r="AK1" s="927"/>
      <c r="AL1" s="927"/>
      <c r="AM1" s="927"/>
      <c r="AN1" s="927"/>
      <c r="AO1" s="927"/>
      <c r="AP1" s="927"/>
      <c r="AQ1" s="927"/>
      <c r="AR1" s="927"/>
      <c r="AS1" s="927"/>
      <c r="AT1" s="927"/>
      <c r="AU1" s="927"/>
      <c r="AV1" s="927"/>
      <c r="AW1" s="927"/>
      <c r="AX1" s="927"/>
      <c r="AY1" s="927"/>
      <c r="AZ1" s="927"/>
    </row>
    <row r="2" spans="1:56" ht="50.25" customHeight="1" thickBot="1" x14ac:dyDescent="0.3">
      <c r="A2" s="925"/>
      <c r="B2" s="926"/>
      <c r="C2" s="926"/>
      <c r="D2" s="926"/>
      <c r="E2" s="928" t="s">
        <v>229</v>
      </c>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row>
    <row r="3" spans="1:56" ht="27.75" customHeight="1" thickBot="1" x14ac:dyDescent="0.3">
      <c r="A3" s="925"/>
      <c r="B3" s="926"/>
      <c r="C3" s="926"/>
      <c r="D3" s="926"/>
      <c r="E3" s="929" t="s">
        <v>172</v>
      </c>
      <c r="F3" s="930"/>
      <c r="G3" s="930"/>
      <c r="H3" s="930"/>
      <c r="I3" s="930"/>
      <c r="J3" s="930"/>
      <c r="K3" s="930"/>
      <c r="L3" s="930"/>
      <c r="M3" s="930"/>
      <c r="N3" s="930"/>
      <c r="O3" s="930"/>
      <c r="P3" s="930"/>
      <c r="Q3" s="930"/>
      <c r="R3" s="930"/>
      <c r="S3" s="930"/>
      <c r="T3" s="930"/>
      <c r="U3" s="930"/>
      <c r="V3" s="930"/>
      <c r="W3" s="930"/>
      <c r="X3" s="930"/>
      <c r="Y3" s="930"/>
      <c r="Z3" s="930"/>
      <c r="AA3" s="930"/>
      <c r="AB3" s="930"/>
      <c r="AC3" s="930"/>
      <c r="AD3" s="931"/>
      <c r="AE3" s="932" t="s">
        <v>230</v>
      </c>
      <c r="AF3" s="933"/>
      <c r="AG3" s="933"/>
      <c r="AH3" s="933"/>
      <c r="AI3" s="933"/>
      <c r="AJ3" s="933"/>
      <c r="AK3" s="933"/>
      <c r="AL3" s="933"/>
      <c r="AM3" s="933"/>
      <c r="AN3" s="933"/>
      <c r="AO3" s="933"/>
      <c r="AP3" s="933"/>
      <c r="AQ3" s="933"/>
      <c r="AR3" s="933"/>
      <c r="AS3" s="933"/>
      <c r="AT3" s="933"/>
      <c r="AU3" s="933"/>
      <c r="AV3" s="933"/>
      <c r="AW3" s="933"/>
      <c r="AX3" s="933"/>
      <c r="AY3" s="933"/>
      <c r="AZ3" s="934"/>
    </row>
    <row r="4" spans="1:56" ht="15.75" customHeight="1" thickBot="1" x14ac:dyDescent="0.3">
      <c r="A4" s="935" t="s">
        <v>4</v>
      </c>
      <c r="B4" s="936"/>
      <c r="C4" s="936"/>
      <c r="D4" s="937"/>
      <c r="E4" s="938" t="s">
        <v>5</v>
      </c>
      <c r="F4" s="938"/>
      <c r="G4" s="939"/>
      <c r="H4" s="939"/>
      <c r="I4" s="939"/>
      <c r="J4" s="939"/>
      <c r="K4" s="939"/>
      <c r="L4" s="939"/>
      <c r="M4" s="939"/>
      <c r="N4" s="939"/>
      <c r="O4" s="939"/>
      <c r="P4" s="939"/>
      <c r="Q4" s="939"/>
      <c r="R4" s="939"/>
      <c r="S4" s="939"/>
      <c r="T4" s="939"/>
      <c r="U4" s="939"/>
      <c r="V4" s="939"/>
      <c r="W4" s="939"/>
      <c r="X4" s="939"/>
      <c r="Y4" s="939"/>
      <c r="Z4" s="939"/>
      <c r="AA4" s="939"/>
      <c r="AB4" s="939"/>
      <c r="AC4" s="939"/>
      <c r="AD4" s="939"/>
      <c r="AE4" s="939"/>
      <c r="AF4" s="939"/>
      <c r="AG4" s="939"/>
      <c r="AH4" s="939"/>
      <c r="AI4" s="939"/>
      <c r="AJ4" s="939"/>
      <c r="AK4" s="939"/>
      <c r="AL4" s="939"/>
      <c r="AM4" s="939"/>
      <c r="AN4" s="939"/>
      <c r="AO4" s="939"/>
      <c r="AP4" s="939"/>
      <c r="AQ4" s="939"/>
      <c r="AR4" s="939"/>
      <c r="AS4" s="939"/>
      <c r="AT4" s="939"/>
      <c r="AU4" s="939"/>
      <c r="AV4" s="939"/>
      <c r="AW4" s="939"/>
      <c r="AX4" s="939"/>
      <c r="AY4" s="939"/>
      <c r="AZ4" s="940"/>
    </row>
    <row r="5" spans="1:56" ht="15.75" customHeight="1" thickBot="1" x14ac:dyDescent="0.3">
      <c r="A5" s="941" t="s">
        <v>6</v>
      </c>
      <c r="B5" s="942"/>
      <c r="C5" s="942"/>
      <c r="D5" s="943"/>
      <c r="E5" s="944" t="s">
        <v>7</v>
      </c>
      <c r="F5" s="944"/>
      <c r="G5" s="945"/>
      <c r="H5" s="945"/>
      <c r="I5" s="945"/>
      <c r="J5" s="945"/>
      <c r="K5" s="945"/>
      <c r="L5" s="945"/>
      <c r="M5" s="945"/>
      <c r="N5" s="945"/>
      <c r="O5" s="945"/>
      <c r="P5" s="945"/>
      <c r="Q5" s="945"/>
      <c r="R5" s="945"/>
      <c r="S5" s="945"/>
      <c r="T5" s="945"/>
      <c r="U5" s="945"/>
      <c r="V5" s="945"/>
      <c r="W5" s="945"/>
      <c r="X5" s="945"/>
      <c r="Y5" s="945"/>
      <c r="Z5" s="945"/>
      <c r="AA5" s="945"/>
      <c r="AB5" s="945"/>
      <c r="AC5" s="945"/>
      <c r="AD5" s="945"/>
      <c r="AE5" s="945"/>
      <c r="AF5" s="945"/>
      <c r="AG5" s="945"/>
      <c r="AH5" s="945"/>
      <c r="AI5" s="945"/>
      <c r="AJ5" s="945"/>
      <c r="AK5" s="945"/>
      <c r="AL5" s="945"/>
      <c r="AM5" s="945"/>
      <c r="AN5" s="945"/>
      <c r="AO5" s="945"/>
      <c r="AP5" s="945"/>
      <c r="AQ5" s="945"/>
      <c r="AR5" s="945"/>
      <c r="AS5" s="945"/>
      <c r="AT5" s="945"/>
      <c r="AU5" s="945"/>
      <c r="AV5" s="945"/>
      <c r="AW5" s="945"/>
      <c r="AX5" s="945"/>
      <c r="AY5" s="945"/>
      <c r="AZ5" s="946"/>
    </row>
    <row r="6" spans="1:56" ht="15.75" customHeight="1" thickBot="1" x14ac:dyDescent="0.3">
      <c r="A6" s="904" t="s">
        <v>231</v>
      </c>
      <c r="B6" s="905"/>
      <c r="C6" s="905"/>
      <c r="D6" s="906"/>
      <c r="E6" s="907" t="s">
        <v>718</v>
      </c>
      <c r="F6" s="907"/>
      <c r="G6" s="907"/>
      <c r="H6" s="907"/>
      <c r="I6" s="907"/>
      <c r="J6" s="907"/>
      <c r="K6" s="907"/>
      <c r="L6" s="907"/>
      <c r="M6" s="907"/>
      <c r="N6" s="907"/>
      <c r="O6" s="907"/>
      <c r="P6" s="907"/>
      <c r="Q6" s="907"/>
      <c r="R6" s="908"/>
      <c r="S6" s="908"/>
      <c r="T6" s="908"/>
      <c r="U6" s="908"/>
      <c r="V6" s="908"/>
      <c r="W6" s="908"/>
      <c r="X6" s="908"/>
      <c r="Y6" s="908"/>
      <c r="Z6" s="908"/>
      <c r="AA6" s="908"/>
      <c r="AB6" s="908"/>
      <c r="AC6" s="908"/>
      <c r="AD6" s="908"/>
      <c r="AE6" s="908"/>
      <c r="AF6" s="908"/>
      <c r="AG6" s="908"/>
      <c r="AH6" s="908"/>
      <c r="AI6" s="908"/>
      <c r="AJ6" s="908"/>
      <c r="AK6" s="908"/>
      <c r="AL6" s="908"/>
      <c r="AM6" s="908"/>
      <c r="AN6" s="908"/>
      <c r="AO6" s="908"/>
      <c r="AP6" s="908"/>
      <c r="AQ6" s="908"/>
      <c r="AR6" s="908"/>
      <c r="AS6" s="908"/>
      <c r="AT6" s="908"/>
      <c r="AU6" s="908"/>
      <c r="AV6" s="908"/>
      <c r="AW6" s="908"/>
      <c r="AX6" s="908"/>
      <c r="AY6" s="908"/>
      <c r="AZ6" s="909"/>
    </row>
    <row r="7" spans="1:56" ht="22.5" customHeight="1" thickBot="1" x14ac:dyDescent="0.3">
      <c r="A7" s="910"/>
      <c r="B7" s="911"/>
      <c r="C7" s="911"/>
      <c r="D7" s="911"/>
      <c r="E7" s="911"/>
      <c r="F7" s="911"/>
      <c r="G7" s="911"/>
      <c r="H7" s="911"/>
      <c r="I7" s="911"/>
      <c r="J7" s="911"/>
      <c r="K7" s="911"/>
      <c r="L7" s="911"/>
      <c r="M7" s="911"/>
      <c r="N7" s="911"/>
      <c r="O7" s="911"/>
      <c r="P7" s="911"/>
      <c r="Q7" s="911"/>
      <c r="R7" s="911"/>
      <c r="S7" s="911"/>
      <c r="T7" s="911"/>
      <c r="U7" s="911"/>
      <c r="V7" s="911"/>
      <c r="W7" s="911"/>
      <c r="X7" s="911"/>
      <c r="Y7" s="911"/>
      <c r="Z7" s="911"/>
      <c r="AA7" s="911"/>
      <c r="AB7" s="911"/>
      <c r="AC7" s="911"/>
      <c r="AD7" s="911"/>
      <c r="AE7" s="911"/>
      <c r="AF7" s="911"/>
      <c r="AG7" s="911"/>
      <c r="AH7" s="911"/>
      <c r="AI7" s="911"/>
      <c r="AJ7" s="911"/>
      <c r="AK7" s="911"/>
      <c r="AL7" s="911"/>
      <c r="AM7" s="911"/>
      <c r="AN7" s="911"/>
      <c r="AO7" s="911"/>
      <c r="AP7" s="911"/>
      <c r="AQ7" s="911"/>
      <c r="AR7" s="911"/>
      <c r="AS7" s="911"/>
      <c r="AT7" s="911"/>
      <c r="AU7" s="911"/>
      <c r="AV7" s="911"/>
      <c r="AW7" s="911"/>
      <c r="AX7" s="911"/>
      <c r="AY7" s="911"/>
      <c r="AZ7" s="912"/>
    </row>
    <row r="8" spans="1:56" ht="46.5" customHeight="1" thickBot="1" x14ac:dyDescent="0.3">
      <c r="A8" s="913" t="s">
        <v>232</v>
      </c>
      <c r="B8" s="914"/>
      <c r="C8" s="914"/>
      <c r="D8" s="914"/>
      <c r="E8" s="914"/>
      <c r="F8" s="915"/>
      <c r="G8" s="913" t="s">
        <v>233</v>
      </c>
      <c r="H8" s="914"/>
      <c r="I8" s="914"/>
      <c r="J8" s="914"/>
      <c r="K8" s="914"/>
      <c r="L8" s="914"/>
      <c r="M8" s="914"/>
      <c r="N8" s="914"/>
      <c r="O8" s="914"/>
      <c r="P8" s="914"/>
      <c r="Q8" s="914"/>
      <c r="R8" s="914"/>
      <c r="S8" s="915"/>
      <c r="T8" s="913" t="s">
        <v>234</v>
      </c>
      <c r="U8" s="914"/>
      <c r="V8" s="914"/>
      <c r="W8" s="914"/>
      <c r="X8" s="914"/>
      <c r="Y8" s="914"/>
      <c r="Z8" s="914"/>
      <c r="AA8" s="914"/>
      <c r="AB8" s="914"/>
      <c r="AC8" s="914"/>
      <c r="AD8" s="914"/>
      <c r="AE8" s="914"/>
      <c r="AF8" s="915"/>
      <c r="AG8" s="1074"/>
      <c r="AH8" s="916" t="s">
        <v>235</v>
      </c>
      <c r="AI8" s="917"/>
      <c r="AJ8" s="917"/>
      <c r="AK8" s="917"/>
      <c r="AL8" s="917"/>
      <c r="AM8" s="918" t="s">
        <v>236</v>
      </c>
      <c r="AN8" s="919"/>
      <c r="AO8" s="780"/>
      <c r="AP8" s="920" t="s">
        <v>237</v>
      </c>
      <c r="AQ8" s="918"/>
      <c r="AR8" s="918"/>
      <c r="AS8" s="918"/>
      <c r="AT8" s="918"/>
      <c r="AU8" s="918"/>
      <c r="AV8" s="918"/>
      <c r="AW8" s="918"/>
      <c r="AX8" s="918"/>
      <c r="AY8" s="919"/>
      <c r="AZ8" s="921" t="s">
        <v>238</v>
      </c>
      <c r="BA8" s="378"/>
      <c r="BB8" s="378"/>
      <c r="BC8" s="378"/>
      <c r="BD8" s="378"/>
    </row>
    <row r="9" spans="1:56" ht="54" customHeight="1" thickBot="1" x14ac:dyDescent="0.3">
      <c r="A9" s="1075" t="s">
        <v>239</v>
      </c>
      <c r="B9" s="766" t="s">
        <v>240</v>
      </c>
      <c r="C9" s="767" t="s">
        <v>241</v>
      </c>
      <c r="D9" s="768" t="s">
        <v>242</v>
      </c>
      <c r="E9" s="769" t="s">
        <v>243</v>
      </c>
      <c r="F9" s="769" t="s">
        <v>244</v>
      </c>
      <c r="G9" s="770" t="s">
        <v>183</v>
      </c>
      <c r="H9" s="770" t="s">
        <v>184</v>
      </c>
      <c r="I9" s="770" t="s">
        <v>185</v>
      </c>
      <c r="J9" s="770" t="s">
        <v>186</v>
      </c>
      <c r="K9" s="770" t="s">
        <v>187</v>
      </c>
      <c r="L9" s="770" t="s">
        <v>188</v>
      </c>
      <c r="M9" s="770" t="s">
        <v>189</v>
      </c>
      <c r="N9" s="770" t="s">
        <v>190</v>
      </c>
      <c r="O9" s="770" t="s">
        <v>191</v>
      </c>
      <c r="P9" s="770" t="s">
        <v>192</v>
      </c>
      <c r="Q9" s="770" t="s">
        <v>193</v>
      </c>
      <c r="R9" s="770" t="s">
        <v>194</v>
      </c>
      <c r="S9" s="771" t="s">
        <v>245</v>
      </c>
      <c r="T9" s="770" t="s">
        <v>183</v>
      </c>
      <c r="U9" s="770" t="s">
        <v>184</v>
      </c>
      <c r="V9" s="770" t="s">
        <v>185</v>
      </c>
      <c r="W9" s="770" t="s">
        <v>186</v>
      </c>
      <c r="X9" s="772" t="s">
        <v>187</v>
      </c>
      <c r="Y9" s="772" t="s">
        <v>188</v>
      </c>
      <c r="Z9" s="770" t="s">
        <v>189</v>
      </c>
      <c r="AA9" s="770" t="s">
        <v>190</v>
      </c>
      <c r="AB9" s="770" t="s">
        <v>191</v>
      </c>
      <c r="AC9" s="770" t="s">
        <v>192</v>
      </c>
      <c r="AD9" s="773" t="s">
        <v>193</v>
      </c>
      <c r="AE9" s="774" t="s">
        <v>194</v>
      </c>
      <c r="AF9" s="775" t="s">
        <v>246</v>
      </c>
      <c r="AG9" s="765" t="s">
        <v>494</v>
      </c>
      <c r="AH9" s="776" t="s">
        <v>247</v>
      </c>
      <c r="AI9" s="777" t="s">
        <v>248</v>
      </c>
      <c r="AJ9" s="777" t="s">
        <v>249</v>
      </c>
      <c r="AK9" s="777" t="s">
        <v>250</v>
      </c>
      <c r="AL9" s="777" t="s">
        <v>251</v>
      </c>
      <c r="AM9" s="777" t="s">
        <v>252</v>
      </c>
      <c r="AN9" s="777" t="s">
        <v>253</v>
      </c>
      <c r="AO9" s="778" t="s">
        <v>254</v>
      </c>
      <c r="AP9" s="778" t="s">
        <v>255</v>
      </c>
      <c r="AQ9" s="778" t="s">
        <v>256</v>
      </c>
      <c r="AR9" s="778" t="s">
        <v>257</v>
      </c>
      <c r="AS9" s="778" t="s">
        <v>258</v>
      </c>
      <c r="AT9" s="778" t="s">
        <v>259</v>
      </c>
      <c r="AU9" s="778" t="s">
        <v>260</v>
      </c>
      <c r="AV9" s="778" t="s">
        <v>261</v>
      </c>
      <c r="AW9" s="778" t="s">
        <v>262</v>
      </c>
      <c r="AX9" s="778" t="s">
        <v>263</v>
      </c>
      <c r="AY9" s="779" t="s">
        <v>264</v>
      </c>
      <c r="AZ9" s="922"/>
      <c r="BA9" s="378"/>
      <c r="BB9" s="378"/>
      <c r="BC9" s="378"/>
      <c r="BD9" s="378"/>
    </row>
    <row r="10" spans="1:56" ht="20.100000000000001" customHeight="1" x14ac:dyDescent="0.25">
      <c r="A10" s="1076">
        <v>1</v>
      </c>
      <c r="B10" s="1005" t="s">
        <v>148</v>
      </c>
      <c r="C10" s="882" t="s">
        <v>742</v>
      </c>
      <c r="D10" s="379" t="s">
        <v>149</v>
      </c>
      <c r="E10" s="380"/>
      <c r="F10" s="380"/>
      <c r="G10" s="381"/>
      <c r="H10" s="381"/>
      <c r="I10" s="381"/>
      <c r="J10" s="381"/>
      <c r="K10" s="381"/>
      <c r="L10" s="382">
        <v>8.4000000000000005E-2</v>
      </c>
      <c r="M10" s="385">
        <v>0.112</v>
      </c>
      <c r="N10" s="508">
        <v>0.308</v>
      </c>
      <c r="O10" s="508">
        <f>0.028*11</f>
        <v>0.308</v>
      </c>
      <c r="P10" s="508">
        <f>0.028*14</f>
        <v>0.39200000000000002</v>
      </c>
      <c r="Q10" s="1023">
        <f>0.028*14</f>
        <v>0.39200000000000002</v>
      </c>
      <c r="R10" s="423">
        <v>0.42</v>
      </c>
      <c r="S10" s="889" t="s">
        <v>537</v>
      </c>
      <c r="T10" s="383"/>
      <c r="U10" s="383"/>
      <c r="V10" s="384"/>
      <c r="W10" s="384"/>
      <c r="X10" s="384"/>
      <c r="Y10" s="382">
        <v>8.4000000000000005E-2</v>
      </c>
      <c r="Z10" s="385">
        <v>0.112</v>
      </c>
      <c r="AA10" s="385">
        <f>11*0.028</f>
        <v>0.308</v>
      </c>
      <c r="AB10" s="1024">
        <f>0.028*11</f>
        <v>0.308</v>
      </c>
      <c r="AC10" s="1024">
        <f>0.028*14</f>
        <v>0.39200000000000002</v>
      </c>
      <c r="AD10" s="1024">
        <f>0.028*14</f>
        <v>0.39200000000000002</v>
      </c>
      <c r="AE10" s="423">
        <v>0.42</v>
      </c>
      <c r="AF10" s="889" t="s">
        <v>540</v>
      </c>
      <c r="AG10" s="882" t="s">
        <v>495</v>
      </c>
      <c r="AH10" s="882" t="s">
        <v>266</v>
      </c>
      <c r="AI10" s="1025" t="s">
        <v>630</v>
      </c>
      <c r="AJ10" s="1025" t="s">
        <v>631</v>
      </c>
      <c r="AK10" s="1026" t="s">
        <v>496</v>
      </c>
      <c r="AL10" s="1025" t="s">
        <v>632</v>
      </c>
      <c r="AM10" s="1025" t="s">
        <v>90</v>
      </c>
      <c r="AN10" s="1026" t="s">
        <v>268</v>
      </c>
      <c r="AO10" s="1027">
        <v>83774.075926396705</v>
      </c>
      <c r="AP10" s="1027">
        <v>40067.780681128097</v>
      </c>
      <c r="AQ10" s="1027">
        <v>43706.2952452686</v>
      </c>
      <c r="AR10" s="1025" t="s">
        <v>269</v>
      </c>
      <c r="AS10" s="1025" t="s">
        <v>269</v>
      </c>
      <c r="AT10" s="1025" t="s">
        <v>269</v>
      </c>
      <c r="AU10" s="1025" t="s">
        <v>269</v>
      </c>
      <c r="AV10" s="1025" t="s">
        <v>269</v>
      </c>
      <c r="AW10" s="1025" t="s">
        <v>269</v>
      </c>
      <c r="AX10" s="1025" t="s">
        <v>269</v>
      </c>
      <c r="AY10" s="1025" t="s">
        <v>269</v>
      </c>
      <c r="AZ10" s="1025"/>
    </row>
    <row r="11" spans="1:56" ht="20.100000000000001" customHeight="1" x14ac:dyDescent="0.25">
      <c r="A11" s="1076"/>
      <c r="B11" s="1006"/>
      <c r="C11" s="883"/>
      <c r="D11" s="388" t="s">
        <v>151</v>
      </c>
      <c r="E11" s="389"/>
      <c r="F11" s="389"/>
      <c r="G11" s="390"/>
      <c r="H11" s="390"/>
      <c r="I11" s="390"/>
      <c r="J11" s="390"/>
      <c r="K11" s="390"/>
      <c r="L11" s="391">
        <v>3286464</v>
      </c>
      <c r="M11" s="391">
        <v>3777148</v>
      </c>
      <c r="N11" s="390">
        <f>1053000*11</f>
        <v>11583000</v>
      </c>
      <c r="O11" s="390">
        <f>1053000*11</f>
        <v>11583000</v>
      </c>
      <c r="P11" s="390">
        <f>1053000*11</f>
        <v>11583000</v>
      </c>
      <c r="Q11" s="392">
        <f>1053000*11</f>
        <v>11583000</v>
      </c>
      <c r="R11" s="389">
        <f>1052286*15</f>
        <v>15784290</v>
      </c>
      <c r="S11" s="890"/>
      <c r="T11" s="393"/>
      <c r="U11" s="393"/>
      <c r="V11" s="393"/>
      <c r="W11" s="393"/>
      <c r="X11" s="393"/>
      <c r="Y11" s="391">
        <v>2768283</v>
      </c>
      <c r="Z11" s="391">
        <v>3777148</v>
      </c>
      <c r="AA11" s="391">
        <f>11*944000</f>
        <v>10384000</v>
      </c>
      <c r="AB11" s="391">
        <f>1007000*11</f>
        <v>11077000</v>
      </c>
      <c r="AC11" s="391">
        <f>1007000*14</f>
        <v>14098000</v>
      </c>
      <c r="AD11" s="391">
        <f>1007000*14</f>
        <v>14098000</v>
      </c>
      <c r="AE11" s="390">
        <f>1031290*15</f>
        <v>15469350</v>
      </c>
      <c r="AF11" s="890"/>
      <c r="AG11" s="902"/>
      <c r="AH11" s="883"/>
      <c r="AI11" s="1028"/>
      <c r="AJ11" s="1028"/>
      <c r="AK11" s="1029"/>
      <c r="AL11" s="1028"/>
      <c r="AM11" s="1028"/>
      <c r="AN11" s="1029"/>
      <c r="AO11" s="1030"/>
      <c r="AP11" s="1030"/>
      <c r="AQ11" s="1030"/>
      <c r="AR11" s="1028"/>
      <c r="AS11" s="1028"/>
      <c r="AT11" s="1028"/>
      <c r="AU11" s="1028"/>
      <c r="AV11" s="1028"/>
      <c r="AW11" s="1028"/>
      <c r="AX11" s="1028"/>
      <c r="AY11" s="1028"/>
      <c r="AZ11" s="1028"/>
    </row>
    <row r="12" spans="1:56" ht="20.100000000000001" customHeight="1" x14ac:dyDescent="0.25">
      <c r="A12" s="1076"/>
      <c r="B12" s="1006"/>
      <c r="C12" s="883"/>
      <c r="D12" s="394" t="s">
        <v>153</v>
      </c>
      <c r="E12" s="395"/>
      <c r="F12" s="395"/>
      <c r="G12" s="396"/>
      <c r="H12" s="396"/>
      <c r="I12" s="396"/>
      <c r="J12" s="396"/>
      <c r="K12" s="396"/>
      <c r="L12" s="397"/>
      <c r="M12" s="385"/>
      <c r="N12" s="396"/>
      <c r="O12" s="396"/>
      <c r="P12" s="396"/>
      <c r="Q12" s="395"/>
      <c r="R12" s="395"/>
      <c r="S12" s="890"/>
      <c r="T12" s="399"/>
      <c r="U12" s="399"/>
      <c r="V12" s="399"/>
      <c r="W12" s="399"/>
      <c r="X12" s="399"/>
      <c r="Y12" s="397"/>
      <c r="Z12" s="385"/>
      <c r="AA12" s="386"/>
      <c r="AB12" s="1024"/>
      <c r="AC12" s="1024"/>
      <c r="AD12" s="1024"/>
      <c r="AE12" s="396"/>
      <c r="AF12" s="890"/>
      <c r="AG12" s="902"/>
      <c r="AH12" s="883"/>
      <c r="AI12" s="1028"/>
      <c r="AJ12" s="1028"/>
      <c r="AK12" s="1029"/>
      <c r="AL12" s="1028"/>
      <c r="AM12" s="1028"/>
      <c r="AN12" s="1029"/>
      <c r="AO12" s="1030"/>
      <c r="AP12" s="1030"/>
      <c r="AQ12" s="1030"/>
      <c r="AR12" s="1028"/>
      <c r="AS12" s="1028"/>
      <c r="AT12" s="1028"/>
      <c r="AU12" s="1028"/>
      <c r="AV12" s="1028"/>
      <c r="AW12" s="1028"/>
      <c r="AX12" s="1028"/>
      <c r="AY12" s="1028"/>
      <c r="AZ12" s="1028"/>
    </row>
    <row r="13" spans="1:56" ht="20.100000000000001" customHeight="1" x14ac:dyDescent="0.25">
      <c r="A13" s="1076"/>
      <c r="B13" s="1006"/>
      <c r="C13" s="883"/>
      <c r="D13" s="388" t="s">
        <v>154</v>
      </c>
      <c r="E13" s="395"/>
      <c r="F13" s="395"/>
      <c r="G13" s="396"/>
      <c r="H13" s="396"/>
      <c r="I13" s="396"/>
      <c r="J13" s="396"/>
      <c r="K13" s="396"/>
      <c r="L13" s="397"/>
      <c r="M13" s="385"/>
      <c r="N13" s="396"/>
      <c r="O13" s="396"/>
      <c r="P13" s="396"/>
      <c r="Q13" s="395"/>
      <c r="R13" s="395"/>
      <c r="S13" s="890"/>
      <c r="T13" s="399"/>
      <c r="U13" s="399"/>
      <c r="V13" s="399"/>
      <c r="W13" s="399"/>
      <c r="X13" s="399"/>
      <c r="Y13" s="397"/>
      <c r="Z13" s="385"/>
      <c r="AA13" s="386"/>
      <c r="AB13" s="1024"/>
      <c r="AC13" s="1024"/>
      <c r="AD13" s="1024"/>
      <c r="AE13" s="396"/>
      <c r="AF13" s="890"/>
      <c r="AG13" s="902"/>
      <c r="AH13" s="883"/>
      <c r="AI13" s="1028"/>
      <c r="AJ13" s="1028"/>
      <c r="AK13" s="1029"/>
      <c r="AL13" s="1028"/>
      <c r="AM13" s="1028"/>
      <c r="AN13" s="1029"/>
      <c r="AO13" s="1030"/>
      <c r="AP13" s="1030"/>
      <c r="AQ13" s="1030"/>
      <c r="AR13" s="1028"/>
      <c r="AS13" s="1028"/>
      <c r="AT13" s="1028"/>
      <c r="AU13" s="1028"/>
      <c r="AV13" s="1028"/>
      <c r="AW13" s="1028"/>
      <c r="AX13" s="1028"/>
      <c r="AY13" s="1028"/>
      <c r="AZ13" s="1028"/>
    </row>
    <row r="14" spans="1:56" ht="20.100000000000001" customHeight="1" x14ac:dyDescent="0.25">
      <c r="A14" s="1076"/>
      <c r="B14" s="1006"/>
      <c r="C14" s="883"/>
      <c r="D14" s="394" t="s">
        <v>155</v>
      </c>
      <c r="E14" s="400"/>
      <c r="F14" s="400"/>
      <c r="G14" s="396"/>
      <c r="H14" s="396"/>
      <c r="I14" s="396"/>
      <c r="J14" s="396"/>
      <c r="K14" s="396"/>
      <c r="L14" s="397"/>
      <c r="M14" s="385"/>
      <c r="N14" s="396"/>
      <c r="O14" s="396"/>
      <c r="P14" s="396"/>
      <c r="Q14" s="401"/>
      <c r="R14" s="400"/>
      <c r="S14" s="890"/>
      <c r="T14" s="399"/>
      <c r="U14" s="399"/>
      <c r="V14" s="399"/>
      <c r="W14" s="399"/>
      <c r="X14" s="399"/>
      <c r="Y14" s="397"/>
      <c r="Z14" s="385"/>
      <c r="AA14" s="386"/>
      <c r="AB14" s="1024"/>
      <c r="AC14" s="1024"/>
      <c r="AD14" s="1024"/>
      <c r="AE14" s="402"/>
      <c r="AF14" s="890"/>
      <c r="AG14" s="902"/>
      <c r="AH14" s="883"/>
      <c r="AI14" s="1028"/>
      <c r="AJ14" s="1028"/>
      <c r="AK14" s="1029"/>
      <c r="AL14" s="1028"/>
      <c r="AM14" s="1028"/>
      <c r="AN14" s="1029"/>
      <c r="AO14" s="1030"/>
      <c r="AP14" s="1030"/>
      <c r="AQ14" s="1030"/>
      <c r="AR14" s="1028"/>
      <c r="AS14" s="1028"/>
      <c r="AT14" s="1028"/>
      <c r="AU14" s="1028"/>
      <c r="AV14" s="1028"/>
      <c r="AW14" s="1028"/>
      <c r="AX14" s="1028"/>
      <c r="AY14" s="1028"/>
      <c r="AZ14" s="1028"/>
    </row>
    <row r="15" spans="1:56" ht="20.100000000000001" customHeight="1" thickBot="1" x14ac:dyDescent="0.3">
      <c r="A15" s="1076"/>
      <c r="B15" s="1006"/>
      <c r="C15" s="884"/>
      <c r="D15" s="403" t="s">
        <v>156</v>
      </c>
      <c r="E15" s="404"/>
      <c r="F15" s="404"/>
      <c r="G15" s="405"/>
      <c r="H15" s="405"/>
      <c r="I15" s="405"/>
      <c r="J15" s="405"/>
      <c r="K15" s="405"/>
      <c r="L15" s="397"/>
      <c r="M15" s="385"/>
      <c r="N15" s="405"/>
      <c r="O15" s="405"/>
      <c r="P15" s="405"/>
      <c r="Q15" s="406"/>
      <c r="R15" s="404"/>
      <c r="S15" s="891"/>
      <c r="T15" s="407"/>
      <c r="U15" s="407"/>
      <c r="V15" s="407"/>
      <c r="W15" s="407"/>
      <c r="X15" s="407"/>
      <c r="Y15" s="397"/>
      <c r="Z15" s="385"/>
      <c r="AA15" s="386"/>
      <c r="AB15" s="1024"/>
      <c r="AC15" s="1024"/>
      <c r="AD15" s="1024"/>
      <c r="AE15" s="405"/>
      <c r="AF15" s="891"/>
      <c r="AG15" s="903"/>
      <c r="AH15" s="884"/>
      <c r="AI15" s="1028"/>
      <c r="AJ15" s="1028"/>
      <c r="AK15" s="1029"/>
      <c r="AL15" s="1028"/>
      <c r="AM15" s="1028"/>
      <c r="AN15" s="1029"/>
      <c r="AO15" s="1030"/>
      <c r="AP15" s="1030"/>
      <c r="AQ15" s="1030"/>
      <c r="AR15" s="1028"/>
      <c r="AS15" s="1028"/>
      <c r="AT15" s="1028"/>
      <c r="AU15" s="1028"/>
      <c r="AV15" s="1028"/>
      <c r="AW15" s="1028"/>
      <c r="AX15" s="1028"/>
      <c r="AY15" s="1028"/>
      <c r="AZ15" s="1028"/>
    </row>
    <row r="16" spans="1:56" ht="20.100000000000001" customHeight="1" x14ac:dyDescent="0.25">
      <c r="A16" s="1076"/>
      <c r="B16" s="1006"/>
      <c r="C16" s="882" t="s">
        <v>737</v>
      </c>
      <c r="D16" s="379" t="s">
        <v>149</v>
      </c>
      <c r="E16" s="380"/>
      <c r="F16" s="380"/>
      <c r="G16" s="381"/>
      <c r="H16" s="381"/>
      <c r="I16" s="381"/>
      <c r="J16" s="381"/>
      <c r="K16" s="381"/>
      <c r="L16" s="382">
        <v>0.252</v>
      </c>
      <c r="M16" s="385">
        <v>0.36399999999999999</v>
      </c>
      <c r="N16" s="508">
        <f>0.028*43</f>
        <v>1.204</v>
      </c>
      <c r="O16" s="508">
        <f>0.028*49</f>
        <v>1.3720000000000001</v>
      </c>
      <c r="P16" s="508">
        <f>0.028*55</f>
        <v>1.54</v>
      </c>
      <c r="Q16" s="1031">
        <f>0.028*61</f>
        <v>1.708</v>
      </c>
      <c r="R16" s="429">
        <f>0.0275*68</f>
        <v>1.87</v>
      </c>
      <c r="S16" s="889" t="s">
        <v>567</v>
      </c>
      <c r="T16" s="383"/>
      <c r="U16" s="383"/>
      <c r="V16" s="384"/>
      <c r="W16" s="384"/>
      <c r="X16" s="384"/>
      <c r="Y16" s="382">
        <v>0.252</v>
      </c>
      <c r="Z16" s="385">
        <v>0.36399999999999999</v>
      </c>
      <c r="AA16" s="385">
        <f>43*0.028</f>
        <v>1.204</v>
      </c>
      <c r="AB16" s="1024">
        <f>0.028*49</f>
        <v>1.3720000000000001</v>
      </c>
      <c r="AC16" s="1024">
        <f>0.028*55</f>
        <v>1.54</v>
      </c>
      <c r="AD16" s="1024">
        <f>0.028*61</f>
        <v>1.708</v>
      </c>
      <c r="AE16" s="423">
        <f>0.0275*68</f>
        <v>1.87</v>
      </c>
      <c r="AF16" s="889" t="s">
        <v>583</v>
      </c>
      <c r="AG16" s="882" t="s">
        <v>497</v>
      </c>
      <c r="AH16" s="882" t="s">
        <v>270</v>
      </c>
      <c r="AI16" s="1025" t="s">
        <v>527</v>
      </c>
      <c r="AJ16" s="1025" t="s">
        <v>633</v>
      </c>
      <c r="AK16" s="1029"/>
      <c r="AL16" s="1025" t="s">
        <v>634</v>
      </c>
      <c r="AM16" s="1025" t="s">
        <v>90</v>
      </c>
      <c r="AN16" s="1029"/>
      <c r="AO16" s="1027">
        <v>138604.63039371901</v>
      </c>
      <c r="AP16" s="1027">
        <v>65262.592396604603</v>
      </c>
      <c r="AQ16" s="1027">
        <v>73342.037997114603</v>
      </c>
      <c r="AR16" s="1025" t="s">
        <v>269</v>
      </c>
      <c r="AS16" s="1025" t="s">
        <v>269</v>
      </c>
      <c r="AT16" s="1025" t="s">
        <v>269</v>
      </c>
      <c r="AU16" s="1025" t="s">
        <v>269</v>
      </c>
      <c r="AV16" s="1025" t="s">
        <v>269</v>
      </c>
      <c r="AW16" s="1025" t="s">
        <v>269</v>
      </c>
      <c r="AX16" s="1025" t="s">
        <v>269</v>
      </c>
      <c r="AY16" s="1025" t="s">
        <v>269</v>
      </c>
      <c r="AZ16" s="1025"/>
    </row>
    <row r="17" spans="1:52" ht="20.100000000000001" customHeight="1" x14ac:dyDescent="0.25">
      <c r="A17" s="1076"/>
      <c r="B17" s="1006"/>
      <c r="C17" s="883"/>
      <c r="D17" s="388" t="s">
        <v>151</v>
      </c>
      <c r="E17" s="389"/>
      <c r="F17" s="389"/>
      <c r="G17" s="390"/>
      <c r="H17" s="390"/>
      <c r="I17" s="390"/>
      <c r="J17" s="390"/>
      <c r="K17" s="390"/>
      <c r="L17" s="391">
        <v>9859392</v>
      </c>
      <c r="M17" s="391">
        <v>12275731</v>
      </c>
      <c r="N17" s="390">
        <f>1053000*43</f>
        <v>45279000</v>
      </c>
      <c r="O17" s="390">
        <f>1053000*49</f>
        <v>51597000</v>
      </c>
      <c r="P17" s="390">
        <f>1053000*49</f>
        <v>51597000</v>
      </c>
      <c r="Q17" s="392">
        <f>1053000*61</f>
        <v>64233000</v>
      </c>
      <c r="R17" s="389">
        <f>1052286*68</f>
        <v>71555448</v>
      </c>
      <c r="S17" s="890"/>
      <c r="T17" s="393"/>
      <c r="U17" s="393"/>
      <c r="V17" s="393"/>
      <c r="W17" s="393"/>
      <c r="X17" s="393"/>
      <c r="Y17" s="391">
        <v>8304849</v>
      </c>
      <c r="Z17" s="391">
        <v>12275731</v>
      </c>
      <c r="AA17" s="391">
        <f>43*944000</f>
        <v>40592000</v>
      </c>
      <c r="AB17" s="391">
        <f>1007000*49</f>
        <v>49343000</v>
      </c>
      <c r="AC17" s="391">
        <f>1007000*55</f>
        <v>55385000</v>
      </c>
      <c r="AD17" s="391">
        <f>1007000*61</f>
        <v>61427000</v>
      </c>
      <c r="AE17" s="390">
        <f>1031290*68</f>
        <v>70127720</v>
      </c>
      <c r="AF17" s="890"/>
      <c r="AG17" s="902"/>
      <c r="AH17" s="883"/>
      <c r="AI17" s="1028"/>
      <c r="AJ17" s="1028"/>
      <c r="AK17" s="1029"/>
      <c r="AL17" s="1028"/>
      <c r="AM17" s="1028"/>
      <c r="AN17" s="1029"/>
      <c r="AO17" s="1030"/>
      <c r="AP17" s="1030"/>
      <c r="AQ17" s="1030"/>
      <c r="AR17" s="1028"/>
      <c r="AS17" s="1028"/>
      <c r="AT17" s="1028"/>
      <c r="AU17" s="1028"/>
      <c r="AV17" s="1028"/>
      <c r="AW17" s="1028"/>
      <c r="AX17" s="1028"/>
      <c r="AY17" s="1028"/>
      <c r="AZ17" s="1028"/>
    </row>
    <row r="18" spans="1:52" ht="20.100000000000001" customHeight="1" x14ac:dyDescent="0.25">
      <c r="A18" s="1076"/>
      <c r="B18" s="1006"/>
      <c r="C18" s="883"/>
      <c r="D18" s="394" t="s">
        <v>153</v>
      </c>
      <c r="E18" s="395"/>
      <c r="F18" s="395"/>
      <c r="G18" s="396"/>
      <c r="H18" s="396"/>
      <c r="I18" s="396"/>
      <c r="J18" s="396"/>
      <c r="K18" s="396"/>
      <c r="L18" s="397"/>
      <c r="M18" s="385"/>
      <c r="N18" s="396"/>
      <c r="O18" s="396"/>
      <c r="P18" s="396"/>
      <c r="Q18" s="395"/>
      <c r="R18" s="395"/>
      <c r="S18" s="890"/>
      <c r="T18" s="399"/>
      <c r="U18" s="399"/>
      <c r="V18" s="399"/>
      <c r="W18" s="399"/>
      <c r="X18" s="399"/>
      <c r="Y18" s="397"/>
      <c r="Z18" s="385"/>
      <c r="AA18" s="386"/>
      <c r="AB18" s="1024"/>
      <c r="AC18" s="1024"/>
      <c r="AD18" s="1024"/>
      <c r="AE18" s="396"/>
      <c r="AF18" s="890"/>
      <c r="AG18" s="902"/>
      <c r="AH18" s="883"/>
      <c r="AI18" s="1028"/>
      <c r="AJ18" s="1028"/>
      <c r="AK18" s="1029"/>
      <c r="AL18" s="1028"/>
      <c r="AM18" s="1028"/>
      <c r="AN18" s="1029"/>
      <c r="AO18" s="1030"/>
      <c r="AP18" s="1030"/>
      <c r="AQ18" s="1030"/>
      <c r="AR18" s="1028"/>
      <c r="AS18" s="1028"/>
      <c r="AT18" s="1028"/>
      <c r="AU18" s="1028"/>
      <c r="AV18" s="1028"/>
      <c r="AW18" s="1028"/>
      <c r="AX18" s="1028"/>
      <c r="AY18" s="1028"/>
      <c r="AZ18" s="1028"/>
    </row>
    <row r="19" spans="1:52" ht="20.100000000000001" customHeight="1" x14ac:dyDescent="0.25">
      <c r="A19" s="1076"/>
      <c r="B19" s="1006"/>
      <c r="C19" s="883"/>
      <c r="D19" s="388" t="s">
        <v>154</v>
      </c>
      <c r="E19" s="395"/>
      <c r="F19" s="395"/>
      <c r="G19" s="396"/>
      <c r="H19" s="396"/>
      <c r="I19" s="396"/>
      <c r="J19" s="396"/>
      <c r="K19" s="396"/>
      <c r="L19" s="397"/>
      <c r="M19" s="385"/>
      <c r="N19" s="396"/>
      <c r="O19" s="396"/>
      <c r="P19" s="396"/>
      <c r="Q19" s="395"/>
      <c r="R19" s="395"/>
      <c r="S19" s="890"/>
      <c r="T19" s="399"/>
      <c r="U19" s="399"/>
      <c r="V19" s="399"/>
      <c r="W19" s="399"/>
      <c r="X19" s="399"/>
      <c r="Y19" s="397"/>
      <c r="Z19" s="385"/>
      <c r="AA19" s="386"/>
      <c r="AB19" s="1024"/>
      <c r="AC19" s="1024"/>
      <c r="AD19" s="1024"/>
      <c r="AE19" s="396"/>
      <c r="AF19" s="890"/>
      <c r="AG19" s="902"/>
      <c r="AH19" s="883"/>
      <c r="AI19" s="1028"/>
      <c r="AJ19" s="1028"/>
      <c r="AK19" s="1029"/>
      <c r="AL19" s="1028"/>
      <c r="AM19" s="1028"/>
      <c r="AN19" s="1029"/>
      <c r="AO19" s="1030"/>
      <c r="AP19" s="1030"/>
      <c r="AQ19" s="1030"/>
      <c r="AR19" s="1028"/>
      <c r="AS19" s="1028"/>
      <c r="AT19" s="1028"/>
      <c r="AU19" s="1028"/>
      <c r="AV19" s="1028"/>
      <c r="AW19" s="1028"/>
      <c r="AX19" s="1028"/>
      <c r="AY19" s="1028"/>
      <c r="AZ19" s="1028"/>
    </row>
    <row r="20" spans="1:52" ht="20.100000000000001" customHeight="1" x14ac:dyDescent="0.25">
      <c r="A20" s="1076"/>
      <c r="B20" s="1006"/>
      <c r="C20" s="883"/>
      <c r="D20" s="394" t="s">
        <v>155</v>
      </c>
      <c r="E20" s="400"/>
      <c r="F20" s="400"/>
      <c r="G20" s="396"/>
      <c r="H20" s="396"/>
      <c r="I20" s="396"/>
      <c r="J20" s="396"/>
      <c r="K20" s="396"/>
      <c r="L20" s="397"/>
      <c r="M20" s="385"/>
      <c r="N20" s="396"/>
      <c r="O20" s="396"/>
      <c r="P20" s="396"/>
      <c r="Q20" s="401"/>
      <c r="R20" s="400"/>
      <c r="S20" s="890"/>
      <c r="T20" s="399"/>
      <c r="U20" s="399"/>
      <c r="V20" s="399"/>
      <c r="W20" s="399"/>
      <c r="X20" s="399"/>
      <c r="Y20" s="397"/>
      <c r="Z20" s="385"/>
      <c r="AA20" s="386"/>
      <c r="AB20" s="1024"/>
      <c r="AC20" s="1024"/>
      <c r="AD20" s="1024"/>
      <c r="AE20" s="402"/>
      <c r="AF20" s="890"/>
      <c r="AG20" s="902"/>
      <c r="AH20" s="883"/>
      <c r="AI20" s="1028"/>
      <c r="AJ20" s="1028"/>
      <c r="AK20" s="1029"/>
      <c r="AL20" s="1028"/>
      <c r="AM20" s="1028"/>
      <c r="AN20" s="1029"/>
      <c r="AO20" s="1030"/>
      <c r="AP20" s="1030"/>
      <c r="AQ20" s="1030"/>
      <c r="AR20" s="1028"/>
      <c r="AS20" s="1028"/>
      <c r="AT20" s="1028"/>
      <c r="AU20" s="1028"/>
      <c r="AV20" s="1028"/>
      <c r="AW20" s="1028"/>
      <c r="AX20" s="1028"/>
      <c r="AY20" s="1028"/>
      <c r="AZ20" s="1028"/>
    </row>
    <row r="21" spans="1:52" ht="20.100000000000001" customHeight="1" thickBot="1" x14ac:dyDescent="0.3">
      <c r="A21" s="1076"/>
      <c r="B21" s="1006"/>
      <c r="C21" s="884"/>
      <c r="D21" s="403" t="s">
        <v>156</v>
      </c>
      <c r="E21" s="404"/>
      <c r="F21" s="404"/>
      <c r="G21" s="405"/>
      <c r="H21" s="405"/>
      <c r="I21" s="405"/>
      <c r="J21" s="405"/>
      <c r="K21" s="405"/>
      <c r="L21" s="397"/>
      <c r="M21" s="385"/>
      <c r="N21" s="405"/>
      <c r="O21" s="405"/>
      <c r="P21" s="405"/>
      <c r="Q21" s="406"/>
      <c r="R21" s="404"/>
      <c r="S21" s="891"/>
      <c r="T21" s="407"/>
      <c r="U21" s="407"/>
      <c r="V21" s="407"/>
      <c r="W21" s="407"/>
      <c r="X21" s="407"/>
      <c r="Y21" s="397"/>
      <c r="Z21" s="385"/>
      <c r="AA21" s="386"/>
      <c r="AB21" s="1024"/>
      <c r="AC21" s="1024"/>
      <c r="AD21" s="1024"/>
      <c r="AE21" s="405"/>
      <c r="AF21" s="891"/>
      <c r="AG21" s="903"/>
      <c r="AH21" s="884"/>
      <c r="AI21" s="1028"/>
      <c r="AJ21" s="1028"/>
      <c r="AK21" s="1029"/>
      <c r="AL21" s="1028"/>
      <c r="AM21" s="1028"/>
      <c r="AN21" s="1029"/>
      <c r="AO21" s="1030"/>
      <c r="AP21" s="1030"/>
      <c r="AQ21" s="1030"/>
      <c r="AR21" s="1028"/>
      <c r="AS21" s="1028"/>
      <c r="AT21" s="1028"/>
      <c r="AU21" s="1028"/>
      <c r="AV21" s="1028"/>
      <c r="AW21" s="1028"/>
      <c r="AX21" s="1028"/>
      <c r="AY21" s="1028"/>
      <c r="AZ21" s="1028"/>
    </row>
    <row r="22" spans="1:52" ht="20.100000000000001" customHeight="1" x14ac:dyDescent="0.25">
      <c r="A22" s="1076"/>
      <c r="B22" s="1006"/>
      <c r="C22" s="882" t="s">
        <v>732</v>
      </c>
      <c r="D22" s="379" t="s">
        <v>149</v>
      </c>
      <c r="E22" s="408"/>
      <c r="F22" s="408"/>
      <c r="G22" s="405"/>
      <c r="H22" s="405"/>
      <c r="I22" s="405"/>
      <c r="J22" s="405"/>
      <c r="K22" s="405"/>
      <c r="L22" s="397">
        <v>0.16800000000000001</v>
      </c>
      <c r="M22" s="385">
        <v>0.28000000000000003</v>
      </c>
      <c r="N22" s="508">
        <f>0.028*12</f>
        <v>0.33600000000000002</v>
      </c>
      <c r="O22" s="508">
        <f>0.028*12</f>
        <v>0.33600000000000002</v>
      </c>
      <c r="P22" s="508">
        <f>0.028*19</f>
        <v>0.53200000000000003</v>
      </c>
      <c r="Q22" s="508">
        <f>0.028*19</f>
        <v>0.53200000000000003</v>
      </c>
      <c r="R22" s="414">
        <f>0.0275*20</f>
        <v>0.55000000000000004</v>
      </c>
      <c r="S22" s="889" t="s">
        <v>568</v>
      </c>
      <c r="T22" s="407"/>
      <c r="U22" s="407"/>
      <c r="V22" s="407"/>
      <c r="W22" s="407"/>
      <c r="X22" s="407"/>
      <c r="Y22" s="397">
        <v>0.16800000000000001</v>
      </c>
      <c r="Z22" s="385">
        <v>0.28000000000000003</v>
      </c>
      <c r="AA22" s="385">
        <f>12*0.028</f>
        <v>0.33600000000000002</v>
      </c>
      <c r="AB22" s="385">
        <f>0.028*12</f>
        <v>0.33600000000000002</v>
      </c>
      <c r="AC22" s="385">
        <f>0.028*19</f>
        <v>0.53200000000000003</v>
      </c>
      <c r="AD22" s="385">
        <f>0.028*19</f>
        <v>0.53200000000000003</v>
      </c>
      <c r="AE22" s="398">
        <f>0.0275*20</f>
        <v>0.55000000000000004</v>
      </c>
      <c r="AF22" s="889" t="s">
        <v>584</v>
      </c>
      <c r="AG22" s="882" t="s">
        <v>498</v>
      </c>
      <c r="AH22" s="882" t="s">
        <v>271</v>
      </c>
      <c r="AI22" s="1025" t="s">
        <v>499</v>
      </c>
      <c r="AJ22" s="1025" t="s">
        <v>635</v>
      </c>
      <c r="AK22" s="1029"/>
      <c r="AL22" s="1025" t="s">
        <v>636</v>
      </c>
      <c r="AM22" s="1025" t="s">
        <v>500</v>
      </c>
      <c r="AN22" s="1029"/>
      <c r="AO22" s="1027">
        <v>735605.84232113999</v>
      </c>
      <c r="AP22" s="1027">
        <v>354353.54671357101</v>
      </c>
      <c r="AQ22" s="1027">
        <v>381252.29560756899</v>
      </c>
      <c r="AR22" s="1025" t="s">
        <v>269</v>
      </c>
      <c r="AS22" s="1025" t="s">
        <v>269</v>
      </c>
      <c r="AT22" s="1025" t="s">
        <v>269</v>
      </c>
      <c r="AU22" s="1025" t="s">
        <v>269</v>
      </c>
      <c r="AV22" s="1025" t="s">
        <v>269</v>
      </c>
      <c r="AW22" s="1025" t="s">
        <v>269</v>
      </c>
      <c r="AX22" s="1025" t="s">
        <v>269</v>
      </c>
      <c r="AY22" s="1025" t="s">
        <v>269</v>
      </c>
      <c r="AZ22" s="1025"/>
    </row>
    <row r="23" spans="1:52" ht="20.100000000000001" customHeight="1" x14ac:dyDescent="0.25">
      <c r="A23" s="1076"/>
      <c r="B23" s="1006"/>
      <c r="C23" s="883"/>
      <c r="D23" s="388" t="s">
        <v>151</v>
      </c>
      <c r="E23" s="411"/>
      <c r="F23" s="411"/>
      <c r="G23" s="405"/>
      <c r="H23" s="405"/>
      <c r="I23" s="405"/>
      <c r="J23" s="405"/>
      <c r="K23" s="405"/>
      <c r="L23" s="407">
        <v>6572928</v>
      </c>
      <c r="M23" s="407">
        <v>9442870</v>
      </c>
      <c r="N23" s="390">
        <f>1053000*12</f>
        <v>12636000</v>
      </c>
      <c r="O23" s="390">
        <f>1053000*12</f>
        <v>12636000</v>
      </c>
      <c r="P23" s="390">
        <f>1053000*12</f>
        <v>12636000</v>
      </c>
      <c r="Q23" s="390">
        <f>1053000*12</f>
        <v>12636000</v>
      </c>
      <c r="R23" s="411">
        <f>1052286*20</f>
        <v>21045720</v>
      </c>
      <c r="S23" s="890"/>
      <c r="T23" s="407"/>
      <c r="U23" s="407"/>
      <c r="V23" s="407"/>
      <c r="W23" s="407"/>
      <c r="X23" s="407"/>
      <c r="Y23" s="407">
        <v>5536566</v>
      </c>
      <c r="Z23" s="407">
        <v>9442870</v>
      </c>
      <c r="AA23" s="391">
        <f>12*944000</f>
        <v>11328000</v>
      </c>
      <c r="AB23" s="1032">
        <f>1007000*12</f>
        <v>12084000</v>
      </c>
      <c r="AC23" s="1032">
        <f>1007000*19</f>
        <v>19133000</v>
      </c>
      <c r="AD23" s="1032">
        <f>1007000*19</f>
        <v>19133000</v>
      </c>
      <c r="AE23" s="390">
        <f>1031290*20</f>
        <v>20625800</v>
      </c>
      <c r="AF23" s="890"/>
      <c r="AG23" s="902"/>
      <c r="AH23" s="883"/>
      <c r="AI23" s="1028"/>
      <c r="AJ23" s="1028"/>
      <c r="AK23" s="1029"/>
      <c r="AL23" s="1028"/>
      <c r="AM23" s="1028"/>
      <c r="AN23" s="1029"/>
      <c r="AO23" s="1030"/>
      <c r="AP23" s="1030"/>
      <c r="AQ23" s="1030"/>
      <c r="AR23" s="1028"/>
      <c r="AS23" s="1028"/>
      <c r="AT23" s="1028"/>
      <c r="AU23" s="1028"/>
      <c r="AV23" s="1028"/>
      <c r="AW23" s="1028"/>
      <c r="AX23" s="1028"/>
      <c r="AY23" s="1028"/>
      <c r="AZ23" s="1028"/>
    </row>
    <row r="24" spans="1:52" ht="20.100000000000001" customHeight="1" x14ac:dyDescent="0.25">
      <c r="A24" s="1076"/>
      <c r="B24" s="1006"/>
      <c r="C24" s="883"/>
      <c r="D24" s="394" t="s">
        <v>153</v>
      </c>
      <c r="E24" s="411"/>
      <c r="F24" s="411"/>
      <c r="G24" s="405"/>
      <c r="H24" s="405"/>
      <c r="I24" s="405"/>
      <c r="J24" s="405"/>
      <c r="K24" s="405"/>
      <c r="L24" s="397"/>
      <c r="M24" s="409"/>
      <c r="N24" s="405"/>
      <c r="O24" s="405"/>
      <c r="P24" s="405"/>
      <c r="Q24" s="406"/>
      <c r="R24" s="411"/>
      <c r="S24" s="890"/>
      <c r="T24" s="407"/>
      <c r="U24" s="407"/>
      <c r="V24" s="407"/>
      <c r="W24" s="407"/>
      <c r="X24" s="407"/>
      <c r="Y24" s="397"/>
      <c r="Z24" s="409"/>
      <c r="AA24" s="409"/>
      <c r="AB24" s="1033"/>
      <c r="AC24" s="1033"/>
      <c r="AD24" s="1033"/>
      <c r="AE24" s="405"/>
      <c r="AF24" s="890"/>
      <c r="AG24" s="902"/>
      <c r="AH24" s="883"/>
      <c r="AI24" s="1028"/>
      <c r="AJ24" s="1028"/>
      <c r="AK24" s="1029"/>
      <c r="AL24" s="1028"/>
      <c r="AM24" s="1028"/>
      <c r="AN24" s="1029"/>
      <c r="AO24" s="1030"/>
      <c r="AP24" s="1030"/>
      <c r="AQ24" s="1030"/>
      <c r="AR24" s="1028"/>
      <c r="AS24" s="1028"/>
      <c r="AT24" s="1028"/>
      <c r="AU24" s="1028"/>
      <c r="AV24" s="1028"/>
      <c r="AW24" s="1028"/>
      <c r="AX24" s="1028"/>
      <c r="AY24" s="1028"/>
      <c r="AZ24" s="1028"/>
    </row>
    <row r="25" spans="1:52" ht="20.100000000000001" customHeight="1" x14ac:dyDescent="0.25">
      <c r="A25" s="1076"/>
      <c r="B25" s="1006"/>
      <c r="C25" s="883"/>
      <c r="D25" s="388" t="s">
        <v>154</v>
      </c>
      <c r="E25" s="411"/>
      <c r="F25" s="411"/>
      <c r="G25" s="405"/>
      <c r="H25" s="405"/>
      <c r="I25" s="405"/>
      <c r="J25" s="405"/>
      <c r="K25" s="405"/>
      <c r="L25" s="397"/>
      <c r="M25" s="409"/>
      <c r="N25" s="405"/>
      <c r="O25" s="405"/>
      <c r="P25" s="405"/>
      <c r="Q25" s="406"/>
      <c r="R25" s="411"/>
      <c r="S25" s="890"/>
      <c r="T25" s="407"/>
      <c r="U25" s="407"/>
      <c r="V25" s="407"/>
      <c r="W25" s="407"/>
      <c r="X25" s="407"/>
      <c r="Y25" s="397"/>
      <c r="Z25" s="409"/>
      <c r="AA25" s="409"/>
      <c r="AB25" s="1033"/>
      <c r="AC25" s="1033"/>
      <c r="AD25" s="1033"/>
      <c r="AE25" s="405"/>
      <c r="AF25" s="890"/>
      <c r="AG25" s="902"/>
      <c r="AH25" s="883"/>
      <c r="AI25" s="1028"/>
      <c r="AJ25" s="1028"/>
      <c r="AK25" s="1029"/>
      <c r="AL25" s="1028"/>
      <c r="AM25" s="1028"/>
      <c r="AN25" s="1029"/>
      <c r="AO25" s="1030"/>
      <c r="AP25" s="1030"/>
      <c r="AQ25" s="1030"/>
      <c r="AR25" s="1028"/>
      <c r="AS25" s="1028"/>
      <c r="AT25" s="1028"/>
      <c r="AU25" s="1028"/>
      <c r="AV25" s="1028"/>
      <c r="AW25" s="1028"/>
      <c r="AX25" s="1028"/>
      <c r="AY25" s="1028"/>
      <c r="AZ25" s="1028"/>
    </row>
    <row r="26" spans="1:52" ht="20.100000000000001" customHeight="1" x14ac:dyDescent="0.25">
      <c r="A26" s="1076"/>
      <c r="B26" s="1006"/>
      <c r="C26" s="883"/>
      <c r="D26" s="394" t="s">
        <v>155</v>
      </c>
      <c r="E26" s="412"/>
      <c r="F26" s="412"/>
      <c r="G26" s="405"/>
      <c r="H26" s="405"/>
      <c r="I26" s="405"/>
      <c r="J26" s="405"/>
      <c r="K26" s="405"/>
      <c r="L26" s="397"/>
      <c r="M26" s="409"/>
      <c r="N26" s="405"/>
      <c r="O26" s="405"/>
      <c r="P26" s="405"/>
      <c r="Q26" s="406"/>
      <c r="R26" s="412"/>
      <c r="S26" s="890"/>
      <c r="T26" s="407"/>
      <c r="U26" s="407"/>
      <c r="V26" s="407"/>
      <c r="W26" s="407"/>
      <c r="X26" s="407"/>
      <c r="Y26" s="397"/>
      <c r="Z26" s="409"/>
      <c r="AA26" s="409"/>
      <c r="AB26" s="1033"/>
      <c r="AC26" s="1033"/>
      <c r="AD26" s="1033"/>
      <c r="AE26" s="402"/>
      <c r="AF26" s="890"/>
      <c r="AG26" s="902"/>
      <c r="AH26" s="883"/>
      <c r="AI26" s="1028"/>
      <c r="AJ26" s="1028"/>
      <c r="AK26" s="1029"/>
      <c r="AL26" s="1028"/>
      <c r="AM26" s="1028"/>
      <c r="AN26" s="1029"/>
      <c r="AO26" s="1030"/>
      <c r="AP26" s="1030"/>
      <c r="AQ26" s="1030"/>
      <c r="AR26" s="1028"/>
      <c r="AS26" s="1028"/>
      <c r="AT26" s="1028"/>
      <c r="AU26" s="1028"/>
      <c r="AV26" s="1028"/>
      <c r="AW26" s="1028"/>
      <c r="AX26" s="1028"/>
      <c r="AY26" s="1028"/>
      <c r="AZ26" s="1028"/>
    </row>
    <row r="27" spans="1:52" ht="20.100000000000001" customHeight="1" thickBot="1" x14ac:dyDescent="0.3">
      <c r="A27" s="1076"/>
      <c r="B27" s="1006"/>
      <c r="C27" s="884"/>
      <c r="D27" s="403" t="s">
        <v>156</v>
      </c>
      <c r="E27" s="404"/>
      <c r="F27" s="404"/>
      <c r="G27" s="405"/>
      <c r="H27" s="405"/>
      <c r="I27" s="405"/>
      <c r="J27" s="405"/>
      <c r="K27" s="405"/>
      <c r="L27" s="397"/>
      <c r="M27" s="409"/>
      <c r="N27" s="405"/>
      <c r="O27" s="405"/>
      <c r="P27" s="405"/>
      <c r="Q27" s="406"/>
      <c r="R27" s="404"/>
      <c r="S27" s="891"/>
      <c r="T27" s="407"/>
      <c r="U27" s="407"/>
      <c r="V27" s="407"/>
      <c r="W27" s="407"/>
      <c r="X27" s="407"/>
      <c r="Y27" s="397"/>
      <c r="Z27" s="409"/>
      <c r="AA27" s="409"/>
      <c r="AB27" s="1033"/>
      <c r="AC27" s="1033"/>
      <c r="AD27" s="1033"/>
      <c r="AE27" s="405"/>
      <c r="AF27" s="891"/>
      <c r="AG27" s="903"/>
      <c r="AH27" s="884"/>
      <c r="AI27" s="1028"/>
      <c r="AJ27" s="1028"/>
      <c r="AK27" s="1029"/>
      <c r="AL27" s="1028"/>
      <c r="AM27" s="1028"/>
      <c r="AN27" s="1029"/>
      <c r="AO27" s="1030"/>
      <c r="AP27" s="1030"/>
      <c r="AQ27" s="1030"/>
      <c r="AR27" s="1028"/>
      <c r="AS27" s="1028"/>
      <c r="AT27" s="1028"/>
      <c r="AU27" s="1028"/>
      <c r="AV27" s="1028"/>
      <c r="AW27" s="1028"/>
      <c r="AX27" s="1028"/>
      <c r="AY27" s="1028"/>
      <c r="AZ27" s="1028"/>
    </row>
    <row r="28" spans="1:52" ht="20.100000000000001" customHeight="1" x14ac:dyDescent="0.25">
      <c r="A28" s="1076"/>
      <c r="B28" s="1006"/>
      <c r="C28" s="882" t="s">
        <v>744</v>
      </c>
      <c r="D28" s="379" t="s">
        <v>149</v>
      </c>
      <c r="E28" s="408"/>
      <c r="F28" s="408"/>
      <c r="G28" s="405"/>
      <c r="H28" s="405"/>
      <c r="I28" s="405"/>
      <c r="J28" s="405"/>
      <c r="K28" s="405"/>
      <c r="L28" s="397">
        <v>0.19600000000000001</v>
      </c>
      <c r="M28" s="385">
        <v>0.224</v>
      </c>
      <c r="N28" s="508">
        <f>11*0.028</f>
        <v>0.308</v>
      </c>
      <c r="O28" s="508">
        <f>0.028*13</f>
        <v>0.36399999999999999</v>
      </c>
      <c r="P28" s="508">
        <f>0.028*13</f>
        <v>0.36399999999999999</v>
      </c>
      <c r="Q28" s="508">
        <f>0.028*15</f>
        <v>0.42</v>
      </c>
      <c r="R28" s="414">
        <f>0.0275*16</f>
        <v>0.44</v>
      </c>
      <c r="S28" s="889" t="s">
        <v>579</v>
      </c>
      <c r="T28" s="407"/>
      <c r="U28" s="407"/>
      <c r="V28" s="407"/>
      <c r="W28" s="407"/>
      <c r="X28" s="407"/>
      <c r="Y28" s="397">
        <v>0.19600000000000001</v>
      </c>
      <c r="Z28" s="385">
        <v>0.224</v>
      </c>
      <c r="AA28" s="385">
        <f>11*0.028</f>
        <v>0.308</v>
      </c>
      <c r="AB28" s="385">
        <f>0.028*13</f>
        <v>0.36399999999999999</v>
      </c>
      <c r="AC28" s="385">
        <f>0.028*13</f>
        <v>0.36399999999999999</v>
      </c>
      <c r="AD28" s="385">
        <f>0.028*15</f>
        <v>0.42</v>
      </c>
      <c r="AE28" s="398">
        <f>0.0275*16</f>
        <v>0.44</v>
      </c>
      <c r="AF28" s="889" t="s">
        <v>585</v>
      </c>
      <c r="AG28" s="882" t="s">
        <v>497</v>
      </c>
      <c r="AH28" s="882" t="s">
        <v>272</v>
      </c>
      <c r="AI28" s="1025" t="s">
        <v>528</v>
      </c>
      <c r="AJ28" s="1025" t="s">
        <v>637</v>
      </c>
      <c r="AK28" s="1029"/>
      <c r="AL28" s="1025" t="s">
        <v>638</v>
      </c>
      <c r="AM28" s="1025" t="s">
        <v>90</v>
      </c>
      <c r="AN28" s="1029"/>
      <c r="AO28" s="1027">
        <v>163230.72497655501</v>
      </c>
      <c r="AP28" s="1027">
        <v>77499.342048074206</v>
      </c>
      <c r="AQ28" s="1027">
        <v>85731.382928481107</v>
      </c>
      <c r="AR28" s="1025" t="s">
        <v>269</v>
      </c>
      <c r="AS28" s="1025" t="s">
        <v>269</v>
      </c>
      <c r="AT28" s="1025" t="s">
        <v>269</v>
      </c>
      <c r="AU28" s="1025" t="s">
        <v>269</v>
      </c>
      <c r="AV28" s="1025" t="s">
        <v>269</v>
      </c>
      <c r="AW28" s="1025" t="s">
        <v>269</v>
      </c>
      <c r="AX28" s="1025" t="s">
        <v>269</v>
      </c>
      <c r="AY28" s="1025" t="s">
        <v>269</v>
      </c>
      <c r="AZ28" s="1025"/>
    </row>
    <row r="29" spans="1:52" ht="20.100000000000001" customHeight="1" x14ac:dyDescent="0.25">
      <c r="A29" s="1076"/>
      <c r="B29" s="1006"/>
      <c r="C29" s="883"/>
      <c r="D29" s="388" t="s">
        <v>151</v>
      </c>
      <c r="E29" s="411"/>
      <c r="F29" s="411"/>
      <c r="G29" s="405"/>
      <c r="H29" s="405"/>
      <c r="I29" s="405"/>
      <c r="J29" s="405"/>
      <c r="K29" s="405"/>
      <c r="L29" s="407">
        <v>7668416</v>
      </c>
      <c r="M29" s="413">
        <v>7554296</v>
      </c>
      <c r="N29" s="390">
        <f>1053000*11</f>
        <v>11583000</v>
      </c>
      <c r="O29" s="390">
        <f>1053000*13</f>
        <v>13689000</v>
      </c>
      <c r="P29" s="390">
        <f>1053000*13</f>
        <v>13689000</v>
      </c>
      <c r="Q29" s="390">
        <f>1053000*15</f>
        <v>15795000</v>
      </c>
      <c r="R29" s="411">
        <f>1052286*16</f>
        <v>16836576</v>
      </c>
      <c r="S29" s="890"/>
      <c r="T29" s="407"/>
      <c r="U29" s="407"/>
      <c r="V29" s="407"/>
      <c r="W29" s="407"/>
      <c r="X29" s="407"/>
      <c r="Y29" s="407">
        <v>6459327</v>
      </c>
      <c r="Z29" s="413">
        <v>7554296</v>
      </c>
      <c r="AA29" s="391">
        <f>11*944000</f>
        <v>10384000</v>
      </c>
      <c r="AB29" s="391">
        <f>1007000*13</f>
        <v>13091000</v>
      </c>
      <c r="AC29" s="391">
        <f>1007000*13</f>
        <v>13091000</v>
      </c>
      <c r="AD29" s="391">
        <f>1007000*15</f>
        <v>15105000</v>
      </c>
      <c r="AE29" s="390">
        <f>1031290*16</f>
        <v>16500640</v>
      </c>
      <c r="AF29" s="890"/>
      <c r="AG29" s="902"/>
      <c r="AH29" s="883"/>
      <c r="AI29" s="1028"/>
      <c r="AJ29" s="1028"/>
      <c r="AK29" s="1029"/>
      <c r="AL29" s="1028"/>
      <c r="AM29" s="1028"/>
      <c r="AN29" s="1029"/>
      <c r="AO29" s="1030"/>
      <c r="AP29" s="1030"/>
      <c r="AQ29" s="1030"/>
      <c r="AR29" s="1028"/>
      <c r="AS29" s="1028"/>
      <c r="AT29" s="1028"/>
      <c r="AU29" s="1028"/>
      <c r="AV29" s="1028"/>
      <c r="AW29" s="1028"/>
      <c r="AX29" s="1028"/>
      <c r="AY29" s="1028"/>
      <c r="AZ29" s="1028"/>
    </row>
    <row r="30" spans="1:52" ht="20.100000000000001" customHeight="1" x14ac:dyDescent="0.25">
      <c r="A30" s="1076"/>
      <c r="B30" s="1006"/>
      <c r="C30" s="883"/>
      <c r="D30" s="394" t="s">
        <v>153</v>
      </c>
      <c r="E30" s="411"/>
      <c r="F30" s="411"/>
      <c r="G30" s="405"/>
      <c r="H30" s="405"/>
      <c r="I30" s="405"/>
      <c r="J30" s="405"/>
      <c r="K30" s="405"/>
      <c r="L30" s="397"/>
      <c r="M30" s="413"/>
      <c r="N30" s="405"/>
      <c r="O30" s="405"/>
      <c r="P30" s="405"/>
      <c r="Q30" s="406"/>
      <c r="R30" s="411"/>
      <c r="S30" s="890"/>
      <c r="T30" s="407"/>
      <c r="U30" s="407"/>
      <c r="V30" s="407"/>
      <c r="W30" s="407"/>
      <c r="X30" s="407"/>
      <c r="Y30" s="397"/>
      <c r="Z30" s="413"/>
      <c r="AA30" s="409"/>
      <c r="AB30" s="1033"/>
      <c r="AC30" s="1033"/>
      <c r="AD30" s="1033"/>
      <c r="AE30" s="405"/>
      <c r="AF30" s="890"/>
      <c r="AG30" s="902"/>
      <c r="AH30" s="883"/>
      <c r="AI30" s="1028"/>
      <c r="AJ30" s="1028"/>
      <c r="AK30" s="1029"/>
      <c r="AL30" s="1028"/>
      <c r="AM30" s="1028"/>
      <c r="AN30" s="1029"/>
      <c r="AO30" s="1030"/>
      <c r="AP30" s="1030"/>
      <c r="AQ30" s="1030"/>
      <c r="AR30" s="1028"/>
      <c r="AS30" s="1028"/>
      <c r="AT30" s="1028"/>
      <c r="AU30" s="1028"/>
      <c r="AV30" s="1028"/>
      <c r="AW30" s="1028"/>
      <c r="AX30" s="1028"/>
      <c r="AY30" s="1028"/>
      <c r="AZ30" s="1028"/>
    </row>
    <row r="31" spans="1:52" ht="20.100000000000001" customHeight="1" x14ac:dyDescent="0.25">
      <c r="A31" s="1076"/>
      <c r="B31" s="1006"/>
      <c r="C31" s="883"/>
      <c r="D31" s="388" t="s">
        <v>154</v>
      </c>
      <c r="E31" s="411"/>
      <c r="F31" s="411"/>
      <c r="G31" s="405"/>
      <c r="H31" s="405"/>
      <c r="I31" s="405"/>
      <c r="J31" s="405"/>
      <c r="K31" s="405"/>
      <c r="L31" s="397"/>
      <c r="M31" s="413"/>
      <c r="N31" s="405"/>
      <c r="O31" s="405"/>
      <c r="P31" s="405"/>
      <c r="Q31" s="406"/>
      <c r="R31" s="411"/>
      <c r="S31" s="890"/>
      <c r="T31" s="407"/>
      <c r="U31" s="407"/>
      <c r="V31" s="407"/>
      <c r="W31" s="407"/>
      <c r="X31" s="407"/>
      <c r="Y31" s="397"/>
      <c r="Z31" s="413"/>
      <c r="AA31" s="409"/>
      <c r="AB31" s="1033"/>
      <c r="AC31" s="1033"/>
      <c r="AD31" s="1033"/>
      <c r="AE31" s="405"/>
      <c r="AF31" s="890"/>
      <c r="AG31" s="902"/>
      <c r="AH31" s="883"/>
      <c r="AI31" s="1028"/>
      <c r="AJ31" s="1028"/>
      <c r="AK31" s="1029"/>
      <c r="AL31" s="1028"/>
      <c r="AM31" s="1028"/>
      <c r="AN31" s="1029"/>
      <c r="AO31" s="1030"/>
      <c r="AP31" s="1030"/>
      <c r="AQ31" s="1030"/>
      <c r="AR31" s="1028"/>
      <c r="AS31" s="1028"/>
      <c r="AT31" s="1028"/>
      <c r="AU31" s="1028"/>
      <c r="AV31" s="1028"/>
      <c r="AW31" s="1028"/>
      <c r="AX31" s="1028"/>
      <c r="AY31" s="1028"/>
      <c r="AZ31" s="1028"/>
    </row>
    <row r="32" spans="1:52" ht="20.100000000000001" customHeight="1" x14ac:dyDescent="0.25">
      <c r="A32" s="1076"/>
      <c r="B32" s="1006"/>
      <c r="C32" s="883"/>
      <c r="D32" s="394" t="s">
        <v>155</v>
      </c>
      <c r="E32" s="412"/>
      <c r="F32" s="412"/>
      <c r="G32" s="405"/>
      <c r="H32" s="405"/>
      <c r="I32" s="405"/>
      <c r="J32" s="405"/>
      <c r="K32" s="405"/>
      <c r="L32" s="397"/>
      <c r="M32" s="413"/>
      <c r="N32" s="405"/>
      <c r="O32" s="405"/>
      <c r="P32" s="405"/>
      <c r="Q32" s="406"/>
      <c r="R32" s="412"/>
      <c r="S32" s="890"/>
      <c r="T32" s="407"/>
      <c r="U32" s="407"/>
      <c r="V32" s="407"/>
      <c r="W32" s="407"/>
      <c r="X32" s="407"/>
      <c r="Y32" s="397"/>
      <c r="Z32" s="413"/>
      <c r="AA32" s="409"/>
      <c r="AB32" s="1033"/>
      <c r="AC32" s="1033"/>
      <c r="AD32" s="1033"/>
      <c r="AE32" s="402"/>
      <c r="AF32" s="890"/>
      <c r="AG32" s="902"/>
      <c r="AH32" s="883"/>
      <c r="AI32" s="1028"/>
      <c r="AJ32" s="1028"/>
      <c r="AK32" s="1029"/>
      <c r="AL32" s="1028"/>
      <c r="AM32" s="1028"/>
      <c r="AN32" s="1029"/>
      <c r="AO32" s="1030"/>
      <c r="AP32" s="1030"/>
      <c r="AQ32" s="1030"/>
      <c r="AR32" s="1028"/>
      <c r="AS32" s="1028"/>
      <c r="AT32" s="1028"/>
      <c r="AU32" s="1028"/>
      <c r="AV32" s="1028"/>
      <c r="AW32" s="1028"/>
      <c r="AX32" s="1028"/>
      <c r="AY32" s="1028"/>
      <c r="AZ32" s="1028"/>
    </row>
    <row r="33" spans="1:52" ht="20.100000000000001" customHeight="1" thickBot="1" x14ac:dyDescent="0.3">
      <c r="A33" s="1076"/>
      <c r="B33" s="1006"/>
      <c r="C33" s="884"/>
      <c r="D33" s="403" t="s">
        <v>156</v>
      </c>
      <c r="E33" s="404"/>
      <c r="F33" s="404"/>
      <c r="G33" s="405"/>
      <c r="H33" s="405"/>
      <c r="I33" s="405"/>
      <c r="J33" s="405"/>
      <c r="K33" s="405"/>
      <c r="L33" s="397"/>
      <c r="M33" s="413"/>
      <c r="N33" s="405"/>
      <c r="O33" s="405"/>
      <c r="P33" s="405"/>
      <c r="Q33" s="406"/>
      <c r="R33" s="404"/>
      <c r="S33" s="891"/>
      <c r="T33" s="407"/>
      <c r="U33" s="407"/>
      <c r="V33" s="407"/>
      <c r="W33" s="407"/>
      <c r="X33" s="407"/>
      <c r="Y33" s="397"/>
      <c r="Z33" s="413"/>
      <c r="AA33" s="409"/>
      <c r="AB33" s="1033"/>
      <c r="AC33" s="1033"/>
      <c r="AD33" s="1033"/>
      <c r="AE33" s="405"/>
      <c r="AF33" s="891"/>
      <c r="AG33" s="903"/>
      <c r="AH33" s="884"/>
      <c r="AI33" s="1028"/>
      <c r="AJ33" s="1028"/>
      <c r="AK33" s="1029"/>
      <c r="AL33" s="1028"/>
      <c r="AM33" s="1028"/>
      <c r="AN33" s="1029"/>
      <c r="AO33" s="1030"/>
      <c r="AP33" s="1030"/>
      <c r="AQ33" s="1030"/>
      <c r="AR33" s="1028"/>
      <c r="AS33" s="1028"/>
      <c r="AT33" s="1028"/>
      <c r="AU33" s="1028"/>
      <c r="AV33" s="1028"/>
      <c r="AW33" s="1028"/>
      <c r="AX33" s="1028"/>
      <c r="AY33" s="1028"/>
      <c r="AZ33" s="1028"/>
    </row>
    <row r="34" spans="1:52" ht="20.100000000000001" customHeight="1" x14ac:dyDescent="0.25">
      <c r="A34" s="1076"/>
      <c r="B34" s="1006"/>
      <c r="C34" s="882" t="s">
        <v>738</v>
      </c>
      <c r="D34" s="379" t="s">
        <v>149</v>
      </c>
      <c r="E34" s="404"/>
      <c r="F34" s="404"/>
      <c r="G34" s="405"/>
      <c r="H34" s="405"/>
      <c r="I34" s="405"/>
      <c r="J34" s="405"/>
      <c r="K34" s="405"/>
      <c r="L34" s="397">
        <v>0.16800000000000001</v>
      </c>
      <c r="M34" s="385">
        <v>0.19600000000000001</v>
      </c>
      <c r="N34" s="508">
        <f>9*0.028</f>
        <v>0.252</v>
      </c>
      <c r="O34" s="410">
        <f>0.028*12</f>
        <v>0.33600000000000002</v>
      </c>
      <c r="P34" s="410">
        <f>0.028*13</f>
        <v>0.36399999999999999</v>
      </c>
      <c r="Q34" s="410">
        <f>0.028*13</f>
        <v>0.36399999999999999</v>
      </c>
      <c r="R34" s="414">
        <f>0.0275*16</f>
        <v>0.44</v>
      </c>
      <c r="S34" s="889" t="s">
        <v>580</v>
      </c>
      <c r="T34" s="407"/>
      <c r="U34" s="407"/>
      <c r="V34" s="407"/>
      <c r="W34" s="407"/>
      <c r="X34" s="407"/>
      <c r="Y34" s="397">
        <v>0.16800000000000001</v>
      </c>
      <c r="Z34" s="385">
        <v>0.19600000000000001</v>
      </c>
      <c r="AA34" s="385">
        <f>9*0.028</f>
        <v>0.252</v>
      </c>
      <c r="AB34" s="410">
        <f>0.028*12</f>
        <v>0.33600000000000002</v>
      </c>
      <c r="AC34" s="410">
        <f>0.028*13</f>
        <v>0.36399999999999999</v>
      </c>
      <c r="AD34" s="410">
        <f>0.028*13</f>
        <v>0.36399999999999999</v>
      </c>
      <c r="AE34" s="398">
        <f>0.0275*16</f>
        <v>0.44</v>
      </c>
      <c r="AF34" s="889" t="s">
        <v>586</v>
      </c>
      <c r="AG34" s="882" t="s">
        <v>501</v>
      </c>
      <c r="AH34" s="882" t="s">
        <v>273</v>
      </c>
      <c r="AI34" s="1025" t="s">
        <v>502</v>
      </c>
      <c r="AJ34" s="1025" t="s">
        <v>639</v>
      </c>
      <c r="AK34" s="1029"/>
      <c r="AL34" s="1025" t="s">
        <v>640</v>
      </c>
      <c r="AM34" s="1025" t="s">
        <v>274</v>
      </c>
      <c r="AN34" s="1029"/>
      <c r="AO34" s="1027">
        <v>628525.76807830296</v>
      </c>
      <c r="AP34" s="1027">
        <v>306775.50657670101</v>
      </c>
      <c r="AQ34" s="1027">
        <v>321750.26150160201</v>
      </c>
      <c r="AR34" s="1025" t="s">
        <v>269</v>
      </c>
      <c r="AS34" s="1025" t="s">
        <v>269</v>
      </c>
      <c r="AT34" s="1025" t="s">
        <v>269</v>
      </c>
      <c r="AU34" s="1025" t="s">
        <v>269</v>
      </c>
      <c r="AV34" s="1025" t="s">
        <v>269</v>
      </c>
      <c r="AW34" s="1025" t="s">
        <v>269</v>
      </c>
      <c r="AX34" s="1025" t="s">
        <v>269</v>
      </c>
      <c r="AY34" s="1025" t="s">
        <v>269</v>
      </c>
      <c r="AZ34" s="1025"/>
    </row>
    <row r="35" spans="1:52" ht="20.100000000000001" customHeight="1" x14ac:dyDescent="0.25">
      <c r="A35" s="1076"/>
      <c r="B35" s="1006"/>
      <c r="C35" s="883"/>
      <c r="D35" s="388" t="s">
        <v>151</v>
      </c>
      <c r="E35" s="404"/>
      <c r="F35" s="404"/>
      <c r="G35" s="405"/>
      <c r="H35" s="405"/>
      <c r="I35" s="405"/>
      <c r="J35" s="405"/>
      <c r="K35" s="405"/>
      <c r="L35" s="407">
        <v>6572928</v>
      </c>
      <c r="M35" s="407">
        <v>6610009</v>
      </c>
      <c r="N35" s="390">
        <f>9*1053000</f>
        <v>9477000</v>
      </c>
      <c r="O35" s="390">
        <v>12636000</v>
      </c>
      <c r="P35" s="390">
        <v>12636000</v>
      </c>
      <c r="Q35" s="390">
        <v>12636000</v>
      </c>
      <c r="R35" s="411">
        <f>1052286*16</f>
        <v>16836576</v>
      </c>
      <c r="S35" s="890"/>
      <c r="T35" s="407"/>
      <c r="U35" s="407"/>
      <c r="V35" s="407"/>
      <c r="W35" s="407"/>
      <c r="X35" s="407"/>
      <c r="Y35" s="407">
        <v>5536566</v>
      </c>
      <c r="Z35" s="407">
        <v>6610009</v>
      </c>
      <c r="AA35" s="391">
        <f>9*944000</f>
        <v>8496000</v>
      </c>
      <c r="AB35" s="390">
        <f>1007000*12</f>
        <v>12084000</v>
      </c>
      <c r="AC35" s="390">
        <f>1007000*13</f>
        <v>13091000</v>
      </c>
      <c r="AD35" s="390">
        <f>1007000*13</f>
        <v>13091000</v>
      </c>
      <c r="AE35" s="390">
        <f>1031290*16</f>
        <v>16500640</v>
      </c>
      <c r="AF35" s="890"/>
      <c r="AG35" s="902"/>
      <c r="AH35" s="883"/>
      <c r="AI35" s="1028"/>
      <c r="AJ35" s="1028"/>
      <c r="AK35" s="1029"/>
      <c r="AL35" s="1028"/>
      <c r="AM35" s="1028"/>
      <c r="AN35" s="1029"/>
      <c r="AO35" s="1030"/>
      <c r="AP35" s="1030"/>
      <c r="AQ35" s="1030"/>
      <c r="AR35" s="1028"/>
      <c r="AS35" s="1028"/>
      <c r="AT35" s="1028"/>
      <c r="AU35" s="1028"/>
      <c r="AV35" s="1028"/>
      <c r="AW35" s="1028"/>
      <c r="AX35" s="1028"/>
      <c r="AY35" s="1028"/>
      <c r="AZ35" s="1028"/>
    </row>
    <row r="36" spans="1:52" ht="20.100000000000001" customHeight="1" x14ac:dyDescent="0.25">
      <c r="A36" s="1076"/>
      <c r="B36" s="1006"/>
      <c r="C36" s="883"/>
      <c r="D36" s="394" t="s">
        <v>153</v>
      </c>
      <c r="E36" s="404"/>
      <c r="F36" s="404"/>
      <c r="G36" s="405"/>
      <c r="H36" s="405"/>
      <c r="I36" s="405"/>
      <c r="J36" s="405"/>
      <c r="K36" s="405"/>
      <c r="L36" s="397"/>
      <c r="M36" s="385"/>
      <c r="N36" s="405"/>
      <c r="O36" s="405"/>
      <c r="P36" s="405"/>
      <c r="Q36" s="406"/>
      <c r="R36" s="404"/>
      <c r="S36" s="890"/>
      <c r="T36" s="407"/>
      <c r="U36" s="407"/>
      <c r="V36" s="407"/>
      <c r="W36" s="407"/>
      <c r="X36" s="407"/>
      <c r="Y36" s="397"/>
      <c r="Z36" s="385"/>
      <c r="AA36" s="409"/>
      <c r="AB36" s="1033"/>
      <c r="AC36" s="1033"/>
      <c r="AD36" s="1033"/>
      <c r="AE36" s="405"/>
      <c r="AF36" s="890"/>
      <c r="AG36" s="902"/>
      <c r="AH36" s="883"/>
      <c r="AI36" s="1028"/>
      <c r="AJ36" s="1028"/>
      <c r="AK36" s="1029"/>
      <c r="AL36" s="1028"/>
      <c r="AM36" s="1028"/>
      <c r="AN36" s="1029"/>
      <c r="AO36" s="1030"/>
      <c r="AP36" s="1030"/>
      <c r="AQ36" s="1030"/>
      <c r="AR36" s="1028"/>
      <c r="AS36" s="1028"/>
      <c r="AT36" s="1028"/>
      <c r="AU36" s="1028"/>
      <c r="AV36" s="1028"/>
      <c r="AW36" s="1028"/>
      <c r="AX36" s="1028"/>
      <c r="AY36" s="1028"/>
      <c r="AZ36" s="1028"/>
    </row>
    <row r="37" spans="1:52" ht="20.100000000000001" customHeight="1" x14ac:dyDescent="0.25">
      <c r="A37" s="1076"/>
      <c r="B37" s="1006"/>
      <c r="C37" s="883"/>
      <c r="D37" s="388" t="s">
        <v>154</v>
      </c>
      <c r="E37" s="404"/>
      <c r="F37" s="404"/>
      <c r="G37" s="405"/>
      <c r="H37" s="405"/>
      <c r="I37" s="405"/>
      <c r="J37" s="405"/>
      <c r="K37" s="405"/>
      <c r="L37" s="397"/>
      <c r="M37" s="385"/>
      <c r="N37" s="405"/>
      <c r="O37" s="405"/>
      <c r="P37" s="405"/>
      <c r="Q37" s="406"/>
      <c r="R37" s="404"/>
      <c r="S37" s="890"/>
      <c r="T37" s="407"/>
      <c r="U37" s="407"/>
      <c r="V37" s="407"/>
      <c r="W37" s="407"/>
      <c r="X37" s="407"/>
      <c r="Y37" s="397"/>
      <c r="Z37" s="385"/>
      <c r="AA37" s="409"/>
      <c r="AB37" s="1033"/>
      <c r="AC37" s="1033"/>
      <c r="AD37" s="1033"/>
      <c r="AE37" s="405"/>
      <c r="AF37" s="890"/>
      <c r="AG37" s="902"/>
      <c r="AH37" s="883"/>
      <c r="AI37" s="1028"/>
      <c r="AJ37" s="1028"/>
      <c r="AK37" s="1029"/>
      <c r="AL37" s="1028"/>
      <c r="AM37" s="1028"/>
      <c r="AN37" s="1029"/>
      <c r="AO37" s="1030"/>
      <c r="AP37" s="1030"/>
      <c r="AQ37" s="1030"/>
      <c r="AR37" s="1028"/>
      <c r="AS37" s="1028"/>
      <c r="AT37" s="1028"/>
      <c r="AU37" s="1028"/>
      <c r="AV37" s="1028"/>
      <c r="AW37" s="1028"/>
      <c r="AX37" s="1028"/>
      <c r="AY37" s="1028"/>
      <c r="AZ37" s="1028"/>
    </row>
    <row r="38" spans="1:52" ht="20.100000000000001" customHeight="1" x14ac:dyDescent="0.25">
      <c r="A38" s="1076"/>
      <c r="B38" s="1006"/>
      <c r="C38" s="883"/>
      <c r="D38" s="394" t="s">
        <v>155</v>
      </c>
      <c r="E38" s="404"/>
      <c r="F38" s="404"/>
      <c r="G38" s="405"/>
      <c r="H38" s="405"/>
      <c r="I38" s="405"/>
      <c r="J38" s="405"/>
      <c r="K38" s="405"/>
      <c r="L38" s="397"/>
      <c r="M38" s="385"/>
      <c r="N38" s="405"/>
      <c r="O38" s="405"/>
      <c r="P38" s="405"/>
      <c r="Q38" s="406"/>
      <c r="R38" s="404"/>
      <c r="S38" s="890"/>
      <c r="T38" s="407"/>
      <c r="U38" s="407"/>
      <c r="V38" s="407"/>
      <c r="W38" s="407"/>
      <c r="X38" s="407"/>
      <c r="Y38" s="397"/>
      <c r="Z38" s="385"/>
      <c r="AA38" s="409"/>
      <c r="AB38" s="1033"/>
      <c r="AC38" s="1033"/>
      <c r="AD38" s="1033"/>
      <c r="AE38" s="405"/>
      <c r="AF38" s="890"/>
      <c r="AG38" s="902"/>
      <c r="AH38" s="883"/>
      <c r="AI38" s="1028"/>
      <c r="AJ38" s="1028"/>
      <c r="AK38" s="1029"/>
      <c r="AL38" s="1028"/>
      <c r="AM38" s="1028"/>
      <c r="AN38" s="1029"/>
      <c r="AO38" s="1030"/>
      <c r="AP38" s="1030"/>
      <c r="AQ38" s="1030"/>
      <c r="AR38" s="1028"/>
      <c r="AS38" s="1028"/>
      <c r="AT38" s="1028"/>
      <c r="AU38" s="1028"/>
      <c r="AV38" s="1028"/>
      <c r="AW38" s="1028"/>
      <c r="AX38" s="1028"/>
      <c r="AY38" s="1028"/>
      <c r="AZ38" s="1028"/>
    </row>
    <row r="39" spans="1:52" ht="20.100000000000001" customHeight="1" thickBot="1" x14ac:dyDescent="0.3">
      <c r="A39" s="1076"/>
      <c r="B39" s="1006"/>
      <c r="C39" s="884"/>
      <c r="D39" s="403" t="s">
        <v>156</v>
      </c>
      <c r="E39" s="404"/>
      <c r="F39" s="404"/>
      <c r="G39" s="405"/>
      <c r="H39" s="405"/>
      <c r="I39" s="405"/>
      <c r="J39" s="405"/>
      <c r="K39" s="405"/>
      <c r="L39" s="397"/>
      <c r="M39" s="385"/>
      <c r="N39" s="405"/>
      <c r="O39" s="405"/>
      <c r="P39" s="405"/>
      <c r="Q39" s="406"/>
      <c r="R39" s="404"/>
      <c r="S39" s="891"/>
      <c r="T39" s="407"/>
      <c r="U39" s="407"/>
      <c r="V39" s="407"/>
      <c r="W39" s="407"/>
      <c r="X39" s="407"/>
      <c r="Y39" s="397"/>
      <c r="Z39" s="385"/>
      <c r="AA39" s="409"/>
      <c r="AB39" s="1033"/>
      <c r="AC39" s="1033"/>
      <c r="AD39" s="1033"/>
      <c r="AE39" s="405"/>
      <c r="AF39" s="891"/>
      <c r="AG39" s="903"/>
      <c r="AH39" s="884"/>
      <c r="AI39" s="1028"/>
      <c r="AJ39" s="1028"/>
      <c r="AK39" s="1029"/>
      <c r="AL39" s="1028"/>
      <c r="AM39" s="1028"/>
      <c r="AN39" s="1029"/>
      <c r="AO39" s="1030"/>
      <c r="AP39" s="1030"/>
      <c r="AQ39" s="1030"/>
      <c r="AR39" s="1028"/>
      <c r="AS39" s="1028"/>
      <c r="AT39" s="1028"/>
      <c r="AU39" s="1028"/>
      <c r="AV39" s="1028"/>
      <c r="AW39" s="1028"/>
      <c r="AX39" s="1028"/>
      <c r="AY39" s="1028"/>
      <c r="AZ39" s="1028"/>
    </row>
    <row r="40" spans="1:52" ht="20.100000000000001" customHeight="1" x14ac:dyDescent="0.25">
      <c r="A40" s="1076"/>
      <c r="B40" s="1006"/>
      <c r="C40" s="882" t="s">
        <v>735</v>
      </c>
      <c r="D40" s="379" t="s">
        <v>149</v>
      </c>
      <c r="E40" s="408"/>
      <c r="F40" s="408"/>
      <c r="G40" s="405"/>
      <c r="H40" s="405"/>
      <c r="I40" s="405"/>
      <c r="J40" s="405"/>
      <c r="K40" s="405"/>
      <c r="L40" s="397">
        <v>0.28000000000000003</v>
      </c>
      <c r="M40" s="385">
        <v>0.44800000000000001</v>
      </c>
      <c r="N40" s="508">
        <f>37*0.028</f>
        <v>1.036</v>
      </c>
      <c r="O40" s="410">
        <f>0.028*51</f>
        <v>1.4279999999999999</v>
      </c>
      <c r="P40" s="410">
        <f>0.028*56</f>
        <v>1.5680000000000001</v>
      </c>
      <c r="Q40" s="410">
        <f>0.028*58</f>
        <v>1.6240000000000001</v>
      </c>
      <c r="R40" s="414">
        <f>0.0275*67</f>
        <v>1.8425</v>
      </c>
      <c r="S40" s="889" t="s">
        <v>574</v>
      </c>
      <c r="T40" s="407"/>
      <c r="U40" s="407"/>
      <c r="V40" s="407"/>
      <c r="W40" s="407"/>
      <c r="X40" s="407"/>
      <c r="Y40" s="397">
        <v>0.28000000000000003</v>
      </c>
      <c r="Z40" s="385">
        <v>0.44800000000000001</v>
      </c>
      <c r="AA40" s="385">
        <f>37*0.028</f>
        <v>1.036</v>
      </c>
      <c r="AB40" s="385">
        <f>0.028*51</f>
        <v>1.4279999999999999</v>
      </c>
      <c r="AC40" s="385">
        <f>0.028*56</f>
        <v>1.5680000000000001</v>
      </c>
      <c r="AD40" s="385">
        <f>0.028*58</f>
        <v>1.6240000000000001</v>
      </c>
      <c r="AE40" s="398">
        <f>0.0275*67</f>
        <v>1.8425</v>
      </c>
      <c r="AF40" s="889" t="s">
        <v>587</v>
      </c>
      <c r="AG40" s="882" t="s">
        <v>503</v>
      </c>
      <c r="AH40" s="882" t="s">
        <v>275</v>
      </c>
      <c r="AI40" s="1025" t="s">
        <v>641</v>
      </c>
      <c r="AJ40" s="1025" t="s">
        <v>642</v>
      </c>
      <c r="AK40" s="1029"/>
      <c r="AL40" s="1025" t="s">
        <v>643</v>
      </c>
      <c r="AM40" s="1025" t="s">
        <v>275</v>
      </c>
      <c r="AN40" s="1029"/>
      <c r="AO40" s="1027">
        <v>840955.00195741595</v>
      </c>
      <c r="AP40" s="1027">
        <v>396681.76749088702</v>
      </c>
      <c r="AQ40" s="1027">
        <v>444273.23446652899</v>
      </c>
      <c r="AR40" s="1025" t="s">
        <v>269</v>
      </c>
      <c r="AS40" s="1025" t="s">
        <v>269</v>
      </c>
      <c r="AT40" s="1025" t="s">
        <v>269</v>
      </c>
      <c r="AU40" s="1025" t="s">
        <v>269</v>
      </c>
      <c r="AV40" s="1025" t="s">
        <v>269</v>
      </c>
      <c r="AW40" s="1025" t="s">
        <v>269</v>
      </c>
      <c r="AX40" s="1025" t="s">
        <v>269</v>
      </c>
      <c r="AY40" s="1025" t="s">
        <v>269</v>
      </c>
      <c r="AZ40" s="1025"/>
    </row>
    <row r="41" spans="1:52" ht="20.100000000000001" customHeight="1" x14ac:dyDescent="0.25">
      <c r="A41" s="1076"/>
      <c r="B41" s="1006"/>
      <c r="C41" s="883"/>
      <c r="D41" s="388" t="s">
        <v>151</v>
      </c>
      <c r="E41" s="411"/>
      <c r="F41" s="411"/>
      <c r="G41" s="405"/>
      <c r="H41" s="405"/>
      <c r="I41" s="405"/>
      <c r="J41" s="405"/>
      <c r="K41" s="405"/>
      <c r="L41" s="407">
        <v>10954880</v>
      </c>
      <c r="M41" s="407">
        <v>15108592</v>
      </c>
      <c r="N41" s="390">
        <f>37*1053000</f>
        <v>38961000</v>
      </c>
      <c r="O41" s="390">
        <f>1053000*51</f>
        <v>53703000</v>
      </c>
      <c r="P41" s="390">
        <f>1053000*51</f>
        <v>53703000</v>
      </c>
      <c r="Q41" s="390">
        <f>1053000*58</f>
        <v>61074000</v>
      </c>
      <c r="R41" s="411">
        <f>1052286*67</f>
        <v>70503162</v>
      </c>
      <c r="S41" s="890"/>
      <c r="T41" s="407"/>
      <c r="U41" s="407"/>
      <c r="V41" s="407"/>
      <c r="W41" s="407"/>
      <c r="X41" s="407"/>
      <c r="Y41" s="407">
        <v>9227610</v>
      </c>
      <c r="Z41" s="407">
        <v>15108592</v>
      </c>
      <c r="AA41" s="391">
        <f>37*944000</f>
        <v>34928000</v>
      </c>
      <c r="AB41" s="391">
        <f>1007000*51</f>
        <v>51357000</v>
      </c>
      <c r="AC41" s="391">
        <f>1007000*56</f>
        <v>56392000</v>
      </c>
      <c r="AD41" s="391">
        <f>1007000*58</f>
        <v>58406000</v>
      </c>
      <c r="AE41" s="390">
        <f>1031290*67</f>
        <v>69096430</v>
      </c>
      <c r="AF41" s="890"/>
      <c r="AG41" s="902"/>
      <c r="AH41" s="883"/>
      <c r="AI41" s="1028"/>
      <c r="AJ41" s="1028"/>
      <c r="AK41" s="1029"/>
      <c r="AL41" s="1028"/>
      <c r="AM41" s="1028"/>
      <c r="AN41" s="1029"/>
      <c r="AO41" s="1030"/>
      <c r="AP41" s="1030"/>
      <c r="AQ41" s="1030"/>
      <c r="AR41" s="1028"/>
      <c r="AS41" s="1028"/>
      <c r="AT41" s="1028"/>
      <c r="AU41" s="1028"/>
      <c r="AV41" s="1028"/>
      <c r="AW41" s="1028"/>
      <c r="AX41" s="1028"/>
      <c r="AY41" s="1028"/>
      <c r="AZ41" s="1028"/>
    </row>
    <row r="42" spans="1:52" ht="20.100000000000001" customHeight="1" x14ac:dyDescent="0.25">
      <c r="A42" s="1076"/>
      <c r="B42" s="1006"/>
      <c r="C42" s="883"/>
      <c r="D42" s="394" t="s">
        <v>153</v>
      </c>
      <c r="E42" s="411"/>
      <c r="F42" s="411"/>
      <c r="G42" s="405"/>
      <c r="H42" s="405"/>
      <c r="I42" s="405"/>
      <c r="J42" s="405"/>
      <c r="K42" s="405"/>
      <c r="L42" s="397"/>
      <c r="M42" s="385"/>
      <c r="N42" s="405"/>
      <c r="O42" s="405"/>
      <c r="P42" s="405"/>
      <c r="Q42" s="406"/>
      <c r="R42" s="411"/>
      <c r="S42" s="890"/>
      <c r="T42" s="407"/>
      <c r="U42" s="407"/>
      <c r="V42" s="407"/>
      <c r="W42" s="407"/>
      <c r="X42" s="407"/>
      <c r="Y42" s="397"/>
      <c r="Z42" s="385"/>
      <c r="AA42" s="409"/>
      <c r="AB42" s="1033"/>
      <c r="AC42" s="1033"/>
      <c r="AD42" s="1033"/>
      <c r="AE42" s="405"/>
      <c r="AF42" s="890"/>
      <c r="AG42" s="902"/>
      <c r="AH42" s="883"/>
      <c r="AI42" s="1028"/>
      <c r="AJ42" s="1028"/>
      <c r="AK42" s="1029"/>
      <c r="AL42" s="1028"/>
      <c r="AM42" s="1028"/>
      <c r="AN42" s="1029"/>
      <c r="AO42" s="1030"/>
      <c r="AP42" s="1030"/>
      <c r="AQ42" s="1030"/>
      <c r="AR42" s="1028"/>
      <c r="AS42" s="1028"/>
      <c r="AT42" s="1028"/>
      <c r="AU42" s="1028"/>
      <c r="AV42" s="1028"/>
      <c r="AW42" s="1028"/>
      <c r="AX42" s="1028"/>
      <c r="AY42" s="1028"/>
      <c r="AZ42" s="1028"/>
    </row>
    <row r="43" spans="1:52" ht="20.100000000000001" customHeight="1" x14ac:dyDescent="0.25">
      <c r="A43" s="1076"/>
      <c r="B43" s="1006"/>
      <c r="C43" s="883"/>
      <c r="D43" s="388" t="s">
        <v>154</v>
      </c>
      <c r="E43" s="408"/>
      <c r="F43" s="408"/>
      <c r="G43" s="405"/>
      <c r="H43" s="405"/>
      <c r="I43" s="405"/>
      <c r="J43" s="405"/>
      <c r="K43" s="405"/>
      <c r="L43" s="397"/>
      <c r="M43" s="385"/>
      <c r="N43" s="405"/>
      <c r="O43" s="405"/>
      <c r="P43" s="405"/>
      <c r="Q43" s="406"/>
      <c r="R43" s="408"/>
      <c r="S43" s="890"/>
      <c r="T43" s="407"/>
      <c r="U43" s="407"/>
      <c r="V43" s="407"/>
      <c r="W43" s="407"/>
      <c r="X43" s="407"/>
      <c r="Y43" s="397"/>
      <c r="Z43" s="385"/>
      <c r="AA43" s="409"/>
      <c r="AB43" s="1033"/>
      <c r="AC43" s="1033"/>
      <c r="AD43" s="1033"/>
      <c r="AE43" s="402"/>
      <c r="AF43" s="890"/>
      <c r="AG43" s="902"/>
      <c r="AH43" s="883"/>
      <c r="AI43" s="1028"/>
      <c r="AJ43" s="1028"/>
      <c r="AK43" s="1029"/>
      <c r="AL43" s="1028"/>
      <c r="AM43" s="1028"/>
      <c r="AN43" s="1029"/>
      <c r="AO43" s="1030"/>
      <c r="AP43" s="1030"/>
      <c r="AQ43" s="1030"/>
      <c r="AR43" s="1028"/>
      <c r="AS43" s="1028"/>
      <c r="AT43" s="1028"/>
      <c r="AU43" s="1028"/>
      <c r="AV43" s="1028"/>
      <c r="AW43" s="1028"/>
      <c r="AX43" s="1028"/>
      <c r="AY43" s="1028"/>
      <c r="AZ43" s="1028"/>
    </row>
    <row r="44" spans="1:52" ht="20.100000000000001" customHeight="1" x14ac:dyDescent="0.25">
      <c r="A44" s="1076"/>
      <c r="B44" s="1006"/>
      <c r="C44" s="883"/>
      <c r="D44" s="394" t="s">
        <v>155</v>
      </c>
      <c r="E44" s="412"/>
      <c r="F44" s="412"/>
      <c r="G44" s="405"/>
      <c r="H44" s="405"/>
      <c r="I44" s="405"/>
      <c r="J44" s="405"/>
      <c r="K44" s="405"/>
      <c r="L44" s="397"/>
      <c r="M44" s="385"/>
      <c r="N44" s="405"/>
      <c r="O44" s="405"/>
      <c r="P44" s="405"/>
      <c r="Q44" s="406"/>
      <c r="R44" s="412"/>
      <c r="S44" s="890"/>
      <c r="T44" s="407"/>
      <c r="U44" s="407"/>
      <c r="V44" s="407"/>
      <c r="W44" s="407"/>
      <c r="X44" s="407"/>
      <c r="Y44" s="397"/>
      <c r="Z44" s="385"/>
      <c r="AA44" s="409"/>
      <c r="AB44" s="1033"/>
      <c r="AC44" s="1033"/>
      <c r="AD44" s="1033"/>
      <c r="AE44" s="402"/>
      <c r="AF44" s="890"/>
      <c r="AG44" s="902"/>
      <c r="AH44" s="883"/>
      <c r="AI44" s="1028"/>
      <c r="AJ44" s="1028"/>
      <c r="AK44" s="1029"/>
      <c r="AL44" s="1028"/>
      <c r="AM44" s="1028"/>
      <c r="AN44" s="1029"/>
      <c r="AO44" s="1030"/>
      <c r="AP44" s="1030"/>
      <c r="AQ44" s="1030"/>
      <c r="AR44" s="1028"/>
      <c r="AS44" s="1028"/>
      <c r="AT44" s="1028"/>
      <c r="AU44" s="1028"/>
      <c r="AV44" s="1028"/>
      <c r="AW44" s="1028"/>
      <c r="AX44" s="1028"/>
      <c r="AY44" s="1028"/>
      <c r="AZ44" s="1028"/>
    </row>
    <row r="45" spans="1:52" ht="20.100000000000001" customHeight="1" thickBot="1" x14ac:dyDescent="0.3">
      <c r="A45" s="1076"/>
      <c r="B45" s="1006"/>
      <c r="C45" s="884"/>
      <c r="D45" s="403" t="s">
        <v>156</v>
      </c>
      <c r="E45" s="404"/>
      <c r="F45" s="404"/>
      <c r="G45" s="405"/>
      <c r="H45" s="405"/>
      <c r="I45" s="405"/>
      <c r="J45" s="405"/>
      <c r="K45" s="405"/>
      <c r="L45" s="397"/>
      <c r="M45" s="385"/>
      <c r="N45" s="405"/>
      <c r="O45" s="405"/>
      <c r="P45" s="405"/>
      <c r="Q45" s="406"/>
      <c r="R45" s="404"/>
      <c r="S45" s="891"/>
      <c r="T45" s="407"/>
      <c r="U45" s="407"/>
      <c r="V45" s="407"/>
      <c r="W45" s="407"/>
      <c r="X45" s="407"/>
      <c r="Y45" s="397"/>
      <c r="Z45" s="385"/>
      <c r="AA45" s="409"/>
      <c r="AB45" s="1033"/>
      <c r="AC45" s="1033"/>
      <c r="AD45" s="1033"/>
      <c r="AE45" s="405"/>
      <c r="AF45" s="891"/>
      <c r="AG45" s="903"/>
      <c r="AH45" s="884"/>
      <c r="AI45" s="1028"/>
      <c r="AJ45" s="1028"/>
      <c r="AK45" s="1029"/>
      <c r="AL45" s="1028"/>
      <c r="AM45" s="1028"/>
      <c r="AN45" s="1029"/>
      <c r="AO45" s="1030"/>
      <c r="AP45" s="1030"/>
      <c r="AQ45" s="1030"/>
      <c r="AR45" s="1028"/>
      <c r="AS45" s="1028"/>
      <c r="AT45" s="1028"/>
      <c r="AU45" s="1028"/>
      <c r="AV45" s="1028"/>
      <c r="AW45" s="1028"/>
      <c r="AX45" s="1028"/>
      <c r="AY45" s="1028"/>
      <c r="AZ45" s="1028"/>
    </row>
    <row r="46" spans="1:52" ht="20.100000000000001" customHeight="1" x14ac:dyDescent="0.25">
      <c r="A46" s="1076"/>
      <c r="B46" s="1006"/>
      <c r="C46" s="882" t="s">
        <v>734</v>
      </c>
      <c r="D46" s="379" t="s">
        <v>149</v>
      </c>
      <c r="E46" s="408"/>
      <c r="F46" s="408"/>
      <c r="G46" s="405"/>
      <c r="H46" s="405"/>
      <c r="I46" s="405"/>
      <c r="J46" s="405"/>
      <c r="K46" s="405"/>
      <c r="L46" s="397">
        <v>0.78400000000000003</v>
      </c>
      <c r="M46" s="385">
        <v>1.0640000000000001</v>
      </c>
      <c r="N46" s="508">
        <f>75*0.028</f>
        <v>2.1</v>
      </c>
      <c r="O46" s="410">
        <f>0.028*95</f>
        <v>2.66</v>
      </c>
      <c r="P46" s="410">
        <f>0.028*102</f>
        <v>2.8559999999999999</v>
      </c>
      <c r="Q46" s="410">
        <f>0.028*120</f>
        <v>3.36</v>
      </c>
      <c r="R46" s="414">
        <v>3.36</v>
      </c>
      <c r="S46" s="889" t="s">
        <v>575</v>
      </c>
      <c r="T46" s="407"/>
      <c r="U46" s="407"/>
      <c r="V46" s="407"/>
      <c r="W46" s="407"/>
      <c r="X46" s="407"/>
      <c r="Y46" s="397">
        <v>0.78400000000000003</v>
      </c>
      <c r="Z46" s="385">
        <v>1.0640000000000001</v>
      </c>
      <c r="AA46" s="385">
        <f>75*0.028</f>
        <v>2.1</v>
      </c>
      <c r="AB46" s="410">
        <f>0.028*95</f>
        <v>2.66</v>
      </c>
      <c r="AC46" s="410">
        <f>0.028*102</f>
        <v>2.8559999999999999</v>
      </c>
      <c r="AD46" s="410">
        <f>0.028*120</f>
        <v>3.36</v>
      </c>
      <c r="AE46" s="398">
        <v>3.36</v>
      </c>
      <c r="AF46" s="889" t="s">
        <v>588</v>
      </c>
      <c r="AG46" s="882" t="s">
        <v>495</v>
      </c>
      <c r="AH46" s="882" t="s">
        <v>276</v>
      </c>
      <c r="AI46" s="1025" t="s">
        <v>644</v>
      </c>
      <c r="AJ46" s="1025" t="s">
        <v>645</v>
      </c>
      <c r="AK46" s="1029"/>
      <c r="AL46" s="1025" t="s">
        <v>646</v>
      </c>
      <c r="AM46" s="1025" t="s">
        <v>90</v>
      </c>
      <c r="AN46" s="1029"/>
      <c r="AO46" s="1027">
        <v>388154.31397454499</v>
      </c>
      <c r="AP46" s="1027">
        <v>183970.649857496</v>
      </c>
      <c r="AQ46" s="1027">
        <v>204183.66411704899</v>
      </c>
      <c r="AR46" s="1025" t="s">
        <v>269</v>
      </c>
      <c r="AS46" s="1025" t="s">
        <v>269</v>
      </c>
      <c r="AT46" s="1025" t="s">
        <v>269</v>
      </c>
      <c r="AU46" s="1025" t="s">
        <v>269</v>
      </c>
      <c r="AV46" s="1025" t="s">
        <v>269</v>
      </c>
      <c r="AW46" s="1025" t="s">
        <v>269</v>
      </c>
      <c r="AX46" s="1025" t="s">
        <v>269</v>
      </c>
      <c r="AY46" s="1025" t="s">
        <v>269</v>
      </c>
      <c r="AZ46" s="1025"/>
    </row>
    <row r="47" spans="1:52" ht="20.100000000000001" customHeight="1" x14ac:dyDescent="0.25">
      <c r="A47" s="1076"/>
      <c r="B47" s="1006"/>
      <c r="C47" s="883"/>
      <c r="D47" s="388" t="s">
        <v>151</v>
      </c>
      <c r="E47" s="411"/>
      <c r="F47" s="411"/>
      <c r="G47" s="405"/>
      <c r="H47" s="405"/>
      <c r="I47" s="405"/>
      <c r="J47" s="405"/>
      <c r="K47" s="405"/>
      <c r="L47" s="407">
        <v>30673664</v>
      </c>
      <c r="M47" s="407">
        <v>35882906</v>
      </c>
      <c r="N47" s="390">
        <f>75*1053000</f>
        <v>78975000</v>
      </c>
      <c r="O47" s="390">
        <f>1053000*95</f>
        <v>100035000</v>
      </c>
      <c r="P47" s="390">
        <f>1053000*95</f>
        <v>100035000</v>
      </c>
      <c r="Q47" s="390">
        <f>1053000*120</f>
        <v>126360000</v>
      </c>
      <c r="R47" s="411">
        <f>1052286*122</f>
        <v>128378892</v>
      </c>
      <c r="S47" s="890"/>
      <c r="T47" s="407"/>
      <c r="U47" s="407"/>
      <c r="V47" s="407"/>
      <c r="W47" s="407"/>
      <c r="X47" s="407"/>
      <c r="Y47" s="407">
        <v>25837308</v>
      </c>
      <c r="Z47" s="407">
        <v>35882906</v>
      </c>
      <c r="AA47" s="391">
        <f>75*944000</f>
        <v>70800000</v>
      </c>
      <c r="AB47" s="390">
        <f>1007000*95</f>
        <v>95665000</v>
      </c>
      <c r="AC47" s="390">
        <f>1007000*102</f>
        <v>102714000</v>
      </c>
      <c r="AD47" s="390">
        <f>1007000*120</f>
        <v>120840000</v>
      </c>
      <c r="AE47" s="390">
        <f>1031290*122</f>
        <v>125817380</v>
      </c>
      <c r="AF47" s="890"/>
      <c r="AG47" s="902"/>
      <c r="AH47" s="883"/>
      <c r="AI47" s="1028"/>
      <c r="AJ47" s="1028"/>
      <c r="AK47" s="1029"/>
      <c r="AL47" s="1028"/>
      <c r="AM47" s="1028"/>
      <c r="AN47" s="1029"/>
      <c r="AO47" s="1030"/>
      <c r="AP47" s="1030"/>
      <c r="AQ47" s="1030"/>
      <c r="AR47" s="1028"/>
      <c r="AS47" s="1028"/>
      <c r="AT47" s="1028"/>
      <c r="AU47" s="1028"/>
      <c r="AV47" s="1028"/>
      <c r="AW47" s="1028"/>
      <c r="AX47" s="1028"/>
      <c r="AY47" s="1028"/>
      <c r="AZ47" s="1028"/>
    </row>
    <row r="48" spans="1:52" ht="20.100000000000001" customHeight="1" x14ac:dyDescent="0.25">
      <c r="A48" s="1076"/>
      <c r="B48" s="1006"/>
      <c r="C48" s="883"/>
      <c r="D48" s="394" t="s">
        <v>153</v>
      </c>
      <c r="E48" s="411"/>
      <c r="F48" s="411"/>
      <c r="G48" s="405"/>
      <c r="H48" s="405"/>
      <c r="I48" s="405"/>
      <c r="J48" s="405"/>
      <c r="K48" s="405"/>
      <c r="L48" s="397"/>
      <c r="M48" s="385"/>
      <c r="N48" s="405"/>
      <c r="O48" s="405"/>
      <c r="P48" s="405"/>
      <c r="Q48" s="406"/>
      <c r="R48" s="411"/>
      <c r="S48" s="890"/>
      <c r="T48" s="407"/>
      <c r="U48" s="407"/>
      <c r="V48" s="407"/>
      <c r="W48" s="407"/>
      <c r="X48" s="407"/>
      <c r="Y48" s="397"/>
      <c r="Z48" s="385"/>
      <c r="AA48" s="409"/>
      <c r="AB48" s="1033"/>
      <c r="AC48" s="1033"/>
      <c r="AD48" s="1033"/>
      <c r="AE48" s="405"/>
      <c r="AF48" s="890"/>
      <c r="AG48" s="902"/>
      <c r="AH48" s="883"/>
      <c r="AI48" s="1028"/>
      <c r="AJ48" s="1028"/>
      <c r="AK48" s="1029"/>
      <c r="AL48" s="1028"/>
      <c r="AM48" s="1028"/>
      <c r="AN48" s="1029"/>
      <c r="AO48" s="1030"/>
      <c r="AP48" s="1030"/>
      <c r="AQ48" s="1030"/>
      <c r="AR48" s="1028"/>
      <c r="AS48" s="1028"/>
      <c r="AT48" s="1028"/>
      <c r="AU48" s="1028"/>
      <c r="AV48" s="1028"/>
      <c r="AW48" s="1028"/>
      <c r="AX48" s="1028"/>
      <c r="AY48" s="1028"/>
      <c r="AZ48" s="1028"/>
    </row>
    <row r="49" spans="1:52" ht="20.100000000000001" customHeight="1" x14ac:dyDescent="0.25">
      <c r="A49" s="1076"/>
      <c r="B49" s="1006"/>
      <c r="C49" s="883"/>
      <c r="D49" s="388" t="s">
        <v>154</v>
      </c>
      <c r="E49" s="411"/>
      <c r="F49" s="411"/>
      <c r="G49" s="405"/>
      <c r="H49" s="405"/>
      <c r="I49" s="405"/>
      <c r="J49" s="405"/>
      <c r="K49" s="405"/>
      <c r="L49" s="397"/>
      <c r="M49" s="385"/>
      <c r="N49" s="405"/>
      <c r="O49" s="405"/>
      <c r="P49" s="405"/>
      <c r="Q49" s="406"/>
      <c r="R49" s="411"/>
      <c r="S49" s="890"/>
      <c r="T49" s="407"/>
      <c r="U49" s="407"/>
      <c r="V49" s="407"/>
      <c r="W49" s="407"/>
      <c r="X49" s="407"/>
      <c r="Y49" s="397"/>
      <c r="Z49" s="385"/>
      <c r="AA49" s="409"/>
      <c r="AB49" s="1033"/>
      <c r="AC49" s="1033"/>
      <c r="AD49" s="1033"/>
      <c r="AE49" s="405"/>
      <c r="AF49" s="890"/>
      <c r="AG49" s="902"/>
      <c r="AH49" s="883"/>
      <c r="AI49" s="1028"/>
      <c r="AJ49" s="1028"/>
      <c r="AK49" s="1029"/>
      <c r="AL49" s="1028"/>
      <c r="AM49" s="1028"/>
      <c r="AN49" s="1029"/>
      <c r="AO49" s="1030"/>
      <c r="AP49" s="1030"/>
      <c r="AQ49" s="1030"/>
      <c r="AR49" s="1028"/>
      <c r="AS49" s="1028"/>
      <c r="AT49" s="1028"/>
      <c r="AU49" s="1028"/>
      <c r="AV49" s="1028"/>
      <c r="AW49" s="1028"/>
      <c r="AX49" s="1028"/>
      <c r="AY49" s="1028"/>
      <c r="AZ49" s="1028"/>
    </row>
    <row r="50" spans="1:52" ht="20.100000000000001" customHeight="1" x14ac:dyDescent="0.25">
      <c r="A50" s="1076"/>
      <c r="B50" s="1006"/>
      <c r="C50" s="883"/>
      <c r="D50" s="394" t="s">
        <v>155</v>
      </c>
      <c r="E50" s="412"/>
      <c r="F50" s="412"/>
      <c r="G50" s="405"/>
      <c r="H50" s="405"/>
      <c r="I50" s="405"/>
      <c r="J50" s="405"/>
      <c r="K50" s="405"/>
      <c r="L50" s="397"/>
      <c r="M50" s="385"/>
      <c r="N50" s="405"/>
      <c r="O50" s="405"/>
      <c r="P50" s="405"/>
      <c r="Q50" s="406"/>
      <c r="R50" s="412"/>
      <c r="S50" s="890"/>
      <c r="T50" s="407"/>
      <c r="U50" s="407"/>
      <c r="V50" s="407"/>
      <c r="W50" s="407"/>
      <c r="X50" s="407"/>
      <c r="Y50" s="397"/>
      <c r="Z50" s="385"/>
      <c r="AA50" s="409"/>
      <c r="AB50" s="1033"/>
      <c r="AC50" s="1033"/>
      <c r="AD50" s="1033"/>
      <c r="AE50" s="402"/>
      <c r="AF50" s="890"/>
      <c r="AG50" s="902"/>
      <c r="AH50" s="883"/>
      <c r="AI50" s="1028"/>
      <c r="AJ50" s="1028"/>
      <c r="AK50" s="1029"/>
      <c r="AL50" s="1028"/>
      <c r="AM50" s="1028"/>
      <c r="AN50" s="1029"/>
      <c r="AO50" s="1030"/>
      <c r="AP50" s="1030"/>
      <c r="AQ50" s="1030"/>
      <c r="AR50" s="1028"/>
      <c r="AS50" s="1028"/>
      <c r="AT50" s="1028"/>
      <c r="AU50" s="1028"/>
      <c r="AV50" s="1028"/>
      <c r="AW50" s="1028"/>
      <c r="AX50" s="1028"/>
      <c r="AY50" s="1028"/>
      <c r="AZ50" s="1028"/>
    </row>
    <row r="51" spans="1:52" ht="20.100000000000001" customHeight="1" thickBot="1" x14ac:dyDescent="0.3">
      <c r="A51" s="1076"/>
      <c r="B51" s="1006"/>
      <c r="C51" s="884"/>
      <c r="D51" s="403" t="s">
        <v>156</v>
      </c>
      <c r="E51" s="404"/>
      <c r="F51" s="404"/>
      <c r="G51" s="405"/>
      <c r="H51" s="405"/>
      <c r="I51" s="405"/>
      <c r="J51" s="405"/>
      <c r="K51" s="405"/>
      <c r="L51" s="397"/>
      <c r="M51" s="385"/>
      <c r="N51" s="405"/>
      <c r="O51" s="405"/>
      <c r="P51" s="405"/>
      <c r="Q51" s="406"/>
      <c r="R51" s="404"/>
      <c r="S51" s="891"/>
      <c r="T51" s="407"/>
      <c r="U51" s="407"/>
      <c r="V51" s="407"/>
      <c r="W51" s="407"/>
      <c r="X51" s="407"/>
      <c r="Y51" s="397"/>
      <c r="Z51" s="385"/>
      <c r="AA51" s="409"/>
      <c r="AB51" s="1033"/>
      <c r="AC51" s="1033"/>
      <c r="AD51" s="1033"/>
      <c r="AE51" s="405"/>
      <c r="AF51" s="891"/>
      <c r="AG51" s="903"/>
      <c r="AH51" s="884"/>
      <c r="AI51" s="1028"/>
      <c r="AJ51" s="1028"/>
      <c r="AK51" s="1029"/>
      <c r="AL51" s="1028"/>
      <c r="AM51" s="1028"/>
      <c r="AN51" s="1029"/>
      <c r="AO51" s="1030"/>
      <c r="AP51" s="1030"/>
      <c r="AQ51" s="1030"/>
      <c r="AR51" s="1028"/>
      <c r="AS51" s="1028"/>
      <c r="AT51" s="1028"/>
      <c r="AU51" s="1028"/>
      <c r="AV51" s="1028"/>
      <c r="AW51" s="1028"/>
      <c r="AX51" s="1028"/>
      <c r="AY51" s="1028"/>
      <c r="AZ51" s="1028"/>
    </row>
    <row r="52" spans="1:52" ht="20.100000000000001" customHeight="1" x14ac:dyDescent="0.25">
      <c r="A52" s="1076"/>
      <c r="B52" s="1006"/>
      <c r="C52" s="882" t="s">
        <v>733</v>
      </c>
      <c r="D52" s="379" t="s">
        <v>149</v>
      </c>
      <c r="E52" s="408"/>
      <c r="F52" s="408"/>
      <c r="G52" s="405"/>
      <c r="H52" s="405"/>
      <c r="I52" s="405"/>
      <c r="J52" s="405"/>
      <c r="K52" s="405"/>
      <c r="L52" s="397">
        <v>0.7</v>
      </c>
      <c r="M52" s="385">
        <v>0.92400000000000004</v>
      </c>
      <c r="N52" s="508">
        <f>71*0.028</f>
        <v>1.988</v>
      </c>
      <c r="O52" s="410">
        <f>0.028*77</f>
        <v>2.1560000000000001</v>
      </c>
      <c r="P52" s="410">
        <f>0.028*89</f>
        <v>2.492</v>
      </c>
      <c r="Q52" s="410">
        <f>0.028*89</f>
        <v>2.492</v>
      </c>
      <c r="R52" s="414">
        <f>0.0275*99</f>
        <v>2.7225000000000001</v>
      </c>
      <c r="S52" s="889" t="s">
        <v>539</v>
      </c>
      <c r="T52" s="407"/>
      <c r="U52" s="407"/>
      <c r="V52" s="407"/>
      <c r="W52" s="407"/>
      <c r="X52" s="407"/>
      <c r="Y52" s="397">
        <v>0.7</v>
      </c>
      <c r="Z52" s="385">
        <v>0.92400000000000004</v>
      </c>
      <c r="AA52" s="385">
        <f>61*0.028</f>
        <v>1.708</v>
      </c>
      <c r="AB52" s="410">
        <f>0.028*77</f>
        <v>2.1560000000000001</v>
      </c>
      <c r="AC52" s="410">
        <f>0.028*89</f>
        <v>2.492</v>
      </c>
      <c r="AD52" s="410">
        <f>0.028*92</f>
        <v>2.5760000000000001</v>
      </c>
      <c r="AE52" s="398">
        <f>0.0275*99</f>
        <v>2.7225000000000001</v>
      </c>
      <c r="AF52" s="889" t="s">
        <v>541</v>
      </c>
      <c r="AG52" s="882" t="s">
        <v>498</v>
      </c>
      <c r="AH52" s="882" t="s">
        <v>504</v>
      </c>
      <c r="AI52" s="1025" t="s">
        <v>647</v>
      </c>
      <c r="AJ52" s="1025" t="s">
        <v>648</v>
      </c>
      <c r="AK52" s="1029"/>
      <c r="AL52" s="1025" t="s">
        <v>649</v>
      </c>
      <c r="AM52" s="1025" t="s">
        <v>505</v>
      </c>
      <c r="AN52" s="1029"/>
      <c r="AO52" s="1027">
        <v>1080200.2660513399</v>
      </c>
      <c r="AP52" s="1027">
        <v>517025.31746095099</v>
      </c>
      <c r="AQ52" s="1027">
        <v>563174.94859038503</v>
      </c>
      <c r="AR52" s="1025" t="s">
        <v>269</v>
      </c>
      <c r="AS52" s="1025" t="s">
        <v>269</v>
      </c>
      <c r="AT52" s="1025" t="s">
        <v>269</v>
      </c>
      <c r="AU52" s="1025" t="s">
        <v>269</v>
      </c>
      <c r="AV52" s="1025" t="s">
        <v>269</v>
      </c>
      <c r="AW52" s="1025" t="s">
        <v>269</v>
      </c>
      <c r="AX52" s="1025" t="s">
        <v>269</v>
      </c>
      <c r="AY52" s="1025" t="s">
        <v>269</v>
      </c>
      <c r="AZ52" s="1025"/>
    </row>
    <row r="53" spans="1:52" ht="20.100000000000001" customHeight="1" x14ac:dyDescent="0.25">
      <c r="A53" s="1076"/>
      <c r="B53" s="1006"/>
      <c r="C53" s="883"/>
      <c r="D53" s="388" t="s">
        <v>151</v>
      </c>
      <c r="E53" s="411"/>
      <c r="F53" s="411"/>
      <c r="G53" s="405"/>
      <c r="H53" s="405"/>
      <c r="I53" s="405"/>
      <c r="J53" s="405"/>
      <c r="K53" s="405"/>
      <c r="L53" s="407">
        <v>27387200</v>
      </c>
      <c r="M53" s="407">
        <v>31161471</v>
      </c>
      <c r="N53" s="390">
        <f>71*1053000</f>
        <v>74763000</v>
      </c>
      <c r="O53" s="390">
        <f>1053000*67</f>
        <v>70551000</v>
      </c>
      <c r="P53" s="390">
        <f>1053000*67</f>
        <v>70551000</v>
      </c>
      <c r="Q53" s="390">
        <f>1053000*92</f>
        <v>96876000</v>
      </c>
      <c r="R53" s="411">
        <f>1052286*99</f>
        <v>104176314</v>
      </c>
      <c r="S53" s="890"/>
      <c r="T53" s="407"/>
      <c r="U53" s="407"/>
      <c r="V53" s="407"/>
      <c r="W53" s="407"/>
      <c r="X53" s="407"/>
      <c r="Y53" s="407">
        <v>23069025</v>
      </c>
      <c r="Z53" s="407">
        <v>31161471</v>
      </c>
      <c r="AA53" s="391">
        <f>61*944000</f>
        <v>57584000</v>
      </c>
      <c r="AB53" s="390">
        <f>1007000*77</f>
        <v>77539000</v>
      </c>
      <c r="AC53" s="390">
        <f>1007000*89</f>
        <v>89623000</v>
      </c>
      <c r="AD53" s="390">
        <f>1007000*92</f>
        <v>92644000</v>
      </c>
      <c r="AE53" s="390">
        <f>1031290*99</f>
        <v>102097710</v>
      </c>
      <c r="AF53" s="890"/>
      <c r="AG53" s="902"/>
      <c r="AH53" s="883"/>
      <c r="AI53" s="1028"/>
      <c r="AJ53" s="1028"/>
      <c r="AK53" s="1029"/>
      <c r="AL53" s="1028"/>
      <c r="AM53" s="1028"/>
      <c r="AN53" s="1029"/>
      <c r="AO53" s="1030"/>
      <c r="AP53" s="1030"/>
      <c r="AQ53" s="1030"/>
      <c r="AR53" s="1028"/>
      <c r="AS53" s="1028"/>
      <c r="AT53" s="1028"/>
      <c r="AU53" s="1028"/>
      <c r="AV53" s="1028"/>
      <c r="AW53" s="1028"/>
      <c r="AX53" s="1028"/>
      <c r="AY53" s="1028"/>
      <c r="AZ53" s="1028"/>
    </row>
    <row r="54" spans="1:52" ht="20.100000000000001" customHeight="1" x14ac:dyDescent="0.25">
      <c r="A54" s="1076"/>
      <c r="B54" s="1006"/>
      <c r="C54" s="883"/>
      <c r="D54" s="394" t="s">
        <v>153</v>
      </c>
      <c r="E54" s="411"/>
      <c r="F54" s="411"/>
      <c r="G54" s="405"/>
      <c r="H54" s="405"/>
      <c r="I54" s="405"/>
      <c r="J54" s="405"/>
      <c r="K54" s="405"/>
      <c r="L54" s="397"/>
      <c r="M54" s="385"/>
      <c r="N54" s="405"/>
      <c r="O54" s="405"/>
      <c r="P54" s="405"/>
      <c r="Q54" s="406"/>
      <c r="R54" s="411"/>
      <c r="S54" s="890"/>
      <c r="T54" s="407"/>
      <c r="U54" s="407"/>
      <c r="V54" s="407"/>
      <c r="W54" s="407"/>
      <c r="X54" s="407"/>
      <c r="Y54" s="397"/>
      <c r="Z54" s="385"/>
      <c r="AA54" s="409"/>
      <c r="AB54" s="1033"/>
      <c r="AC54" s="1033"/>
      <c r="AD54" s="1033"/>
      <c r="AE54" s="405"/>
      <c r="AF54" s="890"/>
      <c r="AG54" s="902"/>
      <c r="AH54" s="883"/>
      <c r="AI54" s="1028"/>
      <c r="AJ54" s="1028"/>
      <c r="AK54" s="1029"/>
      <c r="AL54" s="1028"/>
      <c r="AM54" s="1028"/>
      <c r="AN54" s="1029"/>
      <c r="AO54" s="1030"/>
      <c r="AP54" s="1030"/>
      <c r="AQ54" s="1030"/>
      <c r="AR54" s="1028"/>
      <c r="AS54" s="1028"/>
      <c r="AT54" s="1028"/>
      <c r="AU54" s="1028"/>
      <c r="AV54" s="1028"/>
      <c r="AW54" s="1028"/>
      <c r="AX54" s="1028"/>
      <c r="AY54" s="1028"/>
      <c r="AZ54" s="1028"/>
    </row>
    <row r="55" spans="1:52" ht="20.100000000000001" customHeight="1" x14ac:dyDescent="0.25">
      <c r="A55" s="1076"/>
      <c r="B55" s="1006"/>
      <c r="C55" s="883"/>
      <c r="D55" s="388" t="s">
        <v>154</v>
      </c>
      <c r="E55" s="411"/>
      <c r="F55" s="411"/>
      <c r="G55" s="405"/>
      <c r="H55" s="405"/>
      <c r="I55" s="405"/>
      <c r="J55" s="405"/>
      <c r="K55" s="405"/>
      <c r="L55" s="397"/>
      <c r="M55" s="385"/>
      <c r="N55" s="405"/>
      <c r="O55" s="405"/>
      <c r="P55" s="405"/>
      <c r="Q55" s="406"/>
      <c r="R55" s="411"/>
      <c r="S55" s="890"/>
      <c r="T55" s="407"/>
      <c r="U55" s="407"/>
      <c r="V55" s="407"/>
      <c r="W55" s="407"/>
      <c r="X55" s="407"/>
      <c r="Y55" s="397"/>
      <c r="Z55" s="385"/>
      <c r="AA55" s="409"/>
      <c r="AB55" s="1033"/>
      <c r="AC55" s="1033"/>
      <c r="AD55" s="1033"/>
      <c r="AE55" s="405"/>
      <c r="AF55" s="890"/>
      <c r="AG55" s="902"/>
      <c r="AH55" s="883"/>
      <c r="AI55" s="1028"/>
      <c r="AJ55" s="1028"/>
      <c r="AK55" s="1029"/>
      <c r="AL55" s="1028"/>
      <c r="AM55" s="1028"/>
      <c r="AN55" s="1029"/>
      <c r="AO55" s="1030"/>
      <c r="AP55" s="1030"/>
      <c r="AQ55" s="1030"/>
      <c r="AR55" s="1028"/>
      <c r="AS55" s="1028"/>
      <c r="AT55" s="1028"/>
      <c r="AU55" s="1028"/>
      <c r="AV55" s="1028"/>
      <c r="AW55" s="1028"/>
      <c r="AX55" s="1028"/>
      <c r="AY55" s="1028"/>
      <c r="AZ55" s="1028"/>
    </row>
    <row r="56" spans="1:52" ht="20.100000000000001" customHeight="1" x14ac:dyDescent="0.25">
      <c r="A56" s="1076"/>
      <c r="B56" s="1006"/>
      <c r="C56" s="883"/>
      <c r="D56" s="394" t="s">
        <v>155</v>
      </c>
      <c r="E56" s="412"/>
      <c r="F56" s="412"/>
      <c r="G56" s="405"/>
      <c r="H56" s="405"/>
      <c r="I56" s="405"/>
      <c r="J56" s="405"/>
      <c r="K56" s="405"/>
      <c r="L56" s="397"/>
      <c r="M56" s="385"/>
      <c r="N56" s="405"/>
      <c r="O56" s="405"/>
      <c r="P56" s="405"/>
      <c r="Q56" s="406"/>
      <c r="R56" s="412"/>
      <c r="S56" s="890"/>
      <c r="T56" s="407"/>
      <c r="U56" s="407"/>
      <c r="V56" s="407"/>
      <c r="W56" s="407"/>
      <c r="X56" s="407"/>
      <c r="Y56" s="397"/>
      <c r="Z56" s="385"/>
      <c r="AA56" s="409"/>
      <c r="AB56" s="1033"/>
      <c r="AC56" s="1033"/>
      <c r="AD56" s="1033"/>
      <c r="AE56" s="402"/>
      <c r="AF56" s="890"/>
      <c r="AG56" s="902"/>
      <c r="AH56" s="883"/>
      <c r="AI56" s="1028"/>
      <c r="AJ56" s="1028"/>
      <c r="AK56" s="1029"/>
      <c r="AL56" s="1028"/>
      <c r="AM56" s="1028"/>
      <c r="AN56" s="1029"/>
      <c r="AO56" s="1030"/>
      <c r="AP56" s="1030"/>
      <c r="AQ56" s="1030"/>
      <c r="AR56" s="1028"/>
      <c r="AS56" s="1028"/>
      <c r="AT56" s="1028"/>
      <c r="AU56" s="1028"/>
      <c r="AV56" s="1028"/>
      <c r="AW56" s="1028"/>
      <c r="AX56" s="1028"/>
      <c r="AY56" s="1028"/>
      <c r="AZ56" s="1028"/>
    </row>
    <row r="57" spans="1:52" ht="20.100000000000001" customHeight="1" thickBot="1" x14ac:dyDescent="0.3">
      <c r="A57" s="1076"/>
      <c r="B57" s="1006"/>
      <c r="C57" s="884"/>
      <c r="D57" s="403" t="s">
        <v>156</v>
      </c>
      <c r="E57" s="404"/>
      <c r="F57" s="404"/>
      <c r="G57" s="405"/>
      <c r="H57" s="405"/>
      <c r="I57" s="405"/>
      <c r="J57" s="405"/>
      <c r="K57" s="405"/>
      <c r="L57" s="397"/>
      <c r="M57" s="385"/>
      <c r="N57" s="405"/>
      <c r="O57" s="405"/>
      <c r="P57" s="405"/>
      <c r="Q57" s="406"/>
      <c r="R57" s="404"/>
      <c r="S57" s="891"/>
      <c r="T57" s="407"/>
      <c r="U57" s="407"/>
      <c r="V57" s="407"/>
      <c r="W57" s="407"/>
      <c r="X57" s="407"/>
      <c r="Y57" s="397"/>
      <c r="Z57" s="385"/>
      <c r="AA57" s="409"/>
      <c r="AB57" s="1033"/>
      <c r="AC57" s="1033"/>
      <c r="AD57" s="1033"/>
      <c r="AE57" s="405"/>
      <c r="AF57" s="891"/>
      <c r="AG57" s="903"/>
      <c r="AH57" s="884"/>
      <c r="AI57" s="1028"/>
      <c r="AJ57" s="1028"/>
      <c r="AK57" s="1029"/>
      <c r="AL57" s="1028"/>
      <c r="AM57" s="1028"/>
      <c r="AN57" s="1029"/>
      <c r="AO57" s="1030"/>
      <c r="AP57" s="1030"/>
      <c r="AQ57" s="1030"/>
      <c r="AR57" s="1028"/>
      <c r="AS57" s="1028"/>
      <c r="AT57" s="1028"/>
      <c r="AU57" s="1028"/>
      <c r="AV57" s="1028"/>
      <c r="AW57" s="1028"/>
      <c r="AX57" s="1028"/>
      <c r="AY57" s="1028"/>
      <c r="AZ57" s="1028"/>
    </row>
    <row r="58" spans="1:52" ht="20.100000000000001" customHeight="1" x14ac:dyDescent="0.25">
      <c r="A58" s="1076"/>
      <c r="B58" s="1006"/>
      <c r="C58" s="882" t="s">
        <v>740</v>
      </c>
      <c r="D58" s="379" t="s">
        <v>149</v>
      </c>
      <c r="E58" s="408"/>
      <c r="F58" s="408"/>
      <c r="G58" s="405"/>
      <c r="H58" s="405"/>
      <c r="I58" s="405"/>
      <c r="J58" s="405"/>
      <c r="K58" s="405"/>
      <c r="L58" s="397">
        <v>0.16800000000000001</v>
      </c>
      <c r="M58" s="385">
        <v>0.19600000000000001</v>
      </c>
      <c r="N58" s="508">
        <f>14*0.028</f>
        <v>0.39200000000000002</v>
      </c>
      <c r="O58" s="410">
        <f>0.028*16</f>
        <v>0.44800000000000001</v>
      </c>
      <c r="P58" s="410">
        <f>0.028*17</f>
        <v>0.47600000000000003</v>
      </c>
      <c r="Q58" s="410">
        <f>0.028*18</f>
        <v>0.504</v>
      </c>
      <c r="R58" s="414">
        <f>0.0275*24</f>
        <v>0.66</v>
      </c>
      <c r="S58" s="889" t="s">
        <v>569</v>
      </c>
      <c r="T58" s="407"/>
      <c r="U58" s="407"/>
      <c r="V58" s="407"/>
      <c r="W58" s="407"/>
      <c r="X58" s="407"/>
      <c r="Y58" s="397">
        <v>0.16800000000000001</v>
      </c>
      <c r="Z58" s="385">
        <v>0.19600000000000001</v>
      </c>
      <c r="AA58" s="385">
        <f>14*0.028</f>
        <v>0.39200000000000002</v>
      </c>
      <c r="AB58" s="410">
        <f>0.028*16</f>
        <v>0.44800000000000001</v>
      </c>
      <c r="AC58" s="410">
        <f>0.028*17</f>
        <v>0.47600000000000003</v>
      </c>
      <c r="AD58" s="410">
        <f>0.028*18</f>
        <v>0.504</v>
      </c>
      <c r="AE58" s="398">
        <f>0.0275*24</f>
        <v>0.66</v>
      </c>
      <c r="AF58" s="889" t="s">
        <v>589</v>
      </c>
      <c r="AG58" s="882" t="s">
        <v>495</v>
      </c>
      <c r="AH58" s="882" t="s">
        <v>278</v>
      </c>
      <c r="AI58" s="1025" t="s">
        <v>506</v>
      </c>
      <c r="AJ58" s="1025" t="s">
        <v>650</v>
      </c>
      <c r="AK58" s="1029"/>
      <c r="AL58" s="1025" t="s">
        <v>651</v>
      </c>
      <c r="AM58" s="1025" t="s">
        <v>90</v>
      </c>
      <c r="AN58" s="1029"/>
      <c r="AO58" s="1027">
        <v>76648.842634579196</v>
      </c>
      <c r="AP58" s="1027">
        <v>37529.0770010165</v>
      </c>
      <c r="AQ58" s="1027">
        <v>39119.765633562703</v>
      </c>
      <c r="AR58" s="1025" t="s">
        <v>269</v>
      </c>
      <c r="AS58" s="1025" t="s">
        <v>269</v>
      </c>
      <c r="AT58" s="1025" t="s">
        <v>269</v>
      </c>
      <c r="AU58" s="1025" t="s">
        <v>269</v>
      </c>
      <c r="AV58" s="1025" t="s">
        <v>269</v>
      </c>
      <c r="AW58" s="1025" t="s">
        <v>269</v>
      </c>
      <c r="AX58" s="1025" t="s">
        <v>269</v>
      </c>
      <c r="AY58" s="1025" t="s">
        <v>269</v>
      </c>
      <c r="AZ58" s="1025"/>
    </row>
    <row r="59" spans="1:52" ht="20.100000000000001" customHeight="1" x14ac:dyDescent="0.25">
      <c r="A59" s="1076"/>
      <c r="B59" s="1006"/>
      <c r="C59" s="883"/>
      <c r="D59" s="388" t="s">
        <v>151</v>
      </c>
      <c r="E59" s="411"/>
      <c r="F59" s="411"/>
      <c r="G59" s="405"/>
      <c r="H59" s="405"/>
      <c r="I59" s="405"/>
      <c r="J59" s="405"/>
      <c r="K59" s="405"/>
      <c r="L59" s="407">
        <v>6572928</v>
      </c>
      <c r="M59" s="407">
        <v>6610009</v>
      </c>
      <c r="N59" s="390">
        <f>14*1053000</f>
        <v>14742000</v>
      </c>
      <c r="O59" s="390">
        <f>1053000*16</f>
        <v>16848000</v>
      </c>
      <c r="P59" s="390">
        <f>1053000*16</f>
        <v>16848000</v>
      </c>
      <c r="Q59" s="390">
        <f>1053000*18</f>
        <v>18954000</v>
      </c>
      <c r="R59" s="411">
        <f>1052286*24</f>
        <v>25254864</v>
      </c>
      <c r="S59" s="890"/>
      <c r="T59" s="407"/>
      <c r="U59" s="407"/>
      <c r="V59" s="407"/>
      <c r="W59" s="407"/>
      <c r="X59" s="407"/>
      <c r="Y59" s="407">
        <v>5536566</v>
      </c>
      <c r="Z59" s="407">
        <v>6610009</v>
      </c>
      <c r="AA59" s="407">
        <f>14*944000</f>
        <v>13216000</v>
      </c>
      <c r="AB59" s="390">
        <f>1007000*16</f>
        <v>16112000</v>
      </c>
      <c r="AC59" s="390">
        <f>1007000*17</f>
        <v>17119000</v>
      </c>
      <c r="AD59" s="390">
        <f>1007000*18</f>
        <v>18126000</v>
      </c>
      <c r="AE59" s="390">
        <f>1031290*24</f>
        <v>24750960</v>
      </c>
      <c r="AF59" s="890"/>
      <c r="AG59" s="902"/>
      <c r="AH59" s="883"/>
      <c r="AI59" s="1028"/>
      <c r="AJ59" s="1028"/>
      <c r="AK59" s="1029"/>
      <c r="AL59" s="1028"/>
      <c r="AM59" s="1028"/>
      <c r="AN59" s="1029"/>
      <c r="AO59" s="1030"/>
      <c r="AP59" s="1030"/>
      <c r="AQ59" s="1030"/>
      <c r="AR59" s="1028"/>
      <c r="AS59" s="1028"/>
      <c r="AT59" s="1028"/>
      <c r="AU59" s="1028"/>
      <c r="AV59" s="1028"/>
      <c r="AW59" s="1028"/>
      <c r="AX59" s="1028"/>
      <c r="AY59" s="1028"/>
      <c r="AZ59" s="1028"/>
    </row>
    <row r="60" spans="1:52" ht="20.100000000000001" customHeight="1" x14ac:dyDescent="0.25">
      <c r="A60" s="1076"/>
      <c r="B60" s="1006"/>
      <c r="C60" s="883"/>
      <c r="D60" s="394" t="s">
        <v>153</v>
      </c>
      <c r="E60" s="411"/>
      <c r="F60" s="411"/>
      <c r="G60" s="405"/>
      <c r="H60" s="405"/>
      <c r="I60" s="405"/>
      <c r="J60" s="405"/>
      <c r="K60" s="405"/>
      <c r="L60" s="397"/>
      <c r="M60" s="385"/>
      <c r="N60" s="405"/>
      <c r="O60" s="405"/>
      <c r="P60" s="405"/>
      <c r="Q60" s="406"/>
      <c r="R60" s="411"/>
      <c r="S60" s="890"/>
      <c r="T60" s="407"/>
      <c r="U60" s="407"/>
      <c r="V60" s="407"/>
      <c r="W60" s="407"/>
      <c r="X60" s="407"/>
      <c r="Y60" s="397"/>
      <c r="Z60" s="385"/>
      <c r="AA60" s="409"/>
      <c r="AB60" s="1033"/>
      <c r="AC60" s="1033"/>
      <c r="AD60" s="1033"/>
      <c r="AE60" s="405"/>
      <c r="AF60" s="890"/>
      <c r="AG60" s="902"/>
      <c r="AH60" s="883"/>
      <c r="AI60" s="1028"/>
      <c r="AJ60" s="1028"/>
      <c r="AK60" s="1029"/>
      <c r="AL60" s="1028"/>
      <c r="AM60" s="1028"/>
      <c r="AN60" s="1029"/>
      <c r="AO60" s="1030"/>
      <c r="AP60" s="1030"/>
      <c r="AQ60" s="1030"/>
      <c r="AR60" s="1028"/>
      <c r="AS60" s="1028"/>
      <c r="AT60" s="1028"/>
      <c r="AU60" s="1028"/>
      <c r="AV60" s="1028"/>
      <c r="AW60" s="1028"/>
      <c r="AX60" s="1028"/>
      <c r="AY60" s="1028"/>
      <c r="AZ60" s="1028"/>
    </row>
    <row r="61" spans="1:52" ht="20.100000000000001" customHeight="1" x14ac:dyDescent="0.25">
      <c r="A61" s="1076"/>
      <c r="B61" s="1006"/>
      <c r="C61" s="883"/>
      <c r="D61" s="388" t="s">
        <v>154</v>
      </c>
      <c r="E61" s="411"/>
      <c r="F61" s="411"/>
      <c r="G61" s="405"/>
      <c r="H61" s="405"/>
      <c r="I61" s="405"/>
      <c r="J61" s="405"/>
      <c r="K61" s="405"/>
      <c r="L61" s="397"/>
      <c r="M61" s="385"/>
      <c r="N61" s="405"/>
      <c r="O61" s="405"/>
      <c r="P61" s="405"/>
      <c r="Q61" s="406"/>
      <c r="R61" s="411"/>
      <c r="S61" s="890"/>
      <c r="T61" s="407"/>
      <c r="U61" s="407"/>
      <c r="V61" s="407"/>
      <c r="W61" s="407"/>
      <c r="X61" s="407"/>
      <c r="Y61" s="397"/>
      <c r="Z61" s="385"/>
      <c r="AA61" s="409"/>
      <c r="AB61" s="1033"/>
      <c r="AC61" s="1033"/>
      <c r="AD61" s="1033"/>
      <c r="AE61" s="405"/>
      <c r="AF61" s="890"/>
      <c r="AG61" s="902"/>
      <c r="AH61" s="883"/>
      <c r="AI61" s="1028"/>
      <c r="AJ61" s="1028"/>
      <c r="AK61" s="1029"/>
      <c r="AL61" s="1028"/>
      <c r="AM61" s="1028"/>
      <c r="AN61" s="1029"/>
      <c r="AO61" s="1030"/>
      <c r="AP61" s="1030"/>
      <c r="AQ61" s="1030"/>
      <c r="AR61" s="1028"/>
      <c r="AS61" s="1028"/>
      <c r="AT61" s="1028"/>
      <c r="AU61" s="1028"/>
      <c r="AV61" s="1028"/>
      <c r="AW61" s="1028"/>
      <c r="AX61" s="1028"/>
      <c r="AY61" s="1028"/>
      <c r="AZ61" s="1028"/>
    </row>
    <row r="62" spans="1:52" ht="20.100000000000001" customHeight="1" x14ac:dyDescent="0.25">
      <c r="A62" s="1076"/>
      <c r="B62" s="1006"/>
      <c r="C62" s="883"/>
      <c r="D62" s="394" t="s">
        <v>155</v>
      </c>
      <c r="E62" s="412"/>
      <c r="F62" s="412"/>
      <c r="G62" s="405"/>
      <c r="H62" s="405"/>
      <c r="I62" s="405"/>
      <c r="J62" s="405"/>
      <c r="K62" s="405"/>
      <c r="L62" s="397"/>
      <c r="M62" s="385"/>
      <c r="N62" s="405"/>
      <c r="O62" s="405"/>
      <c r="P62" s="405"/>
      <c r="Q62" s="406"/>
      <c r="R62" s="412"/>
      <c r="S62" s="890"/>
      <c r="T62" s="407"/>
      <c r="U62" s="407"/>
      <c r="V62" s="407"/>
      <c r="W62" s="407"/>
      <c r="X62" s="407"/>
      <c r="Y62" s="397"/>
      <c r="Z62" s="385"/>
      <c r="AA62" s="409"/>
      <c r="AB62" s="1033"/>
      <c r="AC62" s="1033"/>
      <c r="AD62" s="1033"/>
      <c r="AE62" s="402"/>
      <c r="AF62" s="890"/>
      <c r="AG62" s="902"/>
      <c r="AH62" s="883"/>
      <c r="AI62" s="1028"/>
      <c r="AJ62" s="1028"/>
      <c r="AK62" s="1029"/>
      <c r="AL62" s="1028"/>
      <c r="AM62" s="1028"/>
      <c r="AN62" s="1029"/>
      <c r="AO62" s="1030"/>
      <c r="AP62" s="1030"/>
      <c r="AQ62" s="1030"/>
      <c r="AR62" s="1028"/>
      <c r="AS62" s="1028"/>
      <c r="AT62" s="1028"/>
      <c r="AU62" s="1028"/>
      <c r="AV62" s="1028"/>
      <c r="AW62" s="1028"/>
      <c r="AX62" s="1028"/>
      <c r="AY62" s="1028"/>
      <c r="AZ62" s="1028"/>
    </row>
    <row r="63" spans="1:52" ht="20.100000000000001" customHeight="1" thickBot="1" x14ac:dyDescent="0.3">
      <c r="A63" s="1076"/>
      <c r="B63" s="1006"/>
      <c r="C63" s="884"/>
      <c r="D63" s="403" t="s">
        <v>156</v>
      </c>
      <c r="E63" s="404"/>
      <c r="F63" s="404"/>
      <c r="G63" s="405"/>
      <c r="H63" s="405"/>
      <c r="I63" s="405"/>
      <c r="J63" s="405"/>
      <c r="K63" s="405"/>
      <c r="L63" s="397"/>
      <c r="M63" s="385"/>
      <c r="N63" s="405"/>
      <c r="O63" s="405"/>
      <c r="P63" s="405"/>
      <c r="Q63" s="406"/>
      <c r="R63" s="404"/>
      <c r="S63" s="891"/>
      <c r="T63" s="407"/>
      <c r="U63" s="407"/>
      <c r="V63" s="407"/>
      <c r="W63" s="407"/>
      <c r="X63" s="407"/>
      <c r="Y63" s="397"/>
      <c r="Z63" s="385"/>
      <c r="AA63" s="409"/>
      <c r="AB63" s="1033"/>
      <c r="AC63" s="1033"/>
      <c r="AD63" s="1033"/>
      <c r="AE63" s="405"/>
      <c r="AF63" s="891"/>
      <c r="AG63" s="903"/>
      <c r="AH63" s="884"/>
      <c r="AI63" s="1028"/>
      <c r="AJ63" s="1028"/>
      <c r="AK63" s="1029"/>
      <c r="AL63" s="1028"/>
      <c r="AM63" s="1028"/>
      <c r="AN63" s="1029"/>
      <c r="AO63" s="1030"/>
      <c r="AP63" s="1030"/>
      <c r="AQ63" s="1030"/>
      <c r="AR63" s="1028"/>
      <c r="AS63" s="1028"/>
      <c r="AT63" s="1028"/>
      <c r="AU63" s="1028"/>
      <c r="AV63" s="1028"/>
      <c r="AW63" s="1028"/>
      <c r="AX63" s="1028"/>
      <c r="AY63" s="1028"/>
      <c r="AZ63" s="1028"/>
    </row>
    <row r="64" spans="1:52" ht="20.100000000000001" customHeight="1" x14ac:dyDescent="0.25">
      <c r="A64" s="1076"/>
      <c r="B64" s="1006"/>
      <c r="C64" s="882" t="s">
        <v>741</v>
      </c>
      <c r="D64" s="379" t="s">
        <v>149</v>
      </c>
      <c r="E64" s="408"/>
      <c r="F64" s="408"/>
      <c r="G64" s="405"/>
      <c r="H64" s="405"/>
      <c r="I64" s="405"/>
      <c r="J64" s="405"/>
      <c r="K64" s="405"/>
      <c r="L64" s="397">
        <v>0.78400000000000003</v>
      </c>
      <c r="M64" s="385">
        <v>1.0640000000000001</v>
      </c>
      <c r="N64" s="508">
        <f>86*0.028</f>
        <v>2.4079999999999999</v>
      </c>
      <c r="O64" s="410">
        <f>0.028*104</f>
        <v>2.9119999999999999</v>
      </c>
      <c r="P64" s="410">
        <f>0.028*116</f>
        <v>3.2480000000000002</v>
      </c>
      <c r="Q64" s="410">
        <f>0.028*135</f>
        <v>3.7800000000000002</v>
      </c>
      <c r="R64" s="414">
        <f>0.0275*168</f>
        <v>4.62</v>
      </c>
      <c r="S64" s="889" t="s">
        <v>576</v>
      </c>
      <c r="T64" s="407"/>
      <c r="U64" s="407"/>
      <c r="V64" s="407"/>
      <c r="W64" s="407"/>
      <c r="X64" s="407"/>
      <c r="Y64" s="397">
        <v>0.78400000000000003</v>
      </c>
      <c r="Z64" s="385">
        <v>1.0640000000000001</v>
      </c>
      <c r="AA64" s="385">
        <f>86*0.028</f>
        <v>2.4079999999999999</v>
      </c>
      <c r="AB64" s="410">
        <f>0.028*104</f>
        <v>2.9119999999999999</v>
      </c>
      <c r="AC64" s="410">
        <f>0.028*116</f>
        <v>3.2480000000000002</v>
      </c>
      <c r="AD64" s="410">
        <f>0.028*135</f>
        <v>3.7800000000000002</v>
      </c>
      <c r="AE64" s="398">
        <f>0.0275*168</f>
        <v>4.62</v>
      </c>
      <c r="AF64" s="889" t="s">
        <v>590</v>
      </c>
      <c r="AG64" s="882" t="s">
        <v>495</v>
      </c>
      <c r="AH64" s="882" t="s">
        <v>279</v>
      </c>
      <c r="AI64" s="1025" t="s">
        <v>507</v>
      </c>
      <c r="AJ64" s="1034" t="s">
        <v>652</v>
      </c>
      <c r="AK64" s="1029"/>
      <c r="AL64" s="1025" t="s">
        <v>653</v>
      </c>
      <c r="AM64" s="1025" t="s">
        <v>90</v>
      </c>
      <c r="AN64" s="1029"/>
      <c r="AO64" s="1027">
        <v>254468.54850706499</v>
      </c>
      <c r="AP64" s="1027">
        <v>120116.09417690001</v>
      </c>
      <c r="AQ64" s="1027">
        <v>134352.454330165</v>
      </c>
      <c r="AR64" s="1025" t="s">
        <v>269</v>
      </c>
      <c r="AS64" s="1025" t="s">
        <v>269</v>
      </c>
      <c r="AT64" s="1025" t="s">
        <v>269</v>
      </c>
      <c r="AU64" s="1025" t="s">
        <v>269</v>
      </c>
      <c r="AV64" s="1025" t="s">
        <v>269</v>
      </c>
      <c r="AW64" s="1025" t="s">
        <v>269</v>
      </c>
      <c r="AX64" s="1025" t="s">
        <v>269</v>
      </c>
      <c r="AY64" s="1025" t="s">
        <v>269</v>
      </c>
      <c r="AZ64" s="1025"/>
    </row>
    <row r="65" spans="1:52" ht="20.100000000000001" customHeight="1" x14ac:dyDescent="0.25">
      <c r="A65" s="1076"/>
      <c r="B65" s="1006"/>
      <c r="C65" s="883"/>
      <c r="D65" s="388" t="s">
        <v>151</v>
      </c>
      <c r="E65" s="411"/>
      <c r="F65" s="411"/>
      <c r="G65" s="405"/>
      <c r="H65" s="405"/>
      <c r="I65" s="405"/>
      <c r="J65" s="405"/>
      <c r="K65" s="405"/>
      <c r="L65" s="407">
        <v>30673664</v>
      </c>
      <c r="M65" s="407">
        <v>35882906</v>
      </c>
      <c r="N65" s="390">
        <f>88*1053000</f>
        <v>92664000</v>
      </c>
      <c r="O65" s="390">
        <f>1053000*104</f>
        <v>109512000</v>
      </c>
      <c r="P65" s="390">
        <f>1053000*104</f>
        <v>109512000</v>
      </c>
      <c r="Q65" s="390">
        <f>1053000*135</f>
        <v>142155000</v>
      </c>
      <c r="R65" s="411">
        <f>1052286*168</f>
        <v>176784048</v>
      </c>
      <c r="S65" s="890"/>
      <c r="T65" s="407"/>
      <c r="U65" s="407"/>
      <c r="V65" s="407"/>
      <c r="W65" s="407"/>
      <c r="X65" s="407"/>
      <c r="Y65" s="407">
        <v>25837308</v>
      </c>
      <c r="Z65" s="407">
        <v>35882906</v>
      </c>
      <c r="AA65" s="407">
        <f>86*944000</f>
        <v>81184000</v>
      </c>
      <c r="AB65" s="390">
        <f>1007000*104</f>
        <v>104728000</v>
      </c>
      <c r="AC65" s="390">
        <f>1007000*116</f>
        <v>116812000</v>
      </c>
      <c r="AD65" s="390">
        <f>1007000*135</f>
        <v>135945000</v>
      </c>
      <c r="AE65" s="390">
        <f>1031290*168</f>
        <v>173256720</v>
      </c>
      <c r="AF65" s="890"/>
      <c r="AG65" s="902"/>
      <c r="AH65" s="883"/>
      <c r="AI65" s="1028"/>
      <c r="AJ65" s="1029"/>
      <c r="AK65" s="1029"/>
      <c r="AL65" s="1028"/>
      <c r="AM65" s="1028"/>
      <c r="AN65" s="1029"/>
      <c r="AO65" s="1030"/>
      <c r="AP65" s="1030"/>
      <c r="AQ65" s="1030"/>
      <c r="AR65" s="1028"/>
      <c r="AS65" s="1028"/>
      <c r="AT65" s="1028"/>
      <c r="AU65" s="1028"/>
      <c r="AV65" s="1028"/>
      <c r="AW65" s="1028"/>
      <c r="AX65" s="1028"/>
      <c r="AY65" s="1028"/>
      <c r="AZ65" s="1028"/>
    </row>
    <row r="66" spans="1:52" ht="20.100000000000001" customHeight="1" x14ac:dyDescent="0.25">
      <c r="A66" s="1076"/>
      <c r="B66" s="1006"/>
      <c r="C66" s="883"/>
      <c r="D66" s="394" t="s">
        <v>153</v>
      </c>
      <c r="E66" s="411"/>
      <c r="F66" s="411"/>
      <c r="G66" s="405"/>
      <c r="H66" s="405"/>
      <c r="I66" s="405"/>
      <c r="J66" s="405"/>
      <c r="K66" s="405"/>
      <c r="L66" s="397"/>
      <c r="M66" s="385"/>
      <c r="N66" s="405"/>
      <c r="O66" s="405"/>
      <c r="P66" s="405"/>
      <c r="Q66" s="406"/>
      <c r="R66" s="411"/>
      <c r="S66" s="890"/>
      <c r="T66" s="407"/>
      <c r="U66" s="407"/>
      <c r="V66" s="407"/>
      <c r="W66" s="407"/>
      <c r="X66" s="407"/>
      <c r="Y66" s="397"/>
      <c r="Z66" s="385"/>
      <c r="AA66" s="409"/>
      <c r="AB66" s="410"/>
      <c r="AC66" s="410"/>
      <c r="AD66" s="410"/>
      <c r="AE66" s="405"/>
      <c r="AF66" s="890"/>
      <c r="AG66" s="902"/>
      <c r="AH66" s="883"/>
      <c r="AI66" s="1028"/>
      <c r="AJ66" s="1029"/>
      <c r="AK66" s="1029"/>
      <c r="AL66" s="1028"/>
      <c r="AM66" s="1028"/>
      <c r="AN66" s="1029"/>
      <c r="AO66" s="1030"/>
      <c r="AP66" s="1030"/>
      <c r="AQ66" s="1030"/>
      <c r="AR66" s="1028"/>
      <c r="AS66" s="1028"/>
      <c r="AT66" s="1028"/>
      <c r="AU66" s="1028"/>
      <c r="AV66" s="1028"/>
      <c r="AW66" s="1028"/>
      <c r="AX66" s="1028"/>
      <c r="AY66" s="1028"/>
      <c r="AZ66" s="1028"/>
    </row>
    <row r="67" spans="1:52" ht="20.100000000000001" customHeight="1" x14ac:dyDescent="0.25">
      <c r="A67" s="1076"/>
      <c r="B67" s="1006"/>
      <c r="C67" s="883"/>
      <c r="D67" s="388" t="s">
        <v>154</v>
      </c>
      <c r="E67" s="411"/>
      <c r="F67" s="411"/>
      <c r="G67" s="405"/>
      <c r="H67" s="405"/>
      <c r="I67" s="405"/>
      <c r="J67" s="405"/>
      <c r="K67" s="405"/>
      <c r="L67" s="397"/>
      <c r="M67" s="385"/>
      <c r="N67" s="405"/>
      <c r="O67" s="405"/>
      <c r="P67" s="405"/>
      <c r="Q67" s="406"/>
      <c r="R67" s="411"/>
      <c r="S67" s="890"/>
      <c r="T67" s="407"/>
      <c r="U67" s="407"/>
      <c r="V67" s="407"/>
      <c r="W67" s="407"/>
      <c r="X67" s="407"/>
      <c r="Y67" s="397"/>
      <c r="Z67" s="385"/>
      <c r="AA67" s="409"/>
      <c r="AB67" s="1033"/>
      <c r="AC67" s="1033"/>
      <c r="AD67" s="1033"/>
      <c r="AE67" s="405"/>
      <c r="AF67" s="890"/>
      <c r="AG67" s="902"/>
      <c r="AH67" s="883"/>
      <c r="AI67" s="1028"/>
      <c r="AJ67" s="1029"/>
      <c r="AK67" s="1029"/>
      <c r="AL67" s="1028"/>
      <c r="AM67" s="1028"/>
      <c r="AN67" s="1029"/>
      <c r="AO67" s="1030"/>
      <c r="AP67" s="1030"/>
      <c r="AQ67" s="1030"/>
      <c r="AR67" s="1028"/>
      <c r="AS67" s="1028"/>
      <c r="AT67" s="1028"/>
      <c r="AU67" s="1028"/>
      <c r="AV67" s="1028"/>
      <c r="AW67" s="1028"/>
      <c r="AX67" s="1028"/>
      <c r="AY67" s="1028"/>
      <c r="AZ67" s="1028"/>
    </row>
    <row r="68" spans="1:52" ht="20.100000000000001" customHeight="1" x14ac:dyDescent="0.25">
      <c r="A68" s="1076"/>
      <c r="B68" s="1006"/>
      <c r="C68" s="883"/>
      <c r="D68" s="394" t="s">
        <v>155</v>
      </c>
      <c r="E68" s="412"/>
      <c r="F68" s="412"/>
      <c r="G68" s="405"/>
      <c r="H68" s="405"/>
      <c r="I68" s="405"/>
      <c r="J68" s="405"/>
      <c r="K68" s="405"/>
      <c r="L68" s="397"/>
      <c r="M68" s="385"/>
      <c r="N68" s="405"/>
      <c r="O68" s="405"/>
      <c r="P68" s="405"/>
      <c r="Q68" s="406"/>
      <c r="R68" s="412"/>
      <c r="S68" s="890"/>
      <c r="T68" s="407"/>
      <c r="U68" s="407"/>
      <c r="V68" s="407"/>
      <c r="W68" s="407"/>
      <c r="X68" s="407"/>
      <c r="Y68" s="397"/>
      <c r="Z68" s="385"/>
      <c r="AA68" s="409"/>
      <c r="AB68" s="1033"/>
      <c r="AC68" s="1033"/>
      <c r="AD68" s="1033"/>
      <c r="AE68" s="402"/>
      <c r="AF68" s="890"/>
      <c r="AG68" s="902"/>
      <c r="AH68" s="883"/>
      <c r="AI68" s="1028"/>
      <c r="AJ68" s="1029"/>
      <c r="AK68" s="1029"/>
      <c r="AL68" s="1028"/>
      <c r="AM68" s="1028"/>
      <c r="AN68" s="1029"/>
      <c r="AO68" s="1030"/>
      <c r="AP68" s="1030"/>
      <c r="AQ68" s="1030"/>
      <c r="AR68" s="1028"/>
      <c r="AS68" s="1028"/>
      <c r="AT68" s="1028"/>
      <c r="AU68" s="1028"/>
      <c r="AV68" s="1028"/>
      <c r="AW68" s="1028"/>
      <c r="AX68" s="1028"/>
      <c r="AY68" s="1028"/>
      <c r="AZ68" s="1028"/>
    </row>
    <row r="69" spans="1:52" ht="20.100000000000001" customHeight="1" thickBot="1" x14ac:dyDescent="0.3">
      <c r="A69" s="1076"/>
      <c r="B69" s="1006"/>
      <c r="C69" s="884"/>
      <c r="D69" s="403" t="s">
        <v>156</v>
      </c>
      <c r="E69" s="404"/>
      <c r="F69" s="404"/>
      <c r="G69" s="405"/>
      <c r="H69" s="405"/>
      <c r="I69" s="405"/>
      <c r="J69" s="405"/>
      <c r="K69" s="405"/>
      <c r="L69" s="397"/>
      <c r="M69" s="385"/>
      <c r="N69" s="405"/>
      <c r="O69" s="405"/>
      <c r="P69" s="405"/>
      <c r="Q69" s="406"/>
      <c r="R69" s="404"/>
      <c r="S69" s="891"/>
      <c r="T69" s="407"/>
      <c r="U69" s="407"/>
      <c r="V69" s="407"/>
      <c r="W69" s="407"/>
      <c r="X69" s="407"/>
      <c r="Y69" s="397"/>
      <c r="Z69" s="385"/>
      <c r="AA69" s="409"/>
      <c r="AB69" s="1033"/>
      <c r="AC69" s="1033"/>
      <c r="AD69" s="1033"/>
      <c r="AE69" s="405"/>
      <c r="AF69" s="891"/>
      <c r="AG69" s="903"/>
      <c r="AH69" s="884"/>
      <c r="AI69" s="1028"/>
      <c r="AJ69" s="1035"/>
      <c r="AK69" s="1029"/>
      <c r="AL69" s="1028"/>
      <c r="AM69" s="1028"/>
      <c r="AN69" s="1029"/>
      <c r="AO69" s="1030"/>
      <c r="AP69" s="1030"/>
      <c r="AQ69" s="1030"/>
      <c r="AR69" s="1028"/>
      <c r="AS69" s="1028"/>
      <c r="AT69" s="1028"/>
      <c r="AU69" s="1028"/>
      <c r="AV69" s="1028"/>
      <c r="AW69" s="1028"/>
      <c r="AX69" s="1028"/>
      <c r="AY69" s="1028"/>
      <c r="AZ69" s="1028"/>
    </row>
    <row r="70" spans="1:52" ht="20.100000000000001" customHeight="1" x14ac:dyDescent="0.25">
      <c r="A70" s="1076"/>
      <c r="B70" s="1006"/>
      <c r="C70" s="882" t="s">
        <v>743</v>
      </c>
      <c r="D70" s="379" t="s">
        <v>149</v>
      </c>
      <c r="E70" s="408"/>
      <c r="F70" s="408"/>
      <c r="G70" s="405"/>
      <c r="H70" s="405"/>
      <c r="I70" s="405"/>
      <c r="J70" s="405"/>
      <c r="K70" s="405"/>
      <c r="L70" s="397">
        <v>0.14000000000000001</v>
      </c>
      <c r="M70" s="385">
        <v>0.14000000000000001</v>
      </c>
      <c r="N70" s="508">
        <f>6*0.028</f>
        <v>0.16800000000000001</v>
      </c>
      <c r="O70" s="410">
        <f>0.028*6</f>
        <v>0.16800000000000001</v>
      </c>
      <c r="P70" s="410">
        <f>0.028*7</f>
        <v>0.19600000000000001</v>
      </c>
      <c r="Q70" s="410">
        <f>0.028*10</f>
        <v>0.28000000000000003</v>
      </c>
      <c r="R70" s="398">
        <v>0.36</v>
      </c>
      <c r="S70" s="889" t="s">
        <v>534</v>
      </c>
      <c r="T70" s="407"/>
      <c r="U70" s="407"/>
      <c r="V70" s="407"/>
      <c r="W70" s="407"/>
      <c r="X70" s="407"/>
      <c r="Y70" s="397">
        <v>0.14000000000000001</v>
      </c>
      <c r="Z70" s="385">
        <v>0.14000000000000001</v>
      </c>
      <c r="AA70" s="385">
        <f>6*0.028</f>
        <v>0.16800000000000001</v>
      </c>
      <c r="AB70" s="410">
        <f>0.028*6</f>
        <v>0.16800000000000001</v>
      </c>
      <c r="AC70" s="410">
        <f>0.028*7</f>
        <v>0.19600000000000001</v>
      </c>
      <c r="AD70" s="410">
        <f>0.028*10</f>
        <v>0.28000000000000003</v>
      </c>
      <c r="AE70" s="398">
        <v>0.36</v>
      </c>
      <c r="AF70" s="889" t="s">
        <v>591</v>
      </c>
      <c r="AG70" s="882" t="s">
        <v>498</v>
      </c>
      <c r="AH70" s="882" t="s">
        <v>280</v>
      </c>
      <c r="AI70" s="1025" t="s">
        <v>654</v>
      </c>
      <c r="AJ70" s="1025" t="s">
        <v>655</v>
      </c>
      <c r="AK70" s="1029"/>
      <c r="AL70" s="1025" t="s">
        <v>656</v>
      </c>
      <c r="AM70" s="1025" t="s">
        <v>90</v>
      </c>
      <c r="AN70" s="1029"/>
      <c r="AO70" s="1027">
        <v>376909.94212534197</v>
      </c>
      <c r="AP70" s="1027">
        <v>181938.44038530099</v>
      </c>
      <c r="AQ70" s="1027">
        <v>194971.50174004101</v>
      </c>
      <c r="AR70" s="1025" t="s">
        <v>269</v>
      </c>
      <c r="AS70" s="1025" t="s">
        <v>269</v>
      </c>
      <c r="AT70" s="1025" t="s">
        <v>269</v>
      </c>
      <c r="AU70" s="1025" t="s">
        <v>269</v>
      </c>
      <c r="AV70" s="1025" t="s">
        <v>269</v>
      </c>
      <c r="AW70" s="1025" t="s">
        <v>269</v>
      </c>
      <c r="AX70" s="1025" t="s">
        <v>269</v>
      </c>
      <c r="AY70" s="1025" t="s">
        <v>269</v>
      </c>
      <c r="AZ70" s="1025"/>
    </row>
    <row r="71" spans="1:52" ht="20.100000000000001" customHeight="1" x14ac:dyDescent="0.25">
      <c r="A71" s="1076"/>
      <c r="B71" s="1006"/>
      <c r="C71" s="883"/>
      <c r="D71" s="388" t="s">
        <v>151</v>
      </c>
      <c r="E71" s="411"/>
      <c r="F71" s="411"/>
      <c r="G71" s="405"/>
      <c r="H71" s="405"/>
      <c r="I71" s="405"/>
      <c r="J71" s="405"/>
      <c r="K71" s="405"/>
      <c r="L71" s="407">
        <v>5477440</v>
      </c>
      <c r="M71" s="407">
        <v>4721435</v>
      </c>
      <c r="N71" s="390">
        <f>6*1053000</f>
        <v>6318000</v>
      </c>
      <c r="O71" s="390">
        <v>6318000</v>
      </c>
      <c r="P71" s="390">
        <v>6318000</v>
      </c>
      <c r="Q71" s="390">
        <f>1053000*10</f>
        <v>10530000</v>
      </c>
      <c r="R71" s="411">
        <f>1052286*13</f>
        <v>13679718</v>
      </c>
      <c r="S71" s="890"/>
      <c r="T71" s="407"/>
      <c r="U71" s="407"/>
      <c r="V71" s="407"/>
      <c r="W71" s="407"/>
      <c r="X71" s="407"/>
      <c r="Y71" s="407">
        <v>4613805</v>
      </c>
      <c r="Z71" s="407">
        <v>4721435</v>
      </c>
      <c r="AA71" s="407">
        <f>6*944000</f>
        <v>5664000</v>
      </c>
      <c r="AB71" s="390">
        <f>1007000*6</f>
        <v>6042000</v>
      </c>
      <c r="AC71" s="390">
        <f>1007000*7</f>
        <v>7049000</v>
      </c>
      <c r="AD71" s="390">
        <f>1007000*10</f>
        <v>10070000</v>
      </c>
      <c r="AE71" s="390">
        <f>1031290*13</f>
        <v>13406770</v>
      </c>
      <c r="AF71" s="890"/>
      <c r="AG71" s="902"/>
      <c r="AH71" s="883"/>
      <c r="AI71" s="1028"/>
      <c r="AJ71" s="1028"/>
      <c r="AK71" s="1029"/>
      <c r="AL71" s="1028"/>
      <c r="AM71" s="1028"/>
      <c r="AN71" s="1029"/>
      <c r="AO71" s="1030"/>
      <c r="AP71" s="1030"/>
      <c r="AQ71" s="1030"/>
      <c r="AR71" s="1028"/>
      <c r="AS71" s="1028"/>
      <c r="AT71" s="1028"/>
      <c r="AU71" s="1028"/>
      <c r="AV71" s="1028"/>
      <c r="AW71" s="1028"/>
      <c r="AX71" s="1028"/>
      <c r="AY71" s="1028"/>
      <c r="AZ71" s="1028"/>
    </row>
    <row r="72" spans="1:52" ht="20.100000000000001" customHeight="1" x14ac:dyDescent="0.25">
      <c r="A72" s="1076"/>
      <c r="B72" s="1006"/>
      <c r="C72" s="883"/>
      <c r="D72" s="394" t="s">
        <v>153</v>
      </c>
      <c r="E72" s="411"/>
      <c r="F72" s="411"/>
      <c r="G72" s="405"/>
      <c r="H72" s="405"/>
      <c r="I72" s="405"/>
      <c r="J72" s="405"/>
      <c r="K72" s="405"/>
      <c r="L72" s="397"/>
      <c r="M72" s="385"/>
      <c r="N72" s="405"/>
      <c r="O72" s="405"/>
      <c r="P72" s="405"/>
      <c r="Q72" s="406"/>
      <c r="R72" s="411"/>
      <c r="S72" s="890"/>
      <c r="T72" s="407"/>
      <c r="U72" s="407"/>
      <c r="V72" s="407"/>
      <c r="W72" s="407"/>
      <c r="X72" s="407"/>
      <c r="Y72" s="397"/>
      <c r="Z72" s="385"/>
      <c r="AA72" s="409"/>
      <c r="AB72" s="1033"/>
      <c r="AC72" s="1033"/>
      <c r="AD72" s="1033"/>
      <c r="AE72" s="390"/>
      <c r="AF72" s="890"/>
      <c r="AG72" s="902"/>
      <c r="AH72" s="883"/>
      <c r="AI72" s="1028"/>
      <c r="AJ72" s="1028"/>
      <c r="AK72" s="1029"/>
      <c r="AL72" s="1028"/>
      <c r="AM72" s="1028"/>
      <c r="AN72" s="1029"/>
      <c r="AO72" s="1030"/>
      <c r="AP72" s="1030"/>
      <c r="AQ72" s="1030"/>
      <c r="AR72" s="1028"/>
      <c r="AS72" s="1028"/>
      <c r="AT72" s="1028"/>
      <c r="AU72" s="1028"/>
      <c r="AV72" s="1028"/>
      <c r="AW72" s="1028"/>
      <c r="AX72" s="1028"/>
      <c r="AY72" s="1028"/>
      <c r="AZ72" s="1028"/>
    </row>
    <row r="73" spans="1:52" ht="20.100000000000001" customHeight="1" x14ac:dyDescent="0.25">
      <c r="A73" s="1076"/>
      <c r="B73" s="1006"/>
      <c r="C73" s="883"/>
      <c r="D73" s="388" t="s">
        <v>154</v>
      </c>
      <c r="E73" s="411"/>
      <c r="F73" s="411"/>
      <c r="G73" s="405"/>
      <c r="H73" s="405"/>
      <c r="I73" s="405"/>
      <c r="J73" s="405"/>
      <c r="K73" s="405"/>
      <c r="L73" s="397"/>
      <c r="M73" s="385"/>
      <c r="N73" s="405"/>
      <c r="O73" s="405"/>
      <c r="P73" s="405"/>
      <c r="Q73" s="406"/>
      <c r="R73" s="411"/>
      <c r="S73" s="890"/>
      <c r="T73" s="407"/>
      <c r="U73" s="407"/>
      <c r="V73" s="407"/>
      <c r="W73" s="407"/>
      <c r="X73" s="407"/>
      <c r="Y73" s="397"/>
      <c r="Z73" s="385"/>
      <c r="AA73" s="409"/>
      <c r="AB73" s="1033"/>
      <c r="AC73" s="1033"/>
      <c r="AD73" s="1033"/>
      <c r="AE73" s="405"/>
      <c r="AF73" s="890"/>
      <c r="AG73" s="902"/>
      <c r="AH73" s="883"/>
      <c r="AI73" s="1028"/>
      <c r="AJ73" s="1028"/>
      <c r="AK73" s="1029"/>
      <c r="AL73" s="1028"/>
      <c r="AM73" s="1028"/>
      <c r="AN73" s="1029"/>
      <c r="AO73" s="1030"/>
      <c r="AP73" s="1030"/>
      <c r="AQ73" s="1030"/>
      <c r="AR73" s="1028"/>
      <c r="AS73" s="1028"/>
      <c r="AT73" s="1028"/>
      <c r="AU73" s="1028"/>
      <c r="AV73" s="1028"/>
      <c r="AW73" s="1028"/>
      <c r="AX73" s="1028"/>
      <c r="AY73" s="1028"/>
      <c r="AZ73" s="1028"/>
    </row>
    <row r="74" spans="1:52" ht="20.100000000000001" customHeight="1" x14ac:dyDescent="0.25">
      <c r="A74" s="1076"/>
      <c r="B74" s="1006"/>
      <c r="C74" s="883"/>
      <c r="D74" s="394" t="s">
        <v>155</v>
      </c>
      <c r="E74" s="412"/>
      <c r="F74" s="412"/>
      <c r="G74" s="405"/>
      <c r="H74" s="405"/>
      <c r="I74" s="405"/>
      <c r="J74" s="405"/>
      <c r="K74" s="405"/>
      <c r="L74" s="397"/>
      <c r="M74" s="385"/>
      <c r="N74" s="405"/>
      <c r="O74" s="405"/>
      <c r="P74" s="405"/>
      <c r="Q74" s="406"/>
      <c r="R74" s="412"/>
      <c r="S74" s="890"/>
      <c r="T74" s="407"/>
      <c r="U74" s="407"/>
      <c r="V74" s="407"/>
      <c r="W74" s="407"/>
      <c r="X74" s="407"/>
      <c r="Y74" s="397"/>
      <c r="Z74" s="385"/>
      <c r="AA74" s="409"/>
      <c r="AB74" s="1033"/>
      <c r="AC74" s="1033"/>
      <c r="AD74" s="1033"/>
      <c r="AE74" s="402"/>
      <c r="AF74" s="890"/>
      <c r="AG74" s="902"/>
      <c r="AH74" s="883"/>
      <c r="AI74" s="1028"/>
      <c r="AJ74" s="1028"/>
      <c r="AK74" s="1029"/>
      <c r="AL74" s="1028"/>
      <c r="AM74" s="1028"/>
      <c r="AN74" s="1029"/>
      <c r="AO74" s="1030"/>
      <c r="AP74" s="1030"/>
      <c r="AQ74" s="1030"/>
      <c r="AR74" s="1028"/>
      <c r="AS74" s="1028"/>
      <c r="AT74" s="1028"/>
      <c r="AU74" s="1028"/>
      <c r="AV74" s="1028"/>
      <c r="AW74" s="1028"/>
      <c r="AX74" s="1028"/>
      <c r="AY74" s="1028"/>
      <c r="AZ74" s="1028"/>
    </row>
    <row r="75" spans="1:52" ht="20.100000000000001" customHeight="1" thickBot="1" x14ac:dyDescent="0.3">
      <c r="A75" s="1076"/>
      <c r="B75" s="1006"/>
      <c r="C75" s="884"/>
      <c r="D75" s="403" t="s">
        <v>156</v>
      </c>
      <c r="E75" s="404"/>
      <c r="F75" s="404"/>
      <c r="G75" s="405"/>
      <c r="H75" s="405"/>
      <c r="I75" s="405"/>
      <c r="J75" s="405"/>
      <c r="K75" s="405"/>
      <c r="L75" s="397"/>
      <c r="M75" s="385"/>
      <c r="N75" s="405"/>
      <c r="O75" s="405"/>
      <c r="P75" s="405"/>
      <c r="Q75" s="406"/>
      <c r="R75" s="404"/>
      <c r="S75" s="891"/>
      <c r="T75" s="407"/>
      <c r="U75" s="407"/>
      <c r="V75" s="407"/>
      <c r="W75" s="407"/>
      <c r="X75" s="407"/>
      <c r="Y75" s="397"/>
      <c r="Z75" s="385"/>
      <c r="AA75" s="409"/>
      <c r="AB75" s="1033"/>
      <c r="AC75" s="1033"/>
      <c r="AD75" s="1033"/>
      <c r="AE75" s="405"/>
      <c r="AF75" s="891"/>
      <c r="AG75" s="903"/>
      <c r="AH75" s="884"/>
      <c r="AI75" s="1028"/>
      <c r="AJ75" s="1028"/>
      <c r="AK75" s="1029"/>
      <c r="AL75" s="1028"/>
      <c r="AM75" s="1028"/>
      <c r="AN75" s="1029"/>
      <c r="AO75" s="1030"/>
      <c r="AP75" s="1030"/>
      <c r="AQ75" s="1030"/>
      <c r="AR75" s="1028"/>
      <c r="AS75" s="1028"/>
      <c r="AT75" s="1028"/>
      <c r="AU75" s="1028"/>
      <c r="AV75" s="1028"/>
      <c r="AW75" s="1028"/>
      <c r="AX75" s="1028"/>
      <c r="AY75" s="1028"/>
      <c r="AZ75" s="1028"/>
    </row>
    <row r="76" spans="1:52" ht="20.100000000000001" customHeight="1" x14ac:dyDescent="0.25">
      <c r="A76" s="1076"/>
      <c r="B76" s="1006"/>
      <c r="C76" s="882" t="s">
        <v>729</v>
      </c>
      <c r="D76" s="379" t="s">
        <v>149</v>
      </c>
      <c r="E76" s="414"/>
      <c r="F76" s="414"/>
      <c r="G76" s="405"/>
      <c r="H76" s="405"/>
      <c r="I76" s="405"/>
      <c r="J76" s="405"/>
      <c r="K76" s="405"/>
      <c r="L76" s="397">
        <v>5.6000000000000001E-2</v>
      </c>
      <c r="M76" s="385">
        <v>5.6000000000000001E-2</v>
      </c>
      <c r="N76" s="508">
        <f>2*0.028</f>
        <v>5.6000000000000001E-2</v>
      </c>
      <c r="O76" s="410">
        <f>0.028*2</f>
        <v>5.6000000000000001E-2</v>
      </c>
      <c r="P76" s="410">
        <f>0.028*2</f>
        <v>5.6000000000000001E-2</v>
      </c>
      <c r="Q76" s="410">
        <f>0.028*2</f>
        <v>5.6000000000000001E-2</v>
      </c>
      <c r="R76" s="414">
        <f>0.0275*2</f>
        <v>5.5E-2</v>
      </c>
      <c r="S76" s="889" t="s">
        <v>508</v>
      </c>
      <c r="T76" s="407"/>
      <c r="U76" s="407"/>
      <c r="V76" s="407"/>
      <c r="W76" s="407"/>
      <c r="X76" s="407"/>
      <c r="Y76" s="397">
        <v>5.6000000000000001E-2</v>
      </c>
      <c r="Z76" s="385">
        <v>5.6000000000000001E-2</v>
      </c>
      <c r="AA76" s="385">
        <v>5.6000000000000001E-2</v>
      </c>
      <c r="AB76" s="410">
        <f>0.028*2</f>
        <v>5.6000000000000001E-2</v>
      </c>
      <c r="AC76" s="410">
        <f>0.028*2</f>
        <v>5.6000000000000001E-2</v>
      </c>
      <c r="AD76" s="410">
        <f>0.028*2</f>
        <v>5.6000000000000001E-2</v>
      </c>
      <c r="AE76" s="398">
        <f>0.0275*2</f>
        <v>5.5E-2</v>
      </c>
      <c r="AF76" s="889" t="s">
        <v>508</v>
      </c>
      <c r="AG76" s="882" t="s">
        <v>498</v>
      </c>
      <c r="AH76" s="882" t="s">
        <v>281</v>
      </c>
      <c r="AI76" s="1025" t="s">
        <v>657</v>
      </c>
      <c r="AJ76" s="1025" t="s">
        <v>658</v>
      </c>
      <c r="AK76" s="1029"/>
      <c r="AL76" s="1025" t="s">
        <v>659</v>
      </c>
      <c r="AM76" s="1025" t="s">
        <v>509</v>
      </c>
      <c r="AN76" s="1029"/>
      <c r="AO76" s="1027">
        <v>406574.31283195899</v>
      </c>
      <c r="AP76" s="1027">
        <v>196556.91202693101</v>
      </c>
      <c r="AQ76" s="1027">
        <v>210017.40080502801</v>
      </c>
      <c r="AR76" s="1025" t="s">
        <v>269</v>
      </c>
      <c r="AS76" s="1025" t="s">
        <v>269</v>
      </c>
      <c r="AT76" s="1025" t="s">
        <v>269</v>
      </c>
      <c r="AU76" s="1025" t="s">
        <v>269</v>
      </c>
      <c r="AV76" s="1025" t="s">
        <v>269</v>
      </c>
      <c r="AW76" s="1025" t="s">
        <v>269</v>
      </c>
      <c r="AX76" s="1025" t="s">
        <v>269</v>
      </c>
      <c r="AY76" s="1025" t="s">
        <v>269</v>
      </c>
      <c r="AZ76" s="1025"/>
    </row>
    <row r="77" spans="1:52" ht="20.100000000000001" customHeight="1" x14ac:dyDescent="0.25">
      <c r="A77" s="1076"/>
      <c r="B77" s="1006"/>
      <c r="C77" s="883"/>
      <c r="D77" s="388" t="s">
        <v>151</v>
      </c>
      <c r="E77" s="411"/>
      <c r="F77" s="411"/>
      <c r="G77" s="405"/>
      <c r="H77" s="405"/>
      <c r="I77" s="405"/>
      <c r="J77" s="405"/>
      <c r="K77" s="405"/>
      <c r="L77" s="407">
        <v>2190976</v>
      </c>
      <c r="M77" s="407">
        <v>1888574</v>
      </c>
      <c r="N77" s="390">
        <f>2*1053000</f>
        <v>2106000</v>
      </c>
      <c r="O77" s="390">
        <v>2106000</v>
      </c>
      <c r="P77" s="390">
        <v>2106000</v>
      </c>
      <c r="Q77" s="390">
        <f>1053000*2</f>
        <v>2106000</v>
      </c>
      <c r="R77" s="411">
        <f>1052286*2</f>
        <v>2104572</v>
      </c>
      <c r="S77" s="890"/>
      <c r="T77" s="407"/>
      <c r="U77" s="407"/>
      <c r="V77" s="407"/>
      <c r="W77" s="407"/>
      <c r="X77" s="407"/>
      <c r="Y77" s="407">
        <v>1845522</v>
      </c>
      <c r="Z77" s="407">
        <v>1888574</v>
      </c>
      <c r="AA77" s="407">
        <v>1888574</v>
      </c>
      <c r="AB77" s="390">
        <f>1007000*2</f>
        <v>2014000</v>
      </c>
      <c r="AC77" s="390">
        <f>1007000*2</f>
        <v>2014000</v>
      </c>
      <c r="AD77" s="390">
        <f>1007000*2</f>
        <v>2014000</v>
      </c>
      <c r="AE77" s="390">
        <f>1031290*2</f>
        <v>2062580</v>
      </c>
      <c r="AF77" s="890"/>
      <c r="AG77" s="902"/>
      <c r="AH77" s="883"/>
      <c r="AI77" s="1028"/>
      <c r="AJ77" s="1028"/>
      <c r="AK77" s="1029"/>
      <c r="AL77" s="1028"/>
      <c r="AM77" s="1028"/>
      <c r="AN77" s="1029"/>
      <c r="AO77" s="1030"/>
      <c r="AP77" s="1030"/>
      <c r="AQ77" s="1030"/>
      <c r="AR77" s="1028"/>
      <c r="AS77" s="1028"/>
      <c r="AT77" s="1028"/>
      <c r="AU77" s="1028"/>
      <c r="AV77" s="1028"/>
      <c r="AW77" s="1028"/>
      <c r="AX77" s="1028"/>
      <c r="AY77" s="1028"/>
      <c r="AZ77" s="1028"/>
    </row>
    <row r="78" spans="1:52" ht="20.100000000000001" customHeight="1" x14ac:dyDescent="0.25">
      <c r="A78" s="1076"/>
      <c r="B78" s="1006"/>
      <c r="C78" s="883"/>
      <c r="D78" s="394" t="s">
        <v>153</v>
      </c>
      <c r="E78" s="411"/>
      <c r="F78" s="411"/>
      <c r="G78" s="405"/>
      <c r="H78" s="405"/>
      <c r="I78" s="405"/>
      <c r="J78" s="405"/>
      <c r="K78" s="405"/>
      <c r="L78" s="397"/>
      <c r="M78" s="385"/>
      <c r="N78" s="405"/>
      <c r="O78" s="405"/>
      <c r="P78" s="405"/>
      <c r="Q78" s="406"/>
      <c r="R78" s="411"/>
      <c r="S78" s="890"/>
      <c r="T78" s="407"/>
      <c r="U78" s="407"/>
      <c r="V78" s="407"/>
      <c r="W78" s="407"/>
      <c r="X78" s="407"/>
      <c r="Y78" s="397"/>
      <c r="Z78" s="385"/>
      <c r="AA78" s="409"/>
      <c r="AB78" s="1033"/>
      <c r="AC78" s="1033"/>
      <c r="AD78" s="1033"/>
      <c r="AE78" s="405"/>
      <c r="AF78" s="890"/>
      <c r="AG78" s="902"/>
      <c r="AH78" s="883"/>
      <c r="AI78" s="1028"/>
      <c r="AJ78" s="1028"/>
      <c r="AK78" s="1029"/>
      <c r="AL78" s="1028"/>
      <c r="AM78" s="1028"/>
      <c r="AN78" s="1029"/>
      <c r="AO78" s="1030"/>
      <c r="AP78" s="1030"/>
      <c r="AQ78" s="1030"/>
      <c r="AR78" s="1028"/>
      <c r="AS78" s="1028"/>
      <c r="AT78" s="1028"/>
      <c r="AU78" s="1028"/>
      <c r="AV78" s="1028"/>
      <c r="AW78" s="1028"/>
      <c r="AX78" s="1028"/>
      <c r="AY78" s="1028"/>
      <c r="AZ78" s="1028"/>
    </row>
    <row r="79" spans="1:52" ht="20.100000000000001" customHeight="1" x14ac:dyDescent="0.25">
      <c r="A79" s="1076"/>
      <c r="B79" s="1006"/>
      <c r="C79" s="883"/>
      <c r="D79" s="388" t="s">
        <v>154</v>
      </c>
      <c r="E79" s="411"/>
      <c r="F79" s="411"/>
      <c r="G79" s="405"/>
      <c r="H79" s="405"/>
      <c r="I79" s="405"/>
      <c r="J79" s="405"/>
      <c r="K79" s="405"/>
      <c r="L79" s="397"/>
      <c r="M79" s="385"/>
      <c r="N79" s="405"/>
      <c r="O79" s="405"/>
      <c r="P79" s="405"/>
      <c r="Q79" s="406"/>
      <c r="R79" s="411"/>
      <c r="S79" s="890"/>
      <c r="T79" s="407"/>
      <c r="U79" s="407"/>
      <c r="V79" s="407"/>
      <c r="W79" s="407"/>
      <c r="X79" s="407"/>
      <c r="Y79" s="397"/>
      <c r="Z79" s="385"/>
      <c r="AA79" s="409"/>
      <c r="AB79" s="1033"/>
      <c r="AC79" s="1033"/>
      <c r="AD79" s="1033"/>
      <c r="AE79" s="405"/>
      <c r="AF79" s="890"/>
      <c r="AG79" s="902"/>
      <c r="AH79" s="883"/>
      <c r="AI79" s="1028"/>
      <c r="AJ79" s="1028"/>
      <c r="AK79" s="1029"/>
      <c r="AL79" s="1028"/>
      <c r="AM79" s="1028"/>
      <c r="AN79" s="1029"/>
      <c r="AO79" s="1030"/>
      <c r="AP79" s="1030"/>
      <c r="AQ79" s="1030"/>
      <c r="AR79" s="1028"/>
      <c r="AS79" s="1028"/>
      <c r="AT79" s="1028"/>
      <c r="AU79" s="1028"/>
      <c r="AV79" s="1028"/>
      <c r="AW79" s="1028"/>
      <c r="AX79" s="1028"/>
      <c r="AY79" s="1028"/>
      <c r="AZ79" s="1028"/>
    </row>
    <row r="80" spans="1:52" ht="20.100000000000001" customHeight="1" x14ac:dyDescent="0.25">
      <c r="A80" s="1076"/>
      <c r="B80" s="1006"/>
      <c r="C80" s="883"/>
      <c r="D80" s="394" t="s">
        <v>155</v>
      </c>
      <c r="E80" s="415"/>
      <c r="F80" s="415"/>
      <c r="G80" s="405"/>
      <c r="H80" s="405"/>
      <c r="I80" s="405"/>
      <c r="J80" s="405"/>
      <c r="K80" s="405"/>
      <c r="L80" s="397"/>
      <c r="M80" s="385"/>
      <c r="N80" s="405"/>
      <c r="O80" s="405"/>
      <c r="P80" s="405"/>
      <c r="Q80" s="406"/>
      <c r="R80" s="415"/>
      <c r="S80" s="890"/>
      <c r="T80" s="407"/>
      <c r="U80" s="407"/>
      <c r="V80" s="407"/>
      <c r="W80" s="407"/>
      <c r="X80" s="407"/>
      <c r="Y80" s="397"/>
      <c r="Z80" s="385"/>
      <c r="AA80" s="409"/>
      <c r="AB80" s="1033"/>
      <c r="AC80" s="1033"/>
      <c r="AD80" s="1033"/>
      <c r="AE80" s="396"/>
      <c r="AF80" s="890"/>
      <c r="AG80" s="902"/>
      <c r="AH80" s="883"/>
      <c r="AI80" s="1028"/>
      <c r="AJ80" s="1028"/>
      <c r="AK80" s="1029"/>
      <c r="AL80" s="1028"/>
      <c r="AM80" s="1028"/>
      <c r="AN80" s="1029"/>
      <c r="AO80" s="1030"/>
      <c r="AP80" s="1030"/>
      <c r="AQ80" s="1030"/>
      <c r="AR80" s="1028"/>
      <c r="AS80" s="1028"/>
      <c r="AT80" s="1028"/>
      <c r="AU80" s="1028"/>
      <c r="AV80" s="1028"/>
      <c r="AW80" s="1028"/>
      <c r="AX80" s="1028"/>
      <c r="AY80" s="1028"/>
      <c r="AZ80" s="1028"/>
    </row>
    <row r="81" spans="1:52" ht="20.100000000000001" customHeight="1" thickBot="1" x14ac:dyDescent="0.3">
      <c r="A81" s="1076"/>
      <c r="B81" s="1006"/>
      <c r="C81" s="884"/>
      <c r="D81" s="403" t="s">
        <v>156</v>
      </c>
      <c r="E81" s="404"/>
      <c r="F81" s="404"/>
      <c r="G81" s="405"/>
      <c r="H81" s="405"/>
      <c r="I81" s="405"/>
      <c r="J81" s="405"/>
      <c r="K81" s="405"/>
      <c r="L81" s="397"/>
      <c r="M81" s="385"/>
      <c r="N81" s="405"/>
      <c r="O81" s="405"/>
      <c r="P81" s="405"/>
      <c r="Q81" s="406"/>
      <c r="R81" s="404"/>
      <c r="S81" s="891"/>
      <c r="T81" s="407"/>
      <c r="U81" s="407"/>
      <c r="V81" s="407"/>
      <c r="W81" s="407"/>
      <c r="X81" s="407"/>
      <c r="Y81" s="397"/>
      <c r="Z81" s="385"/>
      <c r="AA81" s="409"/>
      <c r="AB81" s="1033"/>
      <c r="AC81" s="1033"/>
      <c r="AD81" s="1033"/>
      <c r="AE81" s="405"/>
      <c r="AF81" s="891"/>
      <c r="AG81" s="903"/>
      <c r="AH81" s="884"/>
      <c r="AI81" s="1028"/>
      <c r="AJ81" s="1028"/>
      <c r="AK81" s="1029"/>
      <c r="AL81" s="1028"/>
      <c r="AM81" s="1028"/>
      <c r="AN81" s="1029"/>
      <c r="AO81" s="1030"/>
      <c r="AP81" s="1030"/>
      <c r="AQ81" s="1030"/>
      <c r="AR81" s="1028"/>
      <c r="AS81" s="1028"/>
      <c r="AT81" s="1028"/>
      <c r="AU81" s="1028"/>
      <c r="AV81" s="1028"/>
      <c r="AW81" s="1028"/>
      <c r="AX81" s="1028"/>
      <c r="AY81" s="1028"/>
      <c r="AZ81" s="1028"/>
    </row>
    <row r="82" spans="1:52" s="499" customFormat="1" ht="20.100000000000001" customHeight="1" x14ac:dyDescent="0.25">
      <c r="A82" s="1076"/>
      <c r="B82" s="1006"/>
      <c r="C82" s="882" t="s">
        <v>728</v>
      </c>
      <c r="D82" s="379" t="s">
        <v>149</v>
      </c>
      <c r="E82" s="404"/>
      <c r="F82" s="404"/>
      <c r="G82" s="405"/>
      <c r="H82" s="405"/>
      <c r="I82" s="405"/>
      <c r="J82" s="405"/>
      <c r="K82" s="405"/>
      <c r="L82" s="397"/>
      <c r="M82" s="385"/>
      <c r="N82" s="508">
        <v>5.6000000000000001E-2</v>
      </c>
      <c r="O82" s="508">
        <f>0.028*5</f>
        <v>0.14000000000000001</v>
      </c>
      <c r="P82" s="508">
        <f>0.028*6</f>
        <v>0.16800000000000001</v>
      </c>
      <c r="Q82" s="508">
        <f>0.028*7</f>
        <v>0.19600000000000001</v>
      </c>
      <c r="R82" s="414">
        <f>0.0275*7</f>
        <v>0.1925</v>
      </c>
      <c r="S82" s="889" t="s">
        <v>538</v>
      </c>
      <c r="T82" s="407"/>
      <c r="U82" s="407"/>
      <c r="V82" s="407"/>
      <c r="W82" s="407"/>
      <c r="X82" s="407"/>
      <c r="Y82" s="397"/>
      <c r="Z82" s="385"/>
      <c r="AA82" s="385">
        <f>2*0.028</f>
        <v>5.6000000000000001E-2</v>
      </c>
      <c r="AB82" s="508">
        <f>0.028*5</f>
        <v>0.14000000000000001</v>
      </c>
      <c r="AC82" s="508">
        <f>0.028*6</f>
        <v>0.16800000000000001</v>
      </c>
      <c r="AD82" s="508">
        <f>0.028*6</f>
        <v>0.16800000000000001</v>
      </c>
      <c r="AE82" s="1036">
        <f>0.0275*7</f>
        <v>0.1925</v>
      </c>
      <c r="AF82" s="889" t="s">
        <v>592</v>
      </c>
      <c r="AG82" s="882" t="s">
        <v>495</v>
      </c>
      <c r="AH82" s="882" t="s">
        <v>284</v>
      </c>
      <c r="AI82" s="1025" t="s">
        <v>660</v>
      </c>
      <c r="AJ82" s="1025" t="s">
        <v>661</v>
      </c>
      <c r="AK82" s="1029"/>
      <c r="AL82" s="1025" t="s">
        <v>662</v>
      </c>
      <c r="AM82" s="1025" t="s">
        <v>90</v>
      </c>
      <c r="AN82" s="1029"/>
      <c r="AO82" s="1027">
        <v>107787.777303494</v>
      </c>
      <c r="AP82" s="1027">
        <v>53687.302981756999</v>
      </c>
      <c r="AQ82" s="1027">
        <v>54100.474321736801</v>
      </c>
      <c r="AR82" s="1025" t="s">
        <v>269</v>
      </c>
      <c r="AS82" s="1025" t="s">
        <v>269</v>
      </c>
      <c r="AT82" s="1025" t="s">
        <v>269</v>
      </c>
      <c r="AU82" s="1025" t="s">
        <v>269</v>
      </c>
      <c r="AV82" s="1025" t="s">
        <v>269</v>
      </c>
      <c r="AW82" s="1025" t="s">
        <v>269</v>
      </c>
      <c r="AX82" s="1025" t="s">
        <v>269</v>
      </c>
      <c r="AY82" s="1025" t="s">
        <v>269</v>
      </c>
      <c r="AZ82" s="1037"/>
    </row>
    <row r="83" spans="1:52" s="499" customFormat="1" ht="20.100000000000001" customHeight="1" x14ac:dyDescent="0.25">
      <c r="A83" s="1076"/>
      <c r="B83" s="1006"/>
      <c r="C83" s="883"/>
      <c r="D83" s="388" t="s">
        <v>151</v>
      </c>
      <c r="E83" s="404"/>
      <c r="F83" s="404"/>
      <c r="G83" s="405"/>
      <c r="H83" s="405"/>
      <c r="I83" s="405"/>
      <c r="J83" s="405"/>
      <c r="K83" s="405"/>
      <c r="L83" s="397"/>
      <c r="M83" s="385"/>
      <c r="N83" s="390">
        <v>2106000</v>
      </c>
      <c r="O83" s="390">
        <f>1053000*5</f>
        <v>5265000</v>
      </c>
      <c r="P83" s="390">
        <f>1053000*5</f>
        <v>5265000</v>
      </c>
      <c r="Q83" s="390">
        <f>1053000*7</f>
        <v>7371000</v>
      </c>
      <c r="R83" s="411">
        <f>1052286*7</f>
        <v>7366002</v>
      </c>
      <c r="S83" s="890"/>
      <c r="T83" s="407"/>
      <c r="U83" s="407"/>
      <c r="V83" s="407"/>
      <c r="W83" s="407"/>
      <c r="X83" s="407"/>
      <c r="Y83" s="397"/>
      <c r="Z83" s="385"/>
      <c r="AA83" s="407">
        <f>2*944000</f>
        <v>1888000</v>
      </c>
      <c r="AB83" s="390">
        <f>1007000*5</f>
        <v>5035000</v>
      </c>
      <c r="AC83" s="390">
        <f>1007000*6</f>
        <v>6042000</v>
      </c>
      <c r="AD83" s="390">
        <f>1007000*6</f>
        <v>6042000</v>
      </c>
      <c r="AE83" s="390">
        <f>1031290*7</f>
        <v>7219030</v>
      </c>
      <c r="AF83" s="890"/>
      <c r="AG83" s="902"/>
      <c r="AH83" s="883"/>
      <c r="AI83" s="1028"/>
      <c r="AJ83" s="1028"/>
      <c r="AK83" s="1029"/>
      <c r="AL83" s="1028"/>
      <c r="AM83" s="1028"/>
      <c r="AN83" s="1029"/>
      <c r="AO83" s="1030"/>
      <c r="AP83" s="1030"/>
      <c r="AQ83" s="1030"/>
      <c r="AR83" s="1028"/>
      <c r="AS83" s="1028"/>
      <c r="AT83" s="1028"/>
      <c r="AU83" s="1028"/>
      <c r="AV83" s="1028"/>
      <c r="AW83" s="1028"/>
      <c r="AX83" s="1028"/>
      <c r="AY83" s="1028"/>
      <c r="AZ83" s="1037"/>
    </row>
    <row r="84" spans="1:52" s="499" customFormat="1" ht="20.100000000000001" customHeight="1" x14ac:dyDescent="0.25">
      <c r="A84" s="1076"/>
      <c r="B84" s="1006"/>
      <c r="C84" s="883"/>
      <c r="D84" s="394" t="s">
        <v>153</v>
      </c>
      <c r="E84" s="404"/>
      <c r="F84" s="404"/>
      <c r="G84" s="405"/>
      <c r="H84" s="405"/>
      <c r="I84" s="405"/>
      <c r="J84" s="405"/>
      <c r="K84" s="405"/>
      <c r="L84" s="397"/>
      <c r="M84" s="385"/>
      <c r="N84" s="405"/>
      <c r="O84" s="405"/>
      <c r="P84" s="405"/>
      <c r="Q84" s="406"/>
      <c r="R84" s="404"/>
      <c r="S84" s="890"/>
      <c r="T84" s="407"/>
      <c r="U84" s="407"/>
      <c r="V84" s="407"/>
      <c r="W84" s="407"/>
      <c r="X84" s="407"/>
      <c r="Y84" s="397"/>
      <c r="Z84" s="385"/>
      <c r="AA84" s="409"/>
      <c r="AB84" s="1033"/>
      <c r="AC84" s="1033"/>
      <c r="AD84" s="1033"/>
      <c r="AE84" s="405"/>
      <c r="AF84" s="890"/>
      <c r="AG84" s="902"/>
      <c r="AH84" s="883"/>
      <c r="AI84" s="1028"/>
      <c r="AJ84" s="1028"/>
      <c r="AK84" s="1029"/>
      <c r="AL84" s="1028"/>
      <c r="AM84" s="1028"/>
      <c r="AN84" s="1029"/>
      <c r="AO84" s="1030"/>
      <c r="AP84" s="1030"/>
      <c r="AQ84" s="1030"/>
      <c r="AR84" s="1028"/>
      <c r="AS84" s="1028"/>
      <c r="AT84" s="1028"/>
      <c r="AU84" s="1028"/>
      <c r="AV84" s="1028"/>
      <c r="AW84" s="1028"/>
      <c r="AX84" s="1028"/>
      <c r="AY84" s="1028"/>
      <c r="AZ84" s="1037"/>
    </row>
    <row r="85" spans="1:52" s="499" customFormat="1" ht="20.100000000000001" customHeight="1" x14ac:dyDescent="0.25">
      <c r="A85" s="1076"/>
      <c r="B85" s="1006"/>
      <c r="C85" s="883"/>
      <c r="D85" s="388" t="s">
        <v>154</v>
      </c>
      <c r="E85" s="404"/>
      <c r="F85" s="404"/>
      <c r="G85" s="405"/>
      <c r="H85" s="405"/>
      <c r="I85" s="405"/>
      <c r="J85" s="405"/>
      <c r="K85" s="405"/>
      <c r="L85" s="397"/>
      <c r="M85" s="385"/>
      <c r="N85" s="405"/>
      <c r="O85" s="405"/>
      <c r="P85" s="405"/>
      <c r="Q85" s="406"/>
      <c r="R85" s="404"/>
      <c r="S85" s="890"/>
      <c r="T85" s="407"/>
      <c r="U85" s="407"/>
      <c r="V85" s="407"/>
      <c r="W85" s="407"/>
      <c r="X85" s="407"/>
      <c r="Y85" s="397"/>
      <c r="Z85" s="385"/>
      <c r="AA85" s="409"/>
      <c r="AB85" s="1033"/>
      <c r="AC85" s="1033"/>
      <c r="AD85" s="1033"/>
      <c r="AE85" s="405"/>
      <c r="AF85" s="890"/>
      <c r="AG85" s="902"/>
      <c r="AH85" s="883"/>
      <c r="AI85" s="1028"/>
      <c r="AJ85" s="1028"/>
      <c r="AK85" s="1029"/>
      <c r="AL85" s="1028"/>
      <c r="AM85" s="1028"/>
      <c r="AN85" s="1029"/>
      <c r="AO85" s="1030"/>
      <c r="AP85" s="1030"/>
      <c r="AQ85" s="1030"/>
      <c r="AR85" s="1028"/>
      <c r="AS85" s="1028"/>
      <c r="AT85" s="1028"/>
      <c r="AU85" s="1028"/>
      <c r="AV85" s="1028"/>
      <c r="AW85" s="1028"/>
      <c r="AX85" s="1028"/>
      <c r="AY85" s="1028"/>
      <c r="AZ85" s="1037"/>
    </row>
    <row r="86" spans="1:52" s="499" customFormat="1" ht="20.100000000000001" customHeight="1" x14ac:dyDescent="0.25">
      <c r="A86" s="1076"/>
      <c r="B86" s="1006"/>
      <c r="C86" s="883"/>
      <c r="D86" s="394" t="s">
        <v>155</v>
      </c>
      <c r="E86" s="404"/>
      <c r="F86" s="404"/>
      <c r="G86" s="405"/>
      <c r="H86" s="405"/>
      <c r="I86" s="405"/>
      <c r="J86" s="405"/>
      <c r="K86" s="405"/>
      <c r="L86" s="397"/>
      <c r="M86" s="385"/>
      <c r="N86" s="405"/>
      <c r="O86" s="405"/>
      <c r="P86" s="405"/>
      <c r="Q86" s="406"/>
      <c r="R86" s="404"/>
      <c r="S86" s="890"/>
      <c r="T86" s="407"/>
      <c r="U86" s="407"/>
      <c r="V86" s="407"/>
      <c r="W86" s="407"/>
      <c r="X86" s="407"/>
      <c r="Y86" s="397"/>
      <c r="Z86" s="385"/>
      <c r="AA86" s="409"/>
      <c r="AB86" s="1033"/>
      <c r="AC86" s="1033"/>
      <c r="AD86" s="1033"/>
      <c r="AE86" s="405"/>
      <c r="AF86" s="890"/>
      <c r="AG86" s="902"/>
      <c r="AH86" s="883"/>
      <c r="AI86" s="1028"/>
      <c r="AJ86" s="1028"/>
      <c r="AK86" s="1029"/>
      <c r="AL86" s="1028"/>
      <c r="AM86" s="1028"/>
      <c r="AN86" s="1029"/>
      <c r="AO86" s="1030"/>
      <c r="AP86" s="1030"/>
      <c r="AQ86" s="1030"/>
      <c r="AR86" s="1028"/>
      <c r="AS86" s="1028"/>
      <c r="AT86" s="1028"/>
      <c r="AU86" s="1028"/>
      <c r="AV86" s="1028"/>
      <c r="AW86" s="1028"/>
      <c r="AX86" s="1028"/>
      <c r="AY86" s="1028"/>
      <c r="AZ86" s="1037"/>
    </row>
    <row r="87" spans="1:52" s="499" customFormat="1" ht="20.100000000000001" customHeight="1" thickBot="1" x14ac:dyDescent="0.3">
      <c r="A87" s="1076"/>
      <c r="B87" s="1006"/>
      <c r="C87" s="884"/>
      <c r="D87" s="403" t="s">
        <v>156</v>
      </c>
      <c r="E87" s="404"/>
      <c r="F87" s="404"/>
      <c r="G87" s="405"/>
      <c r="H87" s="405"/>
      <c r="I87" s="405"/>
      <c r="J87" s="405"/>
      <c r="K87" s="405"/>
      <c r="L87" s="397"/>
      <c r="M87" s="385"/>
      <c r="N87" s="405"/>
      <c r="O87" s="405"/>
      <c r="P87" s="405"/>
      <c r="Q87" s="406"/>
      <c r="R87" s="404"/>
      <c r="S87" s="891"/>
      <c r="T87" s="407"/>
      <c r="U87" s="407"/>
      <c r="V87" s="407"/>
      <c r="W87" s="407"/>
      <c r="X87" s="407"/>
      <c r="Y87" s="397"/>
      <c r="Z87" s="385"/>
      <c r="AA87" s="409"/>
      <c r="AB87" s="1033"/>
      <c r="AC87" s="1033"/>
      <c r="AD87" s="1033"/>
      <c r="AE87" s="405"/>
      <c r="AF87" s="891"/>
      <c r="AG87" s="903"/>
      <c r="AH87" s="884"/>
      <c r="AI87" s="1028"/>
      <c r="AJ87" s="1028"/>
      <c r="AK87" s="1029"/>
      <c r="AL87" s="1028"/>
      <c r="AM87" s="1028"/>
      <c r="AN87" s="1029"/>
      <c r="AO87" s="1030"/>
      <c r="AP87" s="1030"/>
      <c r="AQ87" s="1030"/>
      <c r="AR87" s="1028"/>
      <c r="AS87" s="1028"/>
      <c r="AT87" s="1028"/>
      <c r="AU87" s="1028"/>
      <c r="AV87" s="1028"/>
      <c r="AW87" s="1028"/>
      <c r="AX87" s="1028"/>
      <c r="AY87" s="1028"/>
      <c r="AZ87" s="1037"/>
    </row>
    <row r="88" spans="1:52" ht="20.100000000000001" customHeight="1" x14ac:dyDescent="0.25">
      <c r="A88" s="1076"/>
      <c r="B88" s="1006"/>
      <c r="C88" s="882" t="s">
        <v>736</v>
      </c>
      <c r="D88" s="379" t="s">
        <v>149</v>
      </c>
      <c r="E88" s="408"/>
      <c r="F88" s="408"/>
      <c r="G88" s="405"/>
      <c r="H88" s="405"/>
      <c r="I88" s="405"/>
      <c r="J88" s="405"/>
      <c r="K88" s="405"/>
      <c r="L88" s="397">
        <v>0.33600000000000002</v>
      </c>
      <c r="M88" s="385">
        <v>0.53200000000000003</v>
      </c>
      <c r="N88" s="508">
        <f>33*0.028</f>
        <v>0.92400000000000004</v>
      </c>
      <c r="O88" s="508">
        <f>0.028*41</f>
        <v>1.1480000000000001</v>
      </c>
      <c r="P88" s="508">
        <f>0.028*41</f>
        <v>1.1480000000000001</v>
      </c>
      <c r="Q88" s="508">
        <f>0.028*42</f>
        <v>1.1759999999999999</v>
      </c>
      <c r="R88" s="414">
        <f>0.0275*48</f>
        <v>1.32</v>
      </c>
      <c r="S88" s="889" t="s">
        <v>577</v>
      </c>
      <c r="T88" s="407"/>
      <c r="U88" s="407"/>
      <c r="V88" s="407"/>
      <c r="W88" s="407"/>
      <c r="X88" s="407"/>
      <c r="Y88" s="397">
        <v>0.33600000000000002</v>
      </c>
      <c r="Z88" s="385">
        <v>0.53200000000000003</v>
      </c>
      <c r="AA88" s="385">
        <f>33*0.028</f>
        <v>0.92400000000000004</v>
      </c>
      <c r="AB88" s="508">
        <f>0.028*41</f>
        <v>1.1480000000000001</v>
      </c>
      <c r="AC88" s="508">
        <f>0.028*41</f>
        <v>1.1480000000000001</v>
      </c>
      <c r="AD88" s="508">
        <f>0.028*42</f>
        <v>1.1759999999999999</v>
      </c>
      <c r="AE88" s="398">
        <f>0.0275*48</f>
        <v>1.32</v>
      </c>
      <c r="AF88" s="889" t="s">
        <v>593</v>
      </c>
      <c r="AG88" s="882" t="s">
        <v>497</v>
      </c>
      <c r="AH88" s="882" t="s">
        <v>285</v>
      </c>
      <c r="AI88" s="1025" t="s">
        <v>663</v>
      </c>
      <c r="AJ88" s="1025" t="s">
        <v>664</v>
      </c>
      <c r="AK88" s="1029"/>
      <c r="AL88" s="1025" t="s">
        <v>665</v>
      </c>
      <c r="AM88" s="1025" t="s">
        <v>510</v>
      </c>
      <c r="AN88" s="1029"/>
      <c r="AO88" s="1027">
        <v>1229902.46920737</v>
      </c>
      <c r="AP88" s="1027">
        <v>579045.68833276897</v>
      </c>
      <c r="AQ88" s="1027">
        <v>650856.78087460296</v>
      </c>
      <c r="AR88" s="1025" t="s">
        <v>269</v>
      </c>
      <c r="AS88" s="1025" t="s">
        <v>269</v>
      </c>
      <c r="AT88" s="1025" t="s">
        <v>269</v>
      </c>
      <c r="AU88" s="1025" t="s">
        <v>269</v>
      </c>
      <c r="AV88" s="1025" t="s">
        <v>269</v>
      </c>
      <c r="AW88" s="1025" t="s">
        <v>269</v>
      </c>
      <c r="AX88" s="1025" t="s">
        <v>269</v>
      </c>
      <c r="AY88" s="1025" t="s">
        <v>269</v>
      </c>
      <c r="AZ88" s="1025"/>
    </row>
    <row r="89" spans="1:52" ht="20.100000000000001" customHeight="1" x14ac:dyDescent="0.25">
      <c r="A89" s="1076"/>
      <c r="B89" s="1006"/>
      <c r="C89" s="883"/>
      <c r="D89" s="388" t="s">
        <v>151</v>
      </c>
      <c r="E89" s="411"/>
      <c r="F89" s="411"/>
      <c r="G89" s="405"/>
      <c r="H89" s="405"/>
      <c r="I89" s="405"/>
      <c r="J89" s="405"/>
      <c r="K89" s="405"/>
      <c r="L89" s="407">
        <v>13145856</v>
      </c>
      <c r="M89" s="407">
        <v>17941453</v>
      </c>
      <c r="N89" s="390">
        <f>33*1053000</f>
        <v>34749000</v>
      </c>
      <c r="O89" s="390">
        <f>1053000*41</f>
        <v>43173000</v>
      </c>
      <c r="P89" s="390">
        <f>1053000*41</f>
        <v>43173000</v>
      </c>
      <c r="Q89" s="390">
        <f>1053000*42</f>
        <v>44226000</v>
      </c>
      <c r="R89" s="411">
        <f>1052286*48</f>
        <v>50509728</v>
      </c>
      <c r="S89" s="890"/>
      <c r="T89" s="407"/>
      <c r="U89" s="407"/>
      <c r="V89" s="407"/>
      <c r="W89" s="407"/>
      <c r="X89" s="407"/>
      <c r="Y89" s="407">
        <v>11073132</v>
      </c>
      <c r="Z89" s="407">
        <v>17941453</v>
      </c>
      <c r="AA89" s="407">
        <f>33*944000</f>
        <v>31152000</v>
      </c>
      <c r="AB89" s="390">
        <f>1007000*41</f>
        <v>41287000</v>
      </c>
      <c r="AC89" s="390">
        <f>1007000*41</f>
        <v>41287000</v>
      </c>
      <c r="AD89" s="390">
        <f>1007000*42</f>
        <v>42294000</v>
      </c>
      <c r="AE89" s="390">
        <f>1031290*48</f>
        <v>49501920</v>
      </c>
      <c r="AF89" s="890"/>
      <c r="AG89" s="902"/>
      <c r="AH89" s="883"/>
      <c r="AI89" s="1028"/>
      <c r="AJ89" s="1028"/>
      <c r="AK89" s="1029"/>
      <c r="AL89" s="1028"/>
      <c r="AM89" s="1028"/>
      <c r="AN89" s="1029"/>
      <c r="AO89" s="1030"/>
      <c r="AP89" s="1030"/>
      <c r="AQ89" s="1030"/>
      <c r="AR89" s="1028"/>
      <c r="AS89" s="1028"/>
      <c r="AT89" s="1028"/>
      <c r="AU89" s="1028"/>
      <c r="AV89" s="1028"/>
      <c r="AW89" s="1028"/>
      <c r="AX89" s="1028"/>
      <c r="AY89" s="1028"/>
      <c r="AZ89" s="1028"/>
    </row>
    <row r="90" spans="1:52" ht="20.100000000000001" customHeight="1" x14ac:dyDescent="0.25">
      <c r="A90" s="1076"/>
      <c r="B90" s="1006"/>
      <c r="C90" s="883"/>
      <c r="D90" s="394" t="s">
        <v>153</v>
      </c>
      <c r="E90" s="411"/>
      <c r="F90" s="411"/>
      <c r="G90" s="405"/>
      <c r="H90" s="405"/>
      <c r="I90" s="405"/>
      <c r="J90" s="405"/>
      <c r="K90" s="405"/>
      <c r="L90" s="397"/>
      <c r="M90" s="385"/>
      <c r="N90" s="405"/>
      <c r="O90" s="405"/>
      <c r="P90" s="405"/>
      <c r="Q90" s="406"/>
      <c r="R90" s="411"/>
      <c r="S90" s="890"/>
      <c r="T90" s="407"/>
      <c r="U90" s="407"/>
      <c r="V90" s="407"/>
      <c r="W90" s="407"/>
      <c r="X90" s="407"/>
      <c r="Y90" s="397"/>
      <c r="Z90" s="385"/>
      <c r="AA90" s="409"/>
      <c r="AB90" s="1033"/>
      <c r="AC90" s="1033"/>
      <c r="AD90" s="1033"/>
      <c r="AE90" s="405"/>
      <c r="AF90" s="890"/>
      <c r="AG90" s="902"/>
      <c r="AH90" s="883"/>
      <c r="AI90" s="1028"/>
      <c r="AJ90" s="1028"/>
      <c r="AK90" s="1029"/>
      <c r="AL90" s="1028"/>
      <c r="AM90" s="1028"/>
      <c r="AN90" s="1029"/>
      <c r="AO90" s="1030"/>
      <c r="AP90" s="1030"/>
      <c r="AQ90" s="1030"/>
      <c r="AR90" s="1028"/>
      <c r="AS90" s="1028"/>
      <c r="AT90" s="1028"/>
      <c r="AU90" s="1028"/>
      <c r="AV90" s="1028"/>
      <c r="AW90" s="1028"/>
      <c r="AX90" s="1028"/>
      <c r="AY90" s="1028"/>
      <c r="AZ90" s="1028"/>
    </row>
    <row r="91" spans="1:52" ht="20.100000000000001" customHeight="1" x14ac:dyDescent="0.25">
      <c r="A91" s="1076"/>
      <c r="B91" s="1006"/>
      <c r="C91" s="883"/>
      <c r="D91" s="388" t="s">
        <v>154</v>
      </c>
      <c r="E91" s="411"/>
      <c r="F91" s="411"/>
      <c r="G91" s="405"/>
      <c r="H91" s="405"/>
      <c r="I91" s="405"/>
      <c r="J91" s="405"/>
      <c r="K91" s="405"/>
      <c r="L91" s="397"/>
      <c r="M91" s="385"/>
      <c r="N91" s="405"/>
      <c r="O91" s="405"/>
      <c r="P91" s="405"/>
      <c r="Q91" s="406"/>
      <c r="R91" s="411"/>
      <c r="S91" s="890"/>
      <c r="T91" s="407"/>
      <c r="U91" s="407"/>
      <c r="V91" s="407"/>
      <c r="W91" s="407"/>
      <c r="X91" s="407"/>
      <c r="Y91" s="397"/>
      <c r="Z91" s="385"/>
      <c r="AA91" s="409"/>
      <c r="AB91" s="1033"/>
      <c r="AC91" s="1033"/>
      <c r="AD91" s="1033"/>
      <c r="AE91" s="405"/>
      <c r="AF91" s="890"/>
      <c r="AG91" s="902"/>
      <c r="AH91" s="883"/>
      <c r="AI91" s="1028"/>
      <c r="AJ91" s="1028"/>
      <c r="AK91" s="1029"/>
      <c r="AL91" s="1028"/>
      <c r="AM91" s="1028"/>
      <c r="AN91" s="1029"/>
      <c r="AO91" s="1030"/>
      <c r="AP91" s="1030"/>
      <c r="AQ91" s="1030"/>
      <c r="AR91" s="1028"/>
      <c r="AS91" s="1028"/>
      <c r="AT91" s="1028"/>
      <c r="AU91" s="1028"/>
      <c r="AV91" s="1028"/>
      <c r="AW91" s="1028"/>
      <c r="AX91" s="1028"/>
      <c r="AY91" s="1028"/>
      <c r="AZ91" s="1028"/>
    </row>
    <row r="92" spans="1:52" ht="20.100000000000001" customHeight="1" x14ac:dyDescent="0.25">
      <c r="A92" s="1076"/>
      <c r="B92" s="1006"/>
      <c r="C92" s="883"/>
      <c r="D92" s="394" t="s">
        <v>155</v>
      </c>
      <c r="E92" s="412"/>
      <c r="F92" s="412"/>
      <c r="G92" s="405"/>
      <c r="H92" s="405"/>
      <c r="I92" s="405"/>
      <c r="J92" s="405"/>
      <c r="K92" s="405"/>
      <c r="L92" s="397"/>
      <c r="M92" s="385"/>
      <c r="N92" s="405"/>
      <c r="O92" s="405"/>
      <c r="P92" s="405"/>
      <c r="Q92" s="406"/>
      <c r="R92" s="412"/>
      <c r="S92" s="890"/>
      <c r="T92" s="407"/>
      <c r="U92" s="407"/>
      <c r="V92" s="407"/>
      <c r="W92" s="407"/>
      <c r="X92" s="407"/>
      <c r="Y92" s="397"/>
      <c r="Z92" s="385"/>
      <c r="AA92" s="409"/>
      <c r="AB92" s="1033"/>
      <c r="AC92" s="1033"/>
      <c r="AD92" s="1033"/>
      <c r="AE92" s="402"/>
      <c r="AF92" s="890"/>
      <c r="AG92" s="902"/>
      <c r="AH92" s="883"/>
      <c r="AI92" s="1028"/>
      <c r="AJ92" s="1028"/>
      <c r="AK92" s="1029"/>
      <c r="AL92" s="1028"/>
      <c r="AM92" s="1028"/>
      <c r="AN92" s="1029"/>
      <c r="AO92" s="1030"/>
      <c r="AP92" s="1030"/>
      <c r="AQ92" s="1030"/>
      <c r="AR92" s="1028"/>
      <c r="AS92" s="1028"/>
      <c r="AT92" s="1028"/>
      <c r="AU92" s="1028"/>
      <c r="AV92" s="1028"/>
      <c r="AW92" s="1028"/>
      <c r="AX92" s="1028"/>
      <c r="AY92" s="1028"/>
      <c r="AZ92" s="1028"/>
    </row>
    <row r="93" spans="1:52" ht="20.100000000000001" customHeight="1" thickBot="1" x14ac:dyDescent="0.3">
      <c r="A93" s="1076"/>
      <c r="B93" s="1006"/>
      <c r="C93" s="884"/>
      <c r="D93" s="403" t="s">
        <v>156</v>
      </c>
      <c r="E93" s="404"/>
      <c r="F93" s="404"/>
      <c r="G93" s="405"/>
      <c r="H93" s="405"/>
      <c r="I93" s="405"/>
      <c r="J93" s="405"/>
      <c r="K93" s="405"/>
      <c r="L93" s="397"/>
      <c r="M93" s="385"/>
      <c r="N93" s="405"/>
      <c r="O93" s="405"/>
      <c r="P93" s="405"/>
      <c r="Q93" s="406"/>
      <c r="R93" s="404"/>
      <c r="S93" s="891"/>
      <c r="T93" s="407"/>
      <c r="U93" s="407"/>
      <c r="V93" s="407"/>
      <c r="W93" s="407"/>
      <c r="X93" s="407"/>
      <c r="Y93" s="397"/>
      <c r="Z93" s="385"/>
      <c r="AA93" s="409"/>
      <c r="AB93" s="1033"/>
      <c r="AC93" s="1033"/>
      <c r="AD93" s="1033"/>
      <c r="AE93" s="405"/>
      <c r="AF93" s="891"/>
      <c r="AG93" s="903"/>
      <c r="AH93" s="884"/>
      <c r="AI93" s="1028"/>
      <c r="AJ93" s="1028"/>
      <c r="AK93" s="1029"/>
      <c r="AL93" s="1028"/>
      <c r="AM93" s="1028"/>
      <c r="AN93" s="1029"/>
      <c r="AO93" s="1030"/>
      <c r="AP93" s="1030"/>
      <c r="AQ93" s="1030"/>
      <c r="AR93" s="1028"/>
      <c r="AS93" s="1028"/>
      <c r="AT93" s="1028"/>
      <c r="AU93" s="1028"/>
      <c r="AV93" s="1028"/>
      <c r="AW93" s="1028"/>
      <c r="AX93" s="1028"/>
      <c r="AY93" s="1028"/>
      <c r="AZ93" s="1028"/>
    </row>
    <row r="94" spans="1:52" ht="20.100000000000001" customHeight="1" x14ac:dyDescent="0.25">
      <c r="A94" s="1076"/>
      <c r="B94" s="1006"/>
      <c r="C94" s="882" t="s">
        <v>739</v>
      </c>
      <c r="D94" s="379" t="s">
        <v>149</v>
      </c>
      <c r="E94" s="408"/>
      <c r="F94" s="408"/>
      <c r="G94" s="405"/>
      <c r="H94" s="405"/>
      <c r="I94" s="405"/>
      <c r="J94" s="405"/>
      <c r="K94" s="405"/>
      <c r="L94" s="397">
        <v>0.19600000000000001</v>
      </c>
      <c r="M94" s="385">
        <v>0.19600000000000001</v>
      </c>
      <c r="N94" s="508">
        <f>12*0.028</f>
        <v>0.33600000000000002</v>
      </c>
      <c r="O94" s="508">
        <f>0.028*12</f>
        <v>0.33600000000000002</v>
      </c>
      <c r="P94" s="508">
        <f>0.028*14</f>
        <v>0.39200000000000002</v>
      </c>
      <c r="Q94" s="508">
        <f>0.028*14</f>
        <v>0.39200000000000002</v>
      </c>
      <c r="R94" s="414">
        <f>0.0275*23</f>
        <v>0.63249999999999995</v>
      </c>
      <c r="S94" s="889" t="s">
        <v>578</v>
      </c>
      <c r="T94" s="407"/>
      <c r="U94" s="407"/>
      <c r="V94" s="407"/>
      <c r="W94" s="407"/>
      <c r="X94" s="407"/>
      <c r="Y94" s="397">
        <v>0.19600000000000001</v>
      </c>
      <c r="Z94" s="385">
        <v>0.19600000000000001</v>
      </c>
      <c r="AA94" s="385">
        <f>12*0.028</f>
        <v>0.33600000000000002</v>
      </c>
      <c r="AB94" s="508">
        <f>0.028*12</f>
        <v>0.33600000000000002</v>
      </c>
      <c r="AC94" s="508">
        <f>0.028*14</f>
        <v>0.39200000000000002</v>
      </c>
      <c r="AD94" s="508">
        <f>0.028*14</f>
        <v>0.39200000000000002</v>
      </c>
      <c r="AE94" s="398">
        <f>0.0275*23</f>
        <v>0.63249999999999995</v>
      </c>
      <c r="AF94" s="889" t="s">
        <v>594</v>
      </c>
      <c r="AG94" s="882" t="s">
        <v>495</v>
      </c>
      <c r="AH94" s="882" t="s">
        <v>286</v>
      </c>
      <c r="AI94" s="1025" t="s">
        <v>666</v>
      </c>
      <c r="AJ94" s="1025" t="s">
        <v>667</v>
      </c>
      <c r="AK94" s="1029"/>
      <c r="AL94" s="1025" t="s">
        <v>668</v>
      </c>
      <c r="AM94" s="1025" t="s">
        <v>90</v>
      </c>
      <c r="AN94" s="1029"/>
      <c r="AO94" s="1027">
        <v>153161.841338011</v>
      </c>
      <c r="AP94" s="1027">
        <v>71660.553014322693</v>
      </c>
      <c r="AQ94" s="1027">
        <v>81501.288323687899</v>
      </c>
      <c r="AR94" s="1025" t="s">
        <v>269</v>
      </c>
      <c r="AS94" s="1025" t="s">
        <v>269</v>
      </c>
      <c r="AT94" s="1025" t="s">
        <v>269</v>
      </c>
      <c r="AU94" s="1025" t="s">
        <v>269</v>
      </c>
      <c r="AV94" s="1025" t="s">
        <v>269</v>
      </c>
      <c r="AW94" s="1025" t="s">
        <v>269</v>
      </c>
      <c r="AX94" s="1025" t="s">
        <v>269</v>
      </c>
      <c r="AY94" s="1025" t="s">
        <v>269</v>
      </c>
      <c r="AZ94" s="1025"/>
    </row>
    <row r="95" spans="1:52" ht="20.100000000000001" customHeight="1" x14ac:dyDescent="0.25">
      <c r="A95" s="1076"/>
      <c r="B95" s="1006"/>
      <c r="C95" s="883"/>
      <c r="D95" s="388" t="s">
        <v>151</v>
      </c>
      <c r="E95" s="411"/>
      <c r="F95" s="411"/>
      <c r="G95" s="405"/>
      <c r="H95" s="405"/>
      <c r="I95" s="405"/>
      <c r="J95" s="405"/>
      <c r="K95" s="405"/>
      <c r="L95" s="407">
        <v>7668416</v>
      </c>
      <c r="M95" s="407">
        <v>6610009</v>
      </c>
      <c r="N95" s="390">
        <f>12*1053000</f>
        <v>12636000</v>
      </c>
      <c r="O95" s="390">
        <v>12636000</v>
      </c>
      <c r="P95" s="390">
        <v>12636000</v>
      </c>
      <c r="Q95" s="390">
        <f>1053000*14</f>
        <v>14742000</v>
      </c>
      <c r="R95" s="411">
        <f>1052286*23</f>
        <v>24202578</v>
      </c>
      <c r="S95" s="890"/>
      <c r="T95" s="407"/>
      <c r="U95" s="407"/>
      <c r="V95" s="407"/>
      <c r="W95" s="407"/>
      <c r="X95" s="407"/>
      <c r="Y95" s="407">
        <v>6459327</v>
      </c>
      <c r="Z95" s="407">
        <v>6610009</v>
      </c>
      <c r="AA95" s="407">
        <f>12*944000</f>
        <v>11328000</v>
      </c>
      <c r="AB95" s="390">
        <f>1007000*12</f>
        <v>12084000</v>
      </c>
      <c r="AC95" s="390">
        <f>1007000*14</f>
        <v>14098000</v>
      </c>
      <c r="AD95" s="390">
        <f>1007000*14</f>
        <v>14098000</v>
      </c>
      <c r="AE95" s="390">
        <f>1031290*23</f>
        <v>23719670</v>
      </c>
      <c r="AF95" s="890"/>
      <c r="AG95" s="902"/>
      <c r="AH95" s="883"/>
      <c r="AI95" s="1028"/>
      <c r="AJ95" s="1028"/>
      <c r="AK95" s="1029"/>
      <c r="AL95" s="1028"/>
      <c r="AM95" s="1028"/>
      <c r="AN95" s="1029"/>
      <c r="AO95" s="1030"/>
      <c r="AP95" s="1030"/>
      <c r="AQ95" s="1030"/>
      <c r="AR95" s="1028"/>
      <c r="AS95" s="1028"/>
      <c r="AT95" s="1028"/>
      <c r="AU95" s="1028"/>
      <c r="AV95" s="1028"/>
      <c r="AW95" s="1028"/>
      <c r="AX95" s="1028"/>
      <c r="AY95" s="1028"/>
      <c r="AZ95" s="1028"/>
    </row>
    <row r="96" spans="1:52" ht="20.100000000000001" customHeight="1" x14ac:dyDescent="0.25">
      <c r="A96" s="1076"/>
      <c r="B96" s="1006"/>
      <c r="C96" s="883"/>
      <c r="D96" s="394" t="s">
        <v>153</v>
      </c>
      <c r="E96" s="411"/>
      <c r="F96" s="411"/>
      <c r="G96" s="405"/>
      <c r="H96" s="405"/>
      <c r="I96" s="405"/>
      <c r="J96" s="405"/>
      <c r="K96" s="405"/>
      <c r="L96" s="397"/>
      <c r="M96" s="385"/>
      <c r="N96" s="405"/>
      <c r="O96" s="405"/>
      <c r="P96" s="405"/>
      <c r="Q96" s="406"/>
      <c r="R96" s="411"/>
      <c r="S96" s="890"/>
      <c r="T96" s="407"/>
      <c r="U96" s="407"/>
      <c r="V96" s="407"/>
      <c r="W96" s="407"/>
      <c r="X96" s="407"/>
      <c r="Y96" s="397"/>
      <c r="Z96" s="385"/>
      <c r="AA96" s="409"/>
      <c r="AB96" s="1033"/>
      <c r="AC96" s="1033"/>
      <c r="AD96" s="1033"/>
      <c r="AE96" s="405"/>
      <c r="AF96" s="890"/>
      <c r="AG96" s="902"/>
      <c r="AH96" s="883"/>
      <c r="AI96" s="1028"/>
      <c r="AJ96" s="1028"/>
      <c r="AK96" s="1029"/>
      <c r="AL96" s="1028"/>
      <c r="AM96" s="1028"/>
      <c r="AN96" s="1029"/>
      <c r="AO96" s="1030"/>
      <c r="AP96" s="1030"/>
      <c r="AQ96" s="1030"/>
      <c r="AR96" s="1028"/>
      <c r="AS96" s="1028"/>
      <c r="AT96" s="1028"/>
      <c r="AU96" s="1028"/>
      <c r="AV96" s="1028"/>
      <c r="AW96" s="1028"/>
      <c r="AX96" s="1028"/>
      <c r="AY96" s="1028"/>
      <c r="AZ96" s="1028"/>
    </row>
    <row r="97" spans="1:52" ht="20.100000000000001" customHeight="1" x14ac:dyDescent="0.25">
      <c r="A97" s="1076"/>
      <c r="B97" s="1006"/>
      <c r="C97" s="883"/>
      <c r="D97" s="388" t="s">
        <v>154</v>
      </c>
      <c r="E97" s="411"/>
      <c r="F97" s="411"/>
      <c r="G97" s="405"/>
      <c r="H97" s="405"/>
      <c r="I97" s="405"/>
      <c r="J97" s="405"/>
      <c r="K97" s="405"/>
      <c r="L97" s="397"/>
      <c r="M97" s="385"/>
      <c r="N97" s="405"/>
      <c r="O97" s="405"/>
      <c r="P97" s="405"/>
      <c r="Q97" s="406"/>
      <c r="R97" s="411"/>
      <c r="S97" s="890"/>
      <c r="T97" s="407"/>
      <c r="U97" s="407"/>
      <c r="V97" s="407"/>
      <c r="W97" s="407"/>
      <c r="X97" s="407"/>
      <c r="Y97" s="397"/>
      <c r="Z97" s="385"/>
      <c r="AA97" s="409"/>
      <c r="AB97" s="1033"/>
      <c r="AC97" s="1033"/>
      <c r="AD97" s="1033"/>
      <c r="AE97" s="405"/>
      <c r="AF97" s="890"/>
      <c r="AG97" s="902"/>
      <c r="AH97" s="883"/>
      <c r="AI97" s="1028"/>
      <c r="AJ97" s="1028"/>
      <c r="AK97" s="1029"/>
      <c r="AL97" s="1028"/>
      <c r="AM97" s="1028"/>
      <c r="AN97" s="1029"/>
      <c r="AO97" s="1030"/>
      <c r="AP97" s="1030"/>
      <c r="AQ97" s="1030"/>
      <c r="AR97" s="1028"/>
      <c r="AS97" s="1028"/>
      <c r="AT97" s="1028"/>
      <c r="AU97" s="1028"/>
      <c r="AV97" s="1028"/>
      <c r="AW97" s="1028"/>
      <c r="AX97" s="1028"/>
      <c r="AY97" s="1028"/>
      <c r="AZ97" s="1028"/>
    </row>
    <row r="98" spans="1:52" ht="20.100000000000001" customHeight="1" x14ac:dyDescent="0.25">
      <c r="A98" s="1076"/>
      <c r="B98" s="1006"/>
      <c r="C98" s="883"/>
      <c r="D98" s="394" t="s">
        <v>155</v>
      </c>
      <c r="E98" s="412"/>
      <c r="F98" s="412"/>
      <c r="G98" s="405"/>
      <c r="H98" s="405"/>
      <c r="I98" s="405"/>
      <c r="J98" s="405"/>
      <c r="K98" s="405"/>
      <c r="L98" s="397"/>
      <c r="M98" s="385"/>
      <c r="N98" s="405"/>
      <c r="O98" s="405"/>
      <c r="P98" s="405"/>
      <c r="Q98" s="406"/>
      <c r="R98" s="412"/>
      <c r="S98" s="890"/>
      <c r="T98" s="407"/>
      <c r="U98" s="407"/>
      <c r="V98" s="407"/>
      <c r="W98" s="407"/>
      <c r="X98" s="407"/>
      <c r="Y98" s="397"/>
      <c r="Z98" s="385"/>
      <c r="AA98" s="409"/>
      <c r="AB98" s="1033"/>
      <c r="AC98" s="1033"/>
      <c r="AD98" s="1033"/>
      <c r="AE98" s="402"/>
      <c r="AF98" s="890"/>
      <c r="AG98" s="902"/>
      <c r="AH98" s="883"/>
      <c r="AI98" s="1028"/>
      <c r="AJ98" s="1028"/>
      <c r="AK98" s="1029"/>
      <c r="AL98" s="1028"/>
      <c r="AM98" s="1028"/>
      <c r="AN98" s="1029"/>
      <c r="AO98" s="1030"/>
      <c r="AP98" s="1030"/>
      <c r="AQ98" s="1030"/>
      <c r="AR98" s="1028"/>
      <c r="AS98" s="1028"/>
      <c r="AT98" s="1028"/>
      <c r="AU98" s="1028"/>
      <c r="AV98" s="1028"/>
      <c r="AW98" s="1028"/>
      <c r="AX98" s="1028"/>
      <c r="AY98" s="1028"/>
      <c r="AZ98" s="1028"/>
    </row>
    <row r="99" spans="1:52" ht="20.100000000000001" customHeight="1" thickBot="1" x14ac:dyDescent="0.3">
      <c r="A99" s="1076"/>
      <c r="B99" s="1006"/>
      <c r="C99" s="884"/>
      <c r="D99" s="403" t="s">
        <v>156</v>
      </c>
      <c r="E99" s="404"/>
      <c r="F99" s="404"/>
      <c r="G99" s="405"/>
      <c r="H99" s="405"/>
      <c r="I99" s="405"/>
      <c r="J99" s="405"/>
      <c r="K99" s="405"/>
      <c r="L99" s="397"/>
      <c r="M99" s="385"/>
      <c r="N99" s="405"/>
      <c r="O99" s="405"/>
      <c r="P99" s="405"/>
      <c r="Q99" s="406"/>
      <c r="R99" s="404"/>
      <c r="S99" s="891"/>
      <c r="T99" s="407"/>
      <c r="U99" s="407"/>
      <c r="V99" s="407"/>
      <c r="W99" s="407"/>
      <c r="X99" s="407"/>
      <c r="Y99" s="397"/>
      <c r="Z99" s="385"/>
      <c r="AA99" s="409"/>
      <c r="AB99" s="1033"/>
      <c r="AC99" s="1033"/>
      <c r="AD99" s="1033"/>
      <c r="AE99" s="405"/>
      <c r="AF99" s="891"/>
      <c r="AG99" s="903"/>
      <c r="AH99" s="884"/>
      <c r="AI99" s="1028"/>
      <c r="AJ99" s="1028"/>
      <c r="AK99" s="1029"/>
      <c r="AL99" s="1028"/>
      <c r="AM99" s="1028"/>
      <c r="AN99" s="1029"/>
      <c r="AO99" s="1030"/>
      <c r="AP99" s="1030"/>
      <c r="AQ99" s="1030"/>
      <c r="AR99" s="1028"/>
      <c r="AS99" s="1028"/>
      <c r="AT99" s="1028"/>
      <c r="AU99" s="1028"/>
      <c r="AV99" s="1028"/>
      <c r="AW99" s="1028"/>
      <c r="AX99" s="1028"/>
      <c r="AY99" s="1028"/>
      <c r="AZ99" s="1028"/>
    </row>
    <row r="100" spans="1:52" ht="20.100000000000001" customHeight="1" x14ac:dyDescent="0.25">
      <c r="A100" s="1076"/>
      <c r="B100" s="1006"/>
      <c r="C100" s="882" t="s">
        <v>731</v>
      </c>
      <c r="D100" s="379" t="s">
        <v>149</v>
      </c>
      <c r="E100" s="408"/>
      <c r="F100" s="408"/>
      <c r="G100" s="405"/>
      <c r="H100" s="405"/>
      <c r="I100" s="405"/>
      <c r="J100" s="405"/>
      <c r="K100" s="405"/>
      <c r="L100" s="397">
        <v>0.72799999999999998</v>
      </c>
      <c r="M100" s="385">
        <v>1.3440000000000001</v>
      </c>
      <c r="N100" s="508">
        <f>72*0.028</f>
        <v>2.016</v>
      </c>
      <c r="O100" s="508">
        <f>0.028*97</f>
        <v>2.7160000000000002</v>
      </c>
      <c r="P100" s="508">
        <f>0.028*97</f>
        <v>2.7160000000000002</v>
      </c>
      <c r="Q100" s="508">
        <f>0.028*99</f>
        <v>2.7720000000000002</v>
      </c>
      <c r="R100" s="414">
        <f>0.0275*112</f>
        <v>3.08</v>
      </c>
      <c r="S100" s="889" t="s">
        <v>570</v>
      </c>
      <c r="T100" s="407"/>
      <c r="U100" s="407"/>
      <c r="V100" s="407"/>
      <c r="W100" s="407"/>
      <c r="X100" s="407"/>
      <c r="Y100" s="397">
        <v>0.72799999999999998</v>
      </c>
      <c r="Z100" s="385">
        <v>1.3440000000000001</v>
      </c>
      <c r="AA100" s="385">
        <f>72*0.028</f>
        <v>2.016</v>
      </c>
      <c r="AB100" s="508">
        <f>0.028*97</f>
        <v>2.7160000000000002</v>
      </c>
      <c r="AC100" s="508">
        <f>0.028*97</f>
        <v>2.7160000000000002</v>
      </c>
      <c r="AD100" s="508">
        <f>0.028*99</f>
        <v>2.7720000000000002</v>
      </c>
      <c r="AE100" s="398">
        <f>0.0275*112</f>
        <v>3.08</v>
      </c>
      <c r="AF100" s="889" t="s">
        <v>595</v>
      </c>
      <c r="AG100" s="882" t="s">
        <v>501</v>
      </c>
      <c r="AH100" s="882" t="s">
        <v>287</v>
      </c>
      <c r="AI100" s="1025" t="s">
        <v>511</v>
      </c>
      <c r="AJ100" s="1025" t="s">
        <v>669</v>
      </c>
      <c r="AK100" s="1029"/>
      <c r="AL100" s="1025" t="s">
        <v>670</v>
      </c>
      <c r="AM100" s="1025" t="s">
        <v>287</v>
      </c>
      <c r="AN100" s="1029"/>
      <c r="AO100" s="1027">
        <v>181169.79249708299</v>
      </c>
      <c r="AP100" s="1027">
        <v>87610.385289610305</v>
      </c>
      <c r="AQ100" s="1027">
        <v>93559.407207472599</v>
      </c>
      <c r="AR100" s="1025" t="s">
        <v>269</v>
      </c>
      <c r="AS100" s="1025" t="s">
        <v>269</v>
      </c>
      <c r="AT100" s="1025" t="s">
        <v>269</v>
      </c>
      <c r="AU100" s="1025" t="s">
        <v>269</v>
      </c>
      <c r="AV100" s="1025" t="s">
        <v>269</v>
      </c>
      <c r="AW100" s="1025" t="s">
        <v>269</v>
      </c>
      <c r="AX100" s="1025" t="s">
        <v>269</v>
      </c>
      <c r="AY100" s="1025" t="s">
        <v>269</v>
      </c>
      <c r="AZ100" s="1025"/>
    </row>
    <row r="101" spans="1:52" ht="20.100000000000001" customHeight="1" x14ac:dyDescent="0.25">
      <c r="A101" s="1076"/>
      <c r="B101" s="1006"/>
      <c r="C101" s="883"/>
      <c r="D101" s="388" t="s">
        <v>151</v>
      </c>
      <c r="E101" s="411"/>
      <c r="F101" s="411"/>
      <c r="G101" s="405"/>
      <c r="H101" s="405"/>
      <c r="I101" s="405"/>
      <c r="J101" s="405"/>
      <c r="K101" s="405"/>
      <c r="L101" s="407">
        <v>28482688</v>
      </c>
      <c r="M101" s="407">
        <v>45325776</v>
      </c>
      <c r="N101" s="390">
        <f>72*1053000</f>
        <v>75816000</v>
      </c>
      <c r="O101" s="390">
        <f>97*1053000</f>
        <v>102141000</v>
      </c>
      <c r="P101" s="390">
        <f>97*1053000</f>
        <v>102141000</v>
      </c>
      <c r="Q101" s="390">
        <f>99*1053000</f>
        <v>104247000</v>
      </c>
      <c r="R101" s="411">
        <f>112*1052286</f>
        <v>117856032</v>
      </c>
      <c r="S101" s="890"/>
      <c r="T101" s="407"/>
      <c r="U101" s="407"/>
      <c r="V101" s="407"/>
      <c r="W101" s="407"/>
      <c r="X101" s="407"/>
      <c r="Y101" s="407">
        <v>23991786</v>
      </c>
      <c r="Z101" s="407">
        <v>45325776</v>
      </c>
      <c r="AA101" s="407">
        <f>72*944000</f>
        <v>67968000</v>
      </c>
      <c r="AB101" s="390">
        <f>1007000*97</f>
        <v>97679000</v>
      </c>
      <c r="AC101" s="390">
        <f>1007000*97</f>
        <v>97679000</v>
      </c>
      <c r="AD101" s="390">
        <f>1007000*99</f>
        <v>99693000</v>
      </c>
      <c r="AE101" s="390">
        <f>112*1031290</f>
        <v>115504480</v>
      </c>
      <c r="AF101" s="890"/>
      <c r="AG101" s="902"/>
      <c r="AH101" s="883"/>
      <c r="AI101" s="1028"/>
      <c r="AJ101" s="1028"/>
      <c r="AK101" s="1029"/>
      <c r="AL101" s="1028"/>
      <c r="AM101" s="1028"/>
      <c r="AN101" s="1029"/>
      <c r="AO101" s="1030"/>
      <c r="AP101" s="1030"/>
      <c r="AQ101" s="1030"/>
      <c r="AR101" s="1028"/>
      <c r="AS101" s="1028"/>
      <c r="AT101" s="1028"/>
      <c r="AU101" s="1028"/>
      <c r="AV101" s="1028"/>
      <c r="AW101" s="1028"/>
      <c r="AX101" s="1028"/>
      <c r="AY101" s="1028"/>
      <c r="AZ101" s="1028"/>
    </row>
    <row r="102" spans="1:52" ht="20.100000000000001" customHeight="1" x14ac:dyDescent="0.25">
      <c r="A102" s="1076"/>
      <c r="B102" s="1006"/>
      <c r="C102" s="883"/>
      <c r="D102" s="394" t="s">
        <v>153</v>
      </c>
      <c r="E102" s="411"/>
      <c r="F102" s="411"/>
      <c r="G102" s="405"/>
      <c r="H102" s="405"/>
      <c r="I102" s="405"/>
      <c r="J102" s="405"/>
      <c r="K102" s="405"/>
      <c r="L102" s="397"/>
      <c r="M102" s="385"/>
      <c r="N102" s="405"/>
      <c r="O102" s="405"/>
      <c r="P102" s="405"/>
      <c r="Q102" s="406"/>
      <c r="R102" s="411"/>
      <c r="S102" s="890"/>
      <c r="T102" s="407"/>
      <c r="U102" s="407"/>
      <c r="V102" s="407"/>
      <c r="W102" s="407"/>
      <c r="X102" s="407"/>
      <c r="Y102" s="397"/>
      <c r="Z102" s="385"/>
      <c r="AA102" s="409"/>
      <c r="AB102" s="1033"/>
      <c r="AC102" s="1033"/>
      <c r="AD102" s="1033"/>
      <c r="AE102" s="405"/>
      <c r="AF102" s="890"/>
      <c r="AG102" s="902"/>
      <c r="AH102" s="883"/>
      <c r="AI102" s="1028"/>
      <c r="AJ102" s="1028"/>
      <c r="AK102" s="1029"/>
      <c r="AL102" s="1028"/>
      <c r="AM102" s="1028"/>
      <c r="AN102" s="1029"/>
      <c r="AO102" s="1030"/>
      <c r="AP102" s="1030"/>
      <c r="AQ102" s="1030"/>
      <c r="AR102" s="1028"/>
      <c r="AS102" s="1028"/>
      <c r="AT102" s="1028"/>
      <c r="AU102" s="1028"/>
      <c r="AV102" s="1028"/>
      <c r="AW102" s="1028"/>
      <c r="AX102" s="1028"/>
      <c r="AY102" s="1028"/>
      <c r="AZ102" s="1028"/>
    </row>
    <row r="103" spans="1:52" ht="20.100000000000001" customHeight="1" x14ac:dyDescent="0.25">
      <c r="A103" s="1076"/>
      <c r="B103" s="1006"/>
      <c r="C103" s="883"/>
      <c r="D103" s="388" t="s">
        <v>154</v>
      </c>
      <c r="E103" s="411"/>
      <c r="F103" s="411"/>
      <c r="G103" s="405"/>
      <c r="H103" s="405"/>
      <c r="I103" s="405"/>
      <c r="J103" s="405"/>
      <c r="K103" s="405"/>
      <c r="L103" s="397"/>
      <c r="M103" s="385"/>
      <c r="N103" s="405"/>
      <c r="O103" s="405"/>
      <c r="P103" s="405"/>
      <c r="Q103" s="406"/>
      <c r="R103" s="411"/>
      <c r="S103" s="890"/>
      <c r="T103" s="407"/>
      <c r="U103" s="407"/>
      <c r="V103" s="407"/>
      <c r="W103" s="407"/>
      <c r="X103" s="407"/>
      <c r="Y103" s="397"/>
      <c r="Z103" s="385"/>
      <c r="AA103" s="409"/>
      <c r="AB103" s="1033"/>
      <c r="AC103" s="1033"/>
      <c r="AD103" s="1033"/>
      <c r="AE103" s="405"/>
      <c r="AF103" s="890"/>
      <c r="AG103" s="902"/>
      <c r="AH103" s="883"/>
      <c r="AI103" s="1028"/>
      <c r="AJ103" s="1028"/>
      <c r="AK103" s="1029"/>
      <c r="AL103" s="1028"/>
      <c r="AM103" s="1028"/>
      <c r="AN103" s="1029"/>
      <c r="AO103" s="1030"/>
      <c r="AP103" s="1030"/>
      <c r="AQ103" s="1030"/>
      <c r="AR103" s="1028"/>
      <c r="AS103" s="1028"/>
      <c r="AT103" s="1028"/>
      <c r="AU103" s="1028"/>
      <c r="AV103" s="1028"/>
      <c r="AW103" s="1028"/>
      <c r="AX103" s="1028"/>
      <c r="AY103" s="1028"/>
      <c r="AZ103" s="1028"/>
    </row>
    <row r="104" spans="1:52" ht="20.100000000000001" customHeight="1" x14ac:dyDescent="0.25">
      <c r="A104" s="1076"/>
      <c r="B104" s="1006"/>
      <c r="C104" s="883"/>
      <c r="D104" s="394" t="s">
        <v>155</v>
      </c>
      <c r="E104" s="412"/>
      <c r="F104" s="412"/>
      <c r="G104" s="405"/>
      <c r="H104" s="405"/>
      <c r="I104" s="405"/>
      <c r="J104" s="405"/>
      <c r="K104" s="405"/>
      <c r="L104" s="397"/>
      <c r="M104" s="385"/>
      <c r="N104" s="405"/>
      <c r="O104" s="405"/>
      <c r="P104" s="405"/>
      <c r="Q104" s="406"/>
      <c r="R104" s="412"/>
      <c r="S104" s="890"/>
      <c r="T104" s="407"/>
      <c r="U104" s="407"/>
      <c r="V104" s="407"/>
      <c r="W104" s="407"/>
      <c r="X104" s="407"/>
      <c r="Y104" s="397"/>
      <c r="Z104" s="385"/>
      <c r="AA104" s="409"/>
      <c r="AB104" s="1033"/>
      <c r="AC104" s="1033"/>
      <c r="AD104" s="1033"/>
      <c r="AE104" s="402"/>
      <c r="AF104" s="890"/>
      <c r="AG104" s="902"/>
      <c r="AH104" s="883"/>
      <c r="AI104" s="1028"/>
      <c r="AJ104" s="1028"/>
      <c r="AK104" s="1029"/>
      <c r="AL104" s="1028"/>
      <c r="AM104" s="1028"/>
      <c r="AN104" s="1029"/>
      <c r="AO104" s="1030"/>
      <c r="AP104" s="1030"/>
      <c r="AQ104" s="1030"/>
      <c r="AR104" s="1028"/>
      <c r="AS104" s="1028"/>
      <c r="AT104" s="1028"/>
      <c r="AU104" s="1028"/>
      <c r="AV104" s="1028"/>
      <c r="AW104" s="1028"/>
      <c r="AX104" s="1028"/>
      <c r="AY104" s="1028"/>
      <c r="AZ104" s="1028"/>
    </row>
    <row r="105" spans="1:52" ht="20.100000000000001" customHeight="1" thickBot="1" x14ac:dyDescent="0.3">
      <c r="A105" s="1076"/>
      <c r="B105" s="1006"/>
      <c r="C105" s="884"/>
      <c r="D105" s="403" t="s">
        <v>156</v>
      </c>
      <c r="E105" s="404"/>
      <c r="F105" s="404"/>
      <c r="G105" s="405"/>
      <c r="H105" s="405"/>
      <c r="I105" s="405"/>
      <c r="J105" s="405"/>
      <c r="K105" s="405"/>
      <c r="L105" s="397"/>
      <c r="M105" s="385"/>
      <c r="N105" s="405"/>
      <c r="O105" s="405"/>
      <c r="P105" s="405"/>
      <c r="Q105" s="406"/>
      <c r="R105" s="404"/>
      <c r="S105" s="891"/>
      <c r="T105" s="407"/>
      <c r="U105" s="407"/>
      <c r="V105" s="407"/>
      <c r="W105" s="407"/>
      <c r="X105" s="407"/>
      <c r="Y105" s="397"/>
      <c r="Z105" s="385"/>
      <c r="AA105" s="409"/>
      <c r="AB105" s="1033"/>
      <c r="AC105" s="1033"/>
      <c r="AD105" s="1033"/>
      <c r="AE105" s="405"/>
      <c r="AF105" s="891"/>
      <c r="AG105" s="903"/>
      <c r="AH105" s="884"/>
      <c r="AI105" s="1028"/>
      <c r="AJ105" s="1028"/>
      <c r="AK105" s="1029"/>
      <c r="AL105" s="1028"/>
      <c r="AM105" s="1028"/>
      <c r="AN105" s="1029"/>
      <c r="AO105" s="1030"/>
      <c r="AP105" s="1030"/>
      <c r="AQ105" s="1030"/>
      <c r="AR105" s="1028"/>
      <c r="AS105" s="1028"/>
      <c r="AT105" s="1028"/>
      <c r="AU105" s="1028"/>
      <c r="AV105" s="1028"/>
      <c r="AW105" s="1028"/>
      <c r="AX105" s="1028"/>
      <c r="AY105" s="1028"/>
      <c r="AZ105" s="1028"/>
    </row>
    <row r="106" spans="1:52" ht="20.100000000000001" customHeight="1" x14ac:dyDescent="0.25">
      <c r="A106" s="1076"/>
      <c r="B106" s="1006"/>
      <c r="C106" s="882" t="s">
        <v>726</v>
      </c>
      <c r="D106" s="379" t="s">
        <v>149</v>
      </c>
      <c r="E106" s="408"/>
      <c r="F106" s="408"/>
      <c r="G106" s="405"/>
      <c r="H106" s="405"/>
      <c r="I106" s="405"/>
      <c r="J106" s="405"/>
      <c r="K106" s="405"/>
      <c r="L106" s="397">
        <v>0.16800000000000001</v>
      </c>
      <c r="M106" s="385">
        <v>0.28000000000000003</v>
      </c>
      <c r="N106" s="508">
        <f>29*0.028</f>
        <v>0.81200000000000006</v>
      </c>
      <c r="O106" s="508">
        <f>0.028*39</f>
        <v>1.0920000000000001</v>
      </c>
      <c r="P106" s="508">
        <f>0.028*43</f>
        <v>1.204</v>
      </c>
      <c r="Q106" s="508">
        <f>0.028*46</f>
        <v>1.288</v>
      </c>
      <c r="R106" s="414">
        <v>0.46</v>
      </c>
      <c r="S106" s="889" t="s">
        <v>571</v>
      </c>
      <c r="T106" s="407"/>
      <c r="U106" s="407"/>
      <c r="V106" s="407"/>
      <c r="W106" s="407"/>
      <c r="X106" s="407"/>
      <c r="Y106" s="397">
        <v>0.16800000000000001</v>
      </c>
      <c r="Z106" s="385">
        <v>0.28000000000000003</v>
      </c>
      <c r="AA106" s="385">
        <f>29*0.028</f>
        <v>0.81200000000000006</v>
      </c>
      <c r="AB106" s="508">
        <f>0.028*39</f>
        <v>1.0920000000000001</v>
      </c>
      <c r="AC106" s="508">
        <f>0.028*43</f>
        <v>1.204</v>
      </c>
      <c r="AD106" s="508">
        <f>0.028*46</f>
        <v>1.288</v>
      </c>
      <c r="AE106" s="414">
        <v>0.46</v>
      </c>
      <c r="AF106" s="889" t="s">
        <v>596</v>
      </c>
      <c r="AG106" s="882" t="s">
        <v>513</v>
      </c>
      <c r="AH106" s="882" t="s">
        <v>512</v>
      </c>
      <c r="AI106" s="1025" t="s">
        <v>671</v>
      </c>
      <c r="AJ106" s="1034" t="s">
        <v>672</v>
      </c>
      <c r="AK106" s="1029"/>
      <c r="AL106" s="1025" t="s">
        <v>673</v>
      </c>
      <c r="AM106" s="1025" t="s">
        <v>514</v>
      </c>
      <c r="AN106" s="1029"/>
      <c r="AO106" s="1027">
        <v>563172.78652489395</v>
      </c>
      <c r="AP106" s="1027">
        <v>258860.18234553499</v>
      </c>
      <c r="AQ106" s="1027">
        <v>304312.60417935997</v>
      </c>
      <c r="AR106" s="1025" t="s">
        <v>269</v>
      </c>
      <c r="AS106" s="1025" t="s">
        <v>269</v>
      </c>
      <c r="AT106" s="1025" t="s">
        <v>269</v>
      </c>
      <c r="AU106" s="1025" t="s">
        <v>269</v>
      </c>
      <c r="AV106" s="1025" t="s">
        <v>269</v>
      </c>
      <c r="AW106" s="1025" t="s">
        <v>269</v>
      </c>
      <c r="AX106" s="1025" t="s">
        <v>269</v>
      </c>
      <c r="AY106" s="1025" t="s">
        <v>269</v>
      </c>
      <c r="AZ106" s="1025"/>
    </row>
    <row r="107" spans="1:52" ht="20.100000000000001" customHeight="1" x14ac:dyDescent="0.25">
      <c r="A107" s="1076"/>
      <c r="B107" s="1006"/>
      <c r="C107" s="883"/>
      <c r="D107" s="388" t="s">
        <v>151</v>
      </c>
      <c r="E107" s="411"/>
      <c r="F107" s="411"/>
      <c r="G107" s="405"/>
      <c r="H107" s="405"/>
      <c r="I107" s="405"/>
      <c r="J107" s="405"/>
      <c r="K107" s="405"/>
      <c r="L107" s="407">
        <v>6572928</v>
      </c>
      <c r="M107" s="407">
        <v>9442870</v>
      </c>
      <c r="N107" s="390">
        <f>29*1053000</f>
        <v>30537000</v>
      </c>
      <c r="O107" s="390">
        <f>1053000*39</f>
        <v>41067000</v>
      </c>
      <c r="P107" s="390">
        <f>1053000*39</f>
        <v>41067000</v>
      </c>
      <c r="Q107" s="390">
        <f>1053000*46</f>
        <v>48438000</v>
      </c>
      <c r="R107" s="411">
        <f>1052286*53</f>
        <v>55771158</v>
      </c>
      <c r="S107" s="890"/>
      <c r="T107" s="407"/>
      <c r="U107" s="407"/>
      <c r="V107" s="407"/>
      <c r="W107" s="407"/>
      <c r="X107" s="407"/>
      <c r="Y107" s="407">
        <v>5536566</v>
      </c>
      <c r="Z107" s="407">
        <v>9442870</v>
      </c>
      <c r="AA107" s="407">
        <f>29*944000</f>
        <v>27376000</v>
      </c>
      <c r="AB107" s="390">
        <f>1007000*39</f>
        <v>39273000</v>
      </c>
      <c r="AC107" s="390">
        <f>1007000*43</f>
        <v>43301000</v>
      </c>
      <c r="AD107" s="390">
        <f>1007000*46</f>
        <v>46322000</v>
      </c>
      <c r="AE107" s="390">
        <f>1031290*53</f>
        <v>54658370</v>
      </c>
      <c r="AF107" s="890"/>
      <c r="AG107" s="902"/>
      <c r="AH107" s="883"/>
      <c r="AI107" s="1028"/>
      <c r="AJ107" s="1029"/>
      <c r="AK107" s="1029"/>
      <c r="AL107" s="1028"/>
      <c r="AM107" s="1028"/>
      <c r="AN107" s="1029"/>
      <c r="AO107" s="1030"/>
      <c r="AP107" s="1030"/>
      <c r="AQ107" s="1030"/>
      <c r="AR107" s="1028"/>
      <c r="AS107" s="1028"/>
      <c r="AT107" s="1028"/>
      <c r="AU107" s="1028"/>
      <c r="AV107" s="1028"/>
      <c r="AW107" s="1028"/>
      <c r="AX107" s="1028"/>
      <c r="AY107" s="1028"/>
      <c r="AZ107" s="1028"/>
    </row>
    <row r="108" spans="1:52" ht="20.100000000000001" customHeight="1" x14ac:dyDescent="0.25">
      <c r="A108" s="1076"/>
      <c r="B108" s="1006"/>
      <c r="C108" s="883"/>
      <c r="D108" s="394" t="s">
        <v>153</v>
      </c>
      <c r="E108" s="411"/>
      <c r="F108" s="411"/>
      <c r="G108" s="405"/>
      <c r="H108" s="405"/>
      <c r="I108" s="405"/>
      <c r="J108" s="405"/>
      <c r="K108" s="405"/>
      <c r="L108" s="397"/>
      <c r="M108" s="385"/>
      <c r="N108" s="405"/>
      <c r="O108" s="405"/>
      <c r="P108" s="405"/>
      <c r="Q108" s="406"/>
      <c r="R108" s="411"/>
      <c r="S108" s="890"/>
      <c r="T108" s="407"/>
      <c r="U108" s="407"/>
      <c r="V108" s="407"/>
      <c r="W108" s="407"/>
      <c r="X108" s="407"/>
      <c r="Y108" s="397"/>
      <c r="Z108" s="385"/>
      <c r="AA108" s="409"/>
      <c r="AB108" s="1033"/>
      <c r="AC108" s="1033"/>
      <c r="AD108" s="1033"/>
      <c r="AE108" s="390"/>
      <c r="AF108" s="890"/>
      <c r="AG108" s="902"/>
      <c r="AH108" s="883"/>
      <c r="AI108" s="1028"/>
      <c r="AJ108" s="1029"/>
      <c r="AK108" s="1029"/>
      <c r="AL108" s="1028"/>
      <c r="AM108" s="1028"/>
      <c r="AN108" s="1029"/>
      <c r="AO108" s="1030"/>
      <c r="AP108" s="1030"/>
      <c r="AQ108" s="1030"/>
      <c r="AR108" s="1028"/>
      <c r="AS108" s="1028"/>
      <c r="AT108" s="1028"/>
      <c r="AU108" s="1028"/>
      <c r="AV108" s="1028"/>
      <c r="AW108" s="1028"/>
      <c r="AX108" s="1028"/>
      <c r="AY108" s="1028"/>
      <c r="AZ108" s="1028"/>
    </row>
    <row r="109" spans="1:52" ht="20.100000000000001" customHeight="1" x14ac:dyDescent="0.25">
      <c r="A109" s="1076"/>
      <c r="B109" s="1006"/>
      <c r="C109" s="883"/>
      <c r="D109" s="388" t="s">
        <v>154</v>
      </c>
      <c r="E109" s="411"/>
      <c r="F109" s="411"/>
      <c r="G109" s="405"/>
      <c r="H109" s="405"/>
      <c r="I109" s="405"/>
      <c r="J109" s="405"/>
      <c r="K109" s="405"/>
      <c r="L109" s="397"/>
      <c r="M109" s="385"/>
      <c r="N109" s="405"/>
      <c r="O109" s="405"/>
      <c r="P109" s="405"/>
      <c r="Q109" s="406"/>
      <c r="R109" s="411"/>
      <c r="S109" s="890"/>
      <c r="T109" s="407"/>
      <c r="U109" s="407"/>
      <c r="V109" s="407"/>
      <c r="W109" s="407"/>
      <c r="X109" s="407"/>
      <c r="Y109" s="397"/>
      <c r="Z109" s="385"/>
      <c r="AA109" s="409"/>
      <c r="AB109" s="1033"/>
      <c r="AC109" s="1033"/>
      <c r="AD109" s="1033"/>
      <c r="AE109" s="405"/>
      <c r="AF109" s="890"/>
      <c r="AG109" s="902"/>
      <c r="AH109" s="883"/>
      <c r="AI109" s="1028"/>
      <c r="AJ109" s="1029"/>
      <c r="AK109" s="1029"/>
      <c r="AL109" s="1028"/>
      <c r="AM109" s="1028"/>
      <c r="AN109" s="1029"/>
      <c r="AO109" s="1030"/>
      <c r="AP109" s="1030"/>
      <c r="AQ109" s="1030"/>
      <c r="AR109" s="1028"/>
      <c r="AS109" s="1028"/>
      <c r="AT109" s="1028"/>
      <c r="AU109" s="1028"/>
      <c r="AV109" s="1028"/>
      <c r="AW109" s="1028"/>
      <c r="AX109" s="1028"/>
      <c r="AY109" s="1028"/>
      <c r="AZ109" s="1028"/>
    </row>
    <row r="110" spans="1:52" ht="20.100000000000001" customHeight="1" x14ac:dyDescent="0.25">
      <c r="A110" s="1076"/>
      <c r="B110" s="1006"/>
      <c r="C110" s="883"/>
      <c r="D110" s="394" t="s">
        <v>155</v>
      </c>
      <c r="E110" s="412"/>
      <c r="F110" s="412"/>
      <c r="G110" s="405"/>
      <c r="H110" s="405"/>
      <c r="I110" s="405"/>
      <c r="J110" s="405"/>
      <c r="K110" s="405"/>
      <c r="L110" s="397"/>
      <c r="M110" s="385"/>
      <c r="N110" s="405"/>
      <c r="O110" s="405"/>
      <c r="P110" s="405"/>
      <c r="Q110" s="406"/>
      <c r="R110" s="412"/>
      <c r="S110" s="890"/>
      <c r="T110" s="407"/>
      <c r="U110" s="407"/>
      <c r="V110" s="407"/>
      <c r="W110" s="407"/>
      <c r="X110" s="407"/>
      <c r="Y110" s="397"/>
      <c r="Z110" s="385"/>
      <c r="AA110" s="409"/>
      <c r="AB110" s="1033"/>
      <c r="AC110" s="1033"/>
      <c r="AD110" s="1033"/>
      <c r="AE110" s="402"/>
      <c r="AF110" s="890"/>
      <c r="AG110" s="902"/>
      <c r="AH110" s="883"/>
      <c r="AI110" s="1028"/>
      <c r="AJ110" s="1029"/>
      <c r="AK110" s="1029"/>
      <c r="AL110" s="1028"/>
      <c r="AM110" s="1028"/>
      <c r="AN110" s="1029"/>
      <c r="AO110" s="1030"/>
      <c r="AP110" s="1030"/>
      <c r="AQ110" s="1030"/>
      <c r="AR110" s="1028"/>
      <c r="AS110" s="1028"/>
      <c r="AT110" s="1028"/>
      <c r="AU110" s="1028"/>
      <c r="AV110" s="1028"/>
      <c r="AW110" s="1028"/>
      <c r="AX110" s="1028"/>
      <c r="AY110" s="1028"/>
      <c r="AZ110" s="1028"/>
    </row>
    <row r="111" spans="1:52" ht="20.100000000000001" customHeight="1" thickBot="1" x14ac:dyDescent="0.3">
      <c r="A111" s="1076"/>
      <c r="B111" s="1006"/>
      <c r="C111" s="884"/>
      <c r="D111" s="403" t="s">
        <v>156</v>
      </c>
      <c r="E111" s="404"/>
      <c r="F111" s="404"/>
      <c r="G111" s="405"/>
      <c r="H111" s="405"/>
      <c r="I111" s="405"/>
      <c r="J111" s="405"/>
      <c r="K111" s="405"/>
      <c r="L111" s="397"/>
      <c r="M111" s="385"/>
      <c r="N111" s="405"/>
      <c r="O111" s="405"/>
      <c r="P111" s="405"/>
      <c r="Q111" s="406"/>
      <c r="R111" s="404"/>
      <c r="S111" s="891"/>
      <c r="T111" s="407"/>
      <c r="U111" s="407"/>
      <c r="V111" s="407"/>
      <c r="W111" s="407"/>
      <c r="X111" s="407"/>
      <c r="Y111" s="397"/>
      <c r="Z111" s="385"/>
      <c r="AA111" s="409"/>
      <c r="AB111" s="1033"/>
      <c r="AC111" s="1033"/>
      <c r="AD111" s="1033"/>
      <c r="AE111" s="405"/>
      <c r="AF111" s="891"/>
      <c r="AG111" s="903"/>
      <c r="AH111" s="884"/>
      <c r="AI111" s="1028"/>
      <c r="AJ111" s="1035"/>
      <c r="AK111" s="1029"/>
      <c r="AL111" s="1028"/>
      <c r="AM111" s="1028"/>
      <c r="AN111" s="1029"/>
      <c r="AO111" s="1030"/>
      <c r="AP111" s="1030"/>
      <c r="AQ111" s="1030"/>
      <c r="AR111" s="1028"/>
      <c r="AS111" s="1028"/>
      <c r="AT111" s="1028"/>
      <c r="AU111" s="1028"/>
      <c r="AV111" s="1028"/>
      <c r="AW111" s="1028"/>
      <c r="AX111" s="1028"/>
      <c r="AY111" s="1028"/>
      <c r="AZ111" s="1028"/>
    </row>
    <row r="112" spans="1:52" ht="20.100000000000001" customHeight="1" x14ac:dyDescent="0.25">
      <c r="A112" s="1076"/>
      <c r="B112" s="1006"/>
      <c r="C112" s="882" t="s">
        <v>730</v>
      </c>
      <c r="D112" s="379" t="s">
        <v>149</v>
      </c>
      <c r="E112" s="408"/>
      <c r="F112" s="408"/>
      <c r="G112" s="405"/>
      <c r="H112" s="405"/>
      <c r="I112" s="405"/>
      <c r="J112" s="405"/>
      <c r="K112" s="405"/>
      <c r="L112" s="397">
        <v>5.6000000000000001E-2</v>
      </c>
      <c r="M112" s="385">
        <v>5.6000000000000001E-2</v>
      </c>
      <c r="N112" s="508">
        <f>4*0.028</f>
        <v>0.112</v>
      </c>
      <c r="O112" s="508">
        <f>0.028*4</f>
        <v>0.112</v>
      </c>
      <c r="P112" s="508">
        <f>0.028*4</f>
        <v>0.112</v>
      </c>
      <c r="Q112" s="508">
        <f>0.028*5</f>
        <v>0.14000000000000001</v>
      </c>
      <c r="R112" s="414">
        <f>0.0275*7</f>
        <v>0.1925</v>
      </c>
      <c r="S112" s="889" t="s">
        <v>572</v>
      </c>
      <c r="T112" s="407"/>
      <c r="U112" s="407"/>
      <c r="V112" s="407"/>
      <c r="W112" s="407"/>
      <c r="X112" s="407"/>
      <c r="Y112" s="397">
        <v>5.6000000000000001E-2</v>
      </c>
      <c r="Z112" s="385">
        <v>5.6000000000000001E-2</v>
      </c>
      <c r="AA112" s="385">
        <f>4*0.028</f>
        <v>0.112</v>
      </c>
      <c r="AB112" s="385">
        <f>0.028*4</f>
        <v>0.112</v>
      </c>
      <c r="AC112" s="385">
        <f>0.028*4</f>
        <v>0.112</v>
      </c>
      <c r="AD112" s="385">
        <f>0.028*5</f>
        <v>0.14000000000000001</v>
      </c>
      <c r="AE112" s="398">
        <f>0.0275*7</f>
        <v>0.1925</v>
      </c>
      <c r="AF112" s="889" t="s">
        <v>597</v>
      </c>
      <c r="AG112" s="882" t="s">
        <v>501</v>
      </c>
      <c r="AH112" s="882" t="s">
        <v>289</v>
      </c>
      <c r="AI112" s="1025" t="s">
        <v>674</v>
      </c>
      <c r="AJ112" s="1034" t="s">
        <v>675</v>
      </c>
      <c r="AK112" s="1029"/>
      <c r="AL112" s="1025" t="s">
        <v>676</v>
      </c>
      <c r="AM112" s="1025" t="s">
        <v>515</v>
      </c>
      <c r="AN112" s="1029"/>
      <c r="AO112" s="1027">
        <v>376894.604907309</v>
      </c>
      <c r="AP112" s="1027">
        <v>183453.26481399301</v>
      </c>
      <c r="AQ112" s="1027">
        <v>193441.34009331701</v>
      </c>
      <c r="AR112" s="1025" t="s">
        <v>269</v>
      </c>
      <c r="AS112" s="1025" t="s">
        <v>269</v>
      </c>
      <c r="AT112" s="1025" t="s">
        <v>269</v>
      </c>
      <c r="AU112" s="1025" t="s">
        <v>269</v>
      </c>
      <c r="AV112" s="1025" t="s">
        <v>269</v>
      </c>
      <c r="AW112" s="1025" t="s">
        <v>269</v>
      </c>
      <c r="AX112" s="1025" t="s">
        <v>269</v>
      </c>
      <c r="AY112" s="1025" t="s">
        <v>269</v>
      </c>
      <c r="AZ112" s="1025"/>
    </row>
    <row r="113" spans="1:52" ht="20.100000000000001" customHeight="1" x14ac:dyDescent="0.25">
      <c r="A113" s="1076"/>
      <c r="B113" s="1006"/>
      <c r="C113" s="883"/>
      <c r="D113" s="388" t="s">
        <v>151</v>
      </c>
      <c r="E113" s="411"/>
      <c r="F113" s="411"/>
      <c r="G113" s="405"/>
      <c r="H113" s="405"/>
      <c r="I113" s="405"/>
      <c r="J113" s="405"/>
      <c r="K113" s="405"/>
      <c r="L113" s="407">
        <v>2190976</v>
      </c>
      <c r="M113" s="407">
        <v>3777148</v>
      </c>
      <c r="N113" s="390">
        <f>4*1053000</f>
        <v>4212000</v>
      </c>
      <c r="O113" s="390">
        <v>4212000</v>
      </c>
      <c r="P113" s="390">
        <v>4212000</v>
      </c>
      <c r="Q113" s="390">
        <f>1053000*5</f>
        <v>5265000</v>
      </c>
      <c r="R113" s="411">
        <f>1052286*7</f>
        <v>7366002</v>
      </c>
      <c r="S113" s="890"/>
      <c r="T113" s="407"/>
      <c r="U113" s="407"/>
      <c r="V113" s="407"/>
      <c r="W113" s="407"/>
      <c r="X113" s="407"/>
      <c r="Y113" s="407">
        <v>1845522</v>
      </c>
      <c r="Z113" s="407">
        <v>3777148</v>
      </c>
      <c r="AA113" s="407">
        <f>4*944000</f>
        <v>3776000</v>
      </c>
      <c r="AB113" s="407">
        <f>1007000*4</f>
        <v>4028000</v>
      </c>
      <c r="AC113" s="407">
        <f>1007000*4</f>
        <v>4028000</v>
      </c>
      <c r="AD113" s="407">
        <f>1007000*5</f>
        <v>5035000</v>
      </c>
      <c r="AE113" s="390">
        <f>1031290*7</f>
        <v>7219030</v>
      </c>
      <c r="AF113" s="890"/>
      <c r="AG113" s="902"/>
      <c r="AH113" s="883"/>
      <c r="AI113" s="1028"/>
      <c r="AJ113" s="1029"/>
      <c r="AK113" s="1029"/>
      <c r="AL113" s="1028"/>
      <c r="AM113" s="1028"/>
      <c r="AN113" s="1029"/>
      <c r="AO113" s="1030"/>
      <c r="AP113" s="1030"/>
      <c r="AQ113" s="1030"/>
      <c r="AR113" s="1028"/>
      <c r="AS113" s="1028"/>
      <c r="AT113" s="1028"/>
      <c r="AU113" s="1028"/>
      <c r="AV113" s="1028"/>
      <c r="AW113" s="1028"/>
      <c r="AX113" s="1028"/>
      <c r="AY113" s="1028"/>
      <c r="AZ113" s="1028"/>
    </row>
    <row r="114" spans="1:52" ht="20.100000000000001" customHeight="1" x14ac:dyDescent="0.25">
      <c r="A114" s="1076"/>
      <c r="B114" s="1006"/>
      <c r="C114" s="883"/>
      <c r="D114" s="394" t="s">
        <v>153</v>
      </c>
      <c r="E114" s="411"/>
      <c r="F114" s="411"/>
      <c r="G114" s="405"/>
      <c r="H114" s="405"/>
      <c r="I114" s="405"/>
      <c r="J114" s="405"/>
      <c r="K114" s="405"/>
      <c r="L114" s="397"/>
      <c r="M114" s="385"/>
      <c r="N114" s="405"/>
      <c r="O114" s="405"/>
      <c r="P114" s="405"/>
      <c r="Q114" s="406"/>
      <c r="R114" s="411"/>
      <c r="S114" s="890"/>
      <c r="T114" s="407"/>
      <c r="U114" s="407"/>
      <c r="V114" s="407"/>
      <c r="W114" s="407"/>
      <c r="X114" s="407"/>
      <c r="Y114" s="397"/>
      <c r="Z114" s="385"/>
      <c r="AA114" s="409"/>
      <c r="AB114" s="1033"/>
      <c r="AC114" s="1033"/>
      <c r="AD114" s="1033"/>
      <c r="AE114" s="405"/>
      <c r="AF114" s="890"/>
      <c r="AG114" s="902"/>
      <c r="AH114" s="883"/>
      <c r="AI114" s="1028"/>
      <c r="AJ114" s="1029"/>
      <c r="AK114" s="1029"/>
      <c r="AL114" s="1028"/>
      <c r="AM114" s="1028"/>
      <c r="AN114" s="1029"/>
      <c r="AO114" s="1030"/>
      <c r="AP114" s="1030"/>
      <c r="AQ114" s="1030"/>
      <c r="AR114" s="1028"/>
      <c r="AS114" s="1028"/>
      <c r="AT114" s="1028"/>
      <c r="AU114" s="1028"/>
      <c r="AV114" s="1028"/>
      <c r="AW114" s="1028"/>
      <c r="AX114" s="1028"/>
      <c r="AY114" s="1028"/>
      <c r="AZ114" s="1028"/>
    </row>
    <row r="115" spans="1:52" ht="20.100000000000001" customHeight="1" x14ac:dyDescent="0.25">
      <c r="A115" s="1076"/>
      <c r="B115" s="1006"/>
      <c r="C115" s="883"/>
      <c r="D115" s="388" t="s">
        <v>154</v>
      </c>
      <c r="E115" s="411"/>
      <c r="F115" s="411"/>
      <c r="G115" s="405"/>
      <c r="H115" s="405"/>
      <c r="I115" s="405"/>
      <c r="J115" s="405"/>
      <c r="K115" s="405"/>
      <c r="L115" s="390"/>
      <c r="M115" s="409"/>
      <c r="N115" s="405"/>
      <c r="O115" s="405"/>
      <c r="P115" s="405"/>
      <c r="Q115" s="406">
        <f>909-772</f>
        <v>137</v>
      </c>
      <c r="R115" s="411"/>
      <c r="S115" s="890"/>
      <c r="T115" s="407"/>
      <c r="U115" s="407"/>
      <c r="V115" s="407"/>
      <c r="W115" s="407"/>
      <c r="X115" s="407"/>
      <c r="Y115" s="397"/>
      <c r="Z115" s="409"/>
      <c r="AA115" s="409"/>
      <c r="AB115" s="1033"/>
      <c r="AC115" s="1033"/>
      <c r="AD115" s="1033"/>
      <c r="AE115" s="405"/>
      <c r="AF115" s="890"/>
      <c r="AG115" s="902"/>
      <c r="AH115" s="883"/>
      <c r="AI115" s="1028"/>
      <c r="AJ115" s="1029"/>
      <c r="AK115" s="1029"/>
      <c r="AL115" s="1028"/>
      <c r="AM115" s="1028"/>
      <c r="AN115" s="1029"/>
      <c r="AO115" s="1030"/>
      <c r="AP115" s="1030"/>
      <c r="AQ115" s="1030"/>
      <c r="AR115" s="1028"/>
      <c r="AS115" s="1028"/>
      <c r="AT115" s="1028"/>
      <c r="AU115" s="1028"/>
      <c r="AV115" s="1028"/>
      <c r="AW115" s="1028"/>
      <c r="AX115" s="1028"/>
      <c r="AY115" s="1028"/>
      <c r="AZ115" s="1028"/>
    </row>
    <row r="116" spans="1:52" ht="20.100000000000001" customHeight="1" x14ac:dyDescent="0.25">
      <c r="A116" s="1076"/>
      <c r="B116" s="1006"/>
      <c r="C116" s="883"/>
      <c r="D116" s="394" t="s">
        <v>155</v>
      </c>
      <c r="E116" s="412"/>
      <c r="F116" s="412"/>
      <c r="G116" s="405"/>
      <c r="H116" s="405"/>
      <c r="I116" s="405"/>
      <c r="J116" s="405"/>
      <c r="K116" s="405"/>
      <c r="L116" s="405"/>
      <c r="M116" s="409"/>
      <c r="N116" s="405"/>
      <c r="O116" s="405"/>
      <c r="P116" s="405"/>
      <c r="Q116" s="406"/>
      <c r="R116" s="412"/>
      <c r="S116" s="890"/>
      <c r="T116" s="407"/>
      <c r="U116" s="407"/>
      <c r="V116" s="407"/>
      <c r="W116" s="407"/>
      <c r="X116" s="407"/>
      <c r="Y116" s="397"/>
      <c r="Z116" s="409"/>
      <c r="AA116" s="409"/>
      <c r="AB116" s="1033"/>
      <c r="AC116" s="1033"/>
      <c r="AD116" s="1033"/>
      <c r="AE116" s="402"/>
      <c r="AF116" s="890"/>
      <c r="AG116" s="902"/>
      <c r="AH116" s="883"/>
      <c r="AI116" s="1028"/>
      <c r="AJ116" s="1029"/>
      <c r="AK116" s="1029"/>
      <c r="AL116" s="1028"/>
      <c r="AM116" s="1028"/>
      <c r="AN116" s="1029"/>
      <c r="AO116" s="1030"/>
      <c r="AP116" s="1030"/>
      <c r="AQ116" s="1030"/>
      <c r="AR116" s="1028"/>
      <c r="AS116" s="1028"/>
      <c r="AT116" s="1028"/>
      <c r="AU116" s="1028"/>
      <c r="AV116" s="1028"/>
      <c r="AW116" s="1028"/>
      <c r="AX116" s="1028"/>
      <c r="AY116" s="1028"/>
      <c r="AZ116" s="1028"/>
    </row>
    <row r="117" spans="1:52" ht="20.100000000000001" customHeight="1" thickBot="1" x14ac:dyDescent="0.3">
      <c r="A117" s="1076"/>
      <c r="B117" s="1006"/>
      <c r="C117" s="884"/>
      <c r="D117" s="403" t="s">
        <v>156</v>
      </c>
      <c r="E117" s="416"/>
      <c r="F117" s="416"/>
      <c r="G117" s="417"/>
      <c r="H117" s="417"/>
      <c r="I117" s="417"/>
      <c r="J117" s="417"/>
      <c r="K117" s="405"/>
      <c r="L117" s="405"/>
      <c r="M117" s="409"/>
      <c r="N117" s="405"/>
      <c r="O117" s="405"/>
      <c r="P117" s="405"/>
      <c r="Q117" s="406"/>
      <c r="R117" s="404"/>
      <c r="S117" s="891"/>
      <c r="T117" s="418"/>
      <c r="U117" s="418"/>
      <c r="V117" s="418"/>
      <c r="W117" s="418"/>
      <c r="X117" s="418"/>
      <c r="Y117" s="419"/>
      <c r="Z117" s="409"/>
      <c r="AA117" s="409"/>
      <c r="AB117" s="1033"/>
      <c r="AC117" s="1033"/>
      <c r="AD117" s="1033"/>
      <c r="AE117" s="405"/>
      <c r="AF117" s="891"/>
      <c r="AG117" s="903"/>
      <c r="AH117" s="884"/>
      <c r="AI117" s="1028"/>
      <c r="AJ117" s="1035"/>
      <c r="AK117" s="1035"/>
      <c r="AL117" s="1028"/>
      <c r="AM117" s="1028"/>
      <c r="AN117" s="1038"/>
      <c r="AO117" s="1030"/>
      <c r="AP117" s="1030"/>
      <c r="AQ117" s="1030"/>
      <c r="AR117" s="1028"/>
      <c r="AS117" s="1028"/>
      <c r="AT117" s="1028"/>
      <c r="AU117" s="1028"/>
      <c r="AV117" s="1028"/>
      <c r="AW117" s="1028"/>
      <c r="AX117" s="1028"/>
      <c r="AY117" s="1028"/>
      <c r="AZ117" s="1028"/>
    </row>
    <row r="118" spans="1:52" ht="20.100000000000001" customHeight="1" x14ac:dyDescent="0.25">
      <c r="A118" s="1076"/>
      <c r="B118" s="1006"/>
      <c r="C118" s="1007" t="s">
        <v>727</v>
      </c>
      <c r="D118" s="379" t="s">
        <v>149</v>
      </c>
      <c r="E118" s="420">
        <v>25</v>
      </c>
      <c r="F118" s="420">
        <v>25</v>
      </c>
      <c r="G118" s="421">
        <v>25</v>
      </c>
      <c r="H118" s="421">
        <v>25</v>
      </c>
      <c r="I118" s="421">
        <v>25</v>
      </c>
      <c r="J118" s="421">
        <v>25</v>
      </c>
      <c r="K118" s="421">
        <v>24.999999999999996</v>
      </c>
      <c r="L118" s="380">
        <v>19.736000000000001</v>
      </c>
      <c r="M118" s="387">
        <v>5.6740000000000004</v>
      </c>
      <c r="N118" s="380">
        <v>7.42</v>
      </c>
      <c r="O118" s="380">
        <f>0.028*245+0.05</f>
        <v>6.91</v>
      </c>
      <c r="P118" s="380">
        <f>0.028*166+0.05</f>
        <v>4.6979999999999995</v>
      </c>
      <c r="Q118" s="380">
        <f>0.028*137+0.028*21</f>
        <v>4.4240000000000004</v>
      </c>
      <c r="R118" s="408">
        <f>0.0276*29</f>
        <v>0.8004</v>
      </c>
      <c r="S118" s="889" t="s">
        <v>581</v>
      </c>
      <c r="T118" s="420">
        <v>0</v>
      </c>
      <c r="U118" s="421">
        <v>4</v>
      </c>
      <c r="V118" s="421">
        <v>6</v>
      </c>
      <c r="W118" s="421">
        <v>7.68</v>
      </c>
      <c r="X118" s="423">
        <v>8.8699999999999992</v>
      </c>
      <c r="Y118" s="397">
        <v>5.6879999999999997</v>
      </c>
      <c r="Z118" s="387">
        <v>5.6740000000000004</v>
      </c>
      <c r="AA118" s="423">
        <v>4.12</v>
      </c>
      <c r="AB118" s="423">
        <f>0.028*27</f>
        <v>0.75600000000000001</v>
      </c>
      <c r="AC118" s="423">
        <f>0.028*30</f>
        <v>0.84</v>
      </c>
      <c r="AD118" s="423">
        <v>1.25</v>
      </c>
      <c r="AE118" s="398">
        <v>0.55000000000000004</v>
      </c>
      <c r="AF118" s="889" t="s">
        <v>598</v>
      </c>
      <c r="AG118" s="889"/>
      <c r="AH118" s="1007" t="s">
        <v>290</v>
      </c>
      <c r="AI118" s="1025" t="s">
        <v>293</v>
      </c>
      <c r="AJ118" s="1025" t="s">
        <v>90</v>
      </c>
      <c r="AK118" s="1025" t="s">
        <v>90</v>
      </c>
      <c r="AL118" s="1025" t="s">
        <v>90</v>
      </c>
      <c r="AM118" s="1034" t="s">
        <v>90</v>
      </c>
      <c r="AN118" s="1039" t="s">
        <v>90</v>
      </c>
      <c r="AO118" s="1040">
        <v>7804660</v>
      </c>
      <c r="AP118" s="1040">
        <v>3721767</v>
      </c>
      <c r="AQ118" s="1041">
        <v>4082893</v>
      </c>
      <c r="AR118" s="1041" t="s">
        <v>90</v>
      </c>
      <c r="AS118" s="1039" t="s">
        <v>90</v>
      </c>
      <c r="AT118" s="1039" t="s">
        <v>90</v>
      </c>
      <c r="AU118" s="1039" t="s">
        <v>90</v>
      </c>
      <c r="AV118" s="1039" t="s">
        <v>90</v>
      </c>
      <c r="AW118" s="1039" t="s">
        <v>90</v>
      </c>
      <c r="AX118" s="1039" t="s">
        <v>90</v>
      </c>
      <c r="AY118" s="1004" t="s">
        <v>90</v>
      </c>
      <c r="AZ118" s="1007"/>
    </row>
    <row r="119" spans="1:52" ht="20.100000000000001" customHeight="1" x14ac:dyDescent="0.25">
      <c r="A119" s="1076"/>
      <c r="B119" s="1006"/>
      <c r="C119" s="1007"/>
      <c r="D119" s="388" t="s">
        <v>151</v>
      </c>
      <c r="E119" s="392">
        <v>881587000</v>
      </c>
      <c r="F119" s="392">
        <v>881587000</v>
      </c>
      <c r="G119" s="392">
        <v>881587000</v>
      </c>
      <c r="H119" s="392">
        <v>881587000</v>
      </c>
      <c r="I119" s="392">
        <v>881587000</v>
      </c>
      <c r="J119" s="392">
        <v>881587000</v>
      </c>
      <c r="K119" s="392">
        <v>976080000</v>
      </c>
      <c r="L119" s="392">
        <v>770128256</v>
      </c>
      <c r="M119" s="413">
        <v>722066797</v>
      </c>
      <c r="N119" s="392">
        <v>379385000</v>
      </c>
      <c r="O119" s="381">
        <f>1053000*245+10835000</f>
        <v>268820000</v>
      </c>
      <c r="P119" s="381">
        <f>1053000*245+10835000</f>
        <v>268820000</v>
      </c>
      <c r="Q119" s="381">
        <f>1053000*149+404000</f>
        <v>157301000</v>
      </c>
      <c r="R119" s="411">
        <f>1052287*29-3</f>
        <v>30516320</v>
      </c>
      <c r="S119" s="890"/>
      <c r="T119" s="392">
        <v>0</v>
      </c>
      <c r="U119" s="392">
        <v>274270000</v>
      </c>
      <c r="V119" s="392">
        <v>623407000</v>
      </c>
      <c r="W119" s="392">
        <v>673574000</v>
      </c>
      <c r="X119" s="413">
        <v>673574000</v>
      </c>
      <c r="Y119" s="413">
        <v>648700932</v>
      </c>
      <c r="Z119" s="413">
        <v>587346797</v>
      </c>
      <c r="AA119" s="413">
        <f>(25*944000)+327823426</f>
        <v>351423426</v>
      </c>
      <c r="AB119" s="413">
        <v>247041267</v>
      </c>
      <c r="AC119" s="413">
        <v>189503000</v>
      </c>
      <c r="AD119" s="413">
        <v>129222000</v>
      </c>
      <c r="AE119" s="390">
        <f>1031290*29+423</f>
        <v>29907833</v>
      </c>
      <c r="AF119" s="890"/>
      <c r="AG119" s="899"/>
      <c r="AH119" s="1007"/>
      <c r="AI119" s="1028"/>
      <c r="AJ119" s="1028"/>
      <c r="AK119" s="1028"/>
      <c r="AL119" s="1028"/>
      <c r="AM119" s="1029"/>
      <c r="AN119" s="1042"/>
      <c r="AO119" s="1043"/>
      <c r="AP119" s="1043"/>
      <c r="AQ119" s="1043"/>
      <c r="AR119" s="1043"/>
      <c r="AS119" s="1042"/>
      <c r="AT119" s="1042"/>
      <c r="AU119" s="1042"/>
      <c r="AV119" s="1042"/>
      <c r="AW119" s="1042"/>
      <c r="AX119" s="1042"/>
      <c r="AY119" s="1004"/>
      <c r="AZ119" s="1007"/>
    </row>
    <row r="120" spans="1:52" ht="20.100000000000001" customHeight="1" x14ac:dyDescent="0.25">
      <c r="A120" s="1076"/>
      <c r="B120" s="1006"/>
      <c r="C120" s="1007"/>
      <c r="D120" s="394" t="s">
        <v>153</v>
      </c>
      <c r="E120" s="424">
        <v>0.87</v>
      </c>
      <c r="F120" s="424">
        <v>0.87</v>
      </c>
      <c r="G120" s="424">
        <v>0.87</v>
      </c>
      <c r="H120" s="424">
        <v>0.87</v>
      </c>
      <c r="I120" s="424">
        <v>0.87</v>
      </c>
      <c r="J120" s="424">
        <v>0.87</v>
      </c>
      <c r="K120" s="424">
        <v>0.87</v>
      </c>
      <c r="L120" s="424">
        <v>0.87</v>
      </c>
      <c r="M120" s="423">
        <v>0.87</v>
      </c>
      <c r="N120" s="424">
        <v>0.87</v>
      </c>
      <c r="O120" s="424">
        <v>0.87</v>
      </c>
      <c r="P120" s="424">
        <v>0.87</v>
      </c>
      <c r="Q120" s="424">
        <v>0.87</v>
      </c>
      <c r="R120" s="414">
        <v>0.87</v>
      </c>
      <c r="S120" s="890"/>
      <c r="T120" s="424">
        <v>0.87</v>
      </c>
      <c r="U120" s="424">
        <v>0.87</v>
      </c>
      <c r="V120" s="424">
        <v>0.87</v>
      </c>
      <c r="W120" s="424">
        <v>0.87</v>
      </c>
      <c r="X120" s="423">
        <v>0.87</v>
      </c>
      <c r="Y120" s="423">
        <v>0.87</v>
      </c>
      <c r="Z120" s="423">
        <v>0.87</v>
      </c>
      <c r="AA120" s="423">
        <v>0.87</v>
      </c>
      <c r="AB120" s="423">
        <v>0.87</v>
      </c>
      <c r="AC120" s="423">
        <v>0.87</v>
      </c>
      <c r="AD120" s="423">
        <v>0.87</v>
      </c>
      <c r="AE120" s="398">
        <v>0.87</v>
      </c>
      <c r="AF120" s="890"/>
      <c r="AG120" s="899"/>
      <c r="AH120" s="1007"/>
      <c r="AI120" s="1028"/>
      <c r="AJ120" s="1028"/>
      <c r="AK120" s="1028"/>
      <c r="AL120" s="1028"/>
      <c r="AM120" s="1029"/>
      <c r="AN120" s="1042"/>
      <c r="AO120" s="1043"/>
      <c r="AP120" s="1043"/>
      <c r="AQ120" s="1043"/>
      <c r="AR120" s="1043"/>
      <c r="AS120" s="1042"/>
      <c r="AT120" s="1042"/>
      <c r="AU120" s="1042"/>
      <c r="AV120" s="1042"/>
      <c r="AW120" s="1042"/>
      <c r="AX120" s="1042"/>
      <c r="AY120" s="1004"/>
      <c r="AZ120" s="1007"/>
    </row>
    <row r="121" spans="1:52" ht="20.100000000000001" customHeight="1" x14ac:dyDescent="0.25">
      <c r="A121" s="1076"/>
      <c r="B121" s="1006"/>
      <c r="C121" s="1007"/>
      <c r="D121" s="388" t="s">
        <v>154</v>
      </c>
      <c r="E121" s="392">
        <v>289222933</v>
      </c>
      <c r="F121" s="392">
        <v>289222933</v>
      </c>
      <c r="G121" s="425">
        <v>289222933</v>
      </c>
      <c r="H121" s="425">
        <v>289222933</v>
      </c>
      <c r="I121" s="425">
        <v>289222933</v>
      </c>
      <c r="J121" s="425">
        <v>289222933</v>
      </c>
      <c r="K121" s="425">
        <v>289222933</v>
      </c>
      <c r="L121" s="425">
        <v>289222933</v>
      </c>
      <c r="M121" s="413">
        <v>288678333</v>
      </c>
      <c r="N121" s="381">
        <f>289222933-544600</f>
        <v>288678333</v>
      </c>
      <c r="O121" s="381">
        <v>288678333</v>
      </c>
      <c r="P121" s="381">
        <v>288678333</v>
      </c>
      <c r="Q121" s="381">
        <v>288678333</v>
      </c>
      <c r="R121" s="411">
        <v>288678333</v>
      </c>
      <c r="S121" s="890"/>
      <c r="T121" s="392">
        <v>61199300</v>
      </c>
      <c r="U121" s="425">
        <v>180669159.34</v>
      </c>
      <c r="V121" s="425">
        <v>269954926</v>
      </c>
      <c r="W121" s="425">
        <v>272709493</v>
      </c>
      <c r="X121" s="423">
        <v>288678333</v>
      </c>
      <c r="Y121" s="413">
        <v>288678333</v>
      </c>
      <c r="Z121" s="413">
        <v>288678333</v>
      </c>
      <c r="AA121" s="413">
        <v>288678333</v>
      </c>
      <c r="AB121" s="413">
        <v>288678333</v>
      </c>
      <c r="AC121" s="413">
        <v>288678333</v>
      </c>
      <c r="AD121" s="413">
        <v>288678333</v>
      </c>
      <c r="AE121" s="390">
        <v>288678333</v>
      </c>
      <c r="AF121" s="890"/>
      <c r="AG121" s="899"/>
      <c r="AH121" s="1007"/>
      <c r="AI121" s="1028"/>
      <c r="AJ121" s="1028"/>
      <c r="AK121" s="1028"/>
      <c r="AL121" s="1028"/>
      <c r="AM121" s="1029"/>
      <c r="AN121" s="1042"/>
      <c r="AO121" s="1043"/>
      <c r="AP121" s="1043"/>
      <c r="AQ121" s="1043"/>
      <c r="AR121" s="1043"/>
      <c r="AS121" s="1042"/>
      <c r="AT121" s="1042"/>
      <c r="AU121" s="1042"/>
      <c r="AV121" s="1042"/>
      <c r="AW121" s="1042"/>
      <c r="AX121" s="1042"/>
      <c r="AY121" s="1004"/>
      <c r="AZ121" s="1007"/>
    </row>
    <row r="122" spans="1:52" ht="20.100000000000001" customHeight="1" x14ac:dyDescent="0.25">
      <c r="A122" s="1076"/>
      <c r="B122" s="1006"/>
      <c r="C122" s="1007"/>
      <c r="D122" s="394" t="s">
        <v>155</v>
      </c>
      <c r="E122" s="426">
        <f>E118+E120</f>
        <v>25.87</v>
      </c>
      <c r="F122" s="426">
        <f>F118+F120</f>
        <v>25.87</v>
      </c>
      <c r="G122" s="427">
        <v>25.87</v>
      </c>
      <c r="H122" s="427">
        <v>25.87</v>
      </c>
      <c r="I122" s="427">
        <v>25.87</v>
      </c>
      <c r="J122" s="427">
        <v>25.87</v>
      </c>
      <c r="K122" s="427">
        <v>25.869999999999997</v>
      </c>
      <c r="L122" s="426">
        <v>25.869999999999997</v>
      </c>
      <c r="M122" s="428">
        <f t="shared" ref="M122" si="0">M118+M120</f>
        <v>6.5440000000000005</v>
      </c>
      <c r="N122" s="509">
        <f>N118+N120</f>
        <v>8.2899999999999991</v>
      </c>
      <c r="O122" s="509">
        <f>O118+O120</f>
        <v>7.78</v>
      </c>
      <c r="P122" s="424">
        <f>P118+P120</f>
        <v>5.5679999999999996</v>
      </c>
      <c r="Q122" s="424">
        <f>Q118+Q120</f>
        <v>5.2940000000000005</v>
      </c>
      <c r="R122" s="414">
        <f>R118+R120</f>
        <v>1.6703999999999999</v>
      </c>
      <c r="S122" s="890"/>
      <c r="T122" s="426">
        <v>0.87</v>
      </c>
      <c r="U122" s="427">
        <f>U118+U120</f>
        <v>4.87</v>
      </c>
      <c r="V122" s="427">
        <f>V118+V120</f>
        <v>6.87</v>
      </c>
      <c r="W122" s="427">
        <v>8.5499999999999989</v>
      </c>
      <c r="X122" s="428">
        <v>9.74</v>
      </c>
      <c r="Y122" s="428">
        <f>Y118+Y120</f>
        <v>6.5579999999999998</v>
      </c>
      <c r="Z122" s="428">
        <f t="shared" ref="Z122:AB122" si="1">Z118+Z120</f>
        <v>6.5440000000000005</v>
      </c>
      <c r="AA122" s="428">
        <f t="shared" si="1"/>
        <v>4.99</v>
      </c>
      <c r="AB122" s="428">
        <f t="shared" si="1"/>
        <v>1.6259999999999999</v>
      </c>
      <c r="AC122" s="428">
        <f t="shared" ref="AC122" si="2">AC118+AC120</f>
        <v>1.71</v>
      </c>
      <c r="AD122" s="423">
        <f t="shared" ref="AD122" si="3">AD118+AD120</f>
        <v>2.12</v>
      </c>
      <c r="AE122" s="398">
        <f>AE118+AE120</f>
        <v>1.42</v>
      </c>
      <c r="AF122" s="890"/>
      <c r="AG122" s="899"/>
      <c r="AH122" s="1007"/>
      <c r="AI122" s="1028"/>
      <c r="AJ122" s="1028"/>
      <c r="AK122" s="1028"/>
      <c r="AL122" s="1028"/>
      <c r="AM122" s="1029"/>
      <c r="AN122" s="1042"/>
      <c r="AO122" s="1043"/>
      <c r="AP122" s="1043"/>
      <c r="AQ122" s="1043"/>
      <c r="AR122" s="1043"/>
      <c r="AS122" s="1042"/>
      <c r="AT122" s="1042"/>
      <c r="AU122" s="1042"/>
      <c r="AV122" s="1042"/>
      <c r="AW122" s="1042"/>
      <c r="AX122" s="1042"/>
      <c r="AY122" s="1004"/>
      <c r="AZ122" s="1007"/>
    </row>
    <row r="123" spans="1:52" ht="20.100000000000001" customHeight="1" thickBot="1" x14ac:dyDescent="0.3">
      <c r="A123" s="1076"/>
      <c r="B123" s="1008"/>
      <c r="C123" s="1007"/>
      <c r="D123" s="403" t="s">
        <v>156</v>
      </c>
      <c r="E123" s="406">
        <f>E119+E121</f>
        <v>1170809933</v>
      </c>
      <c r="F123" s="406">
        <f>F119+F121</f>
        <v>1170809933</v>
      </c>
      <c r="G123" s="406">
        <v>1170809933</v>
      </c>
      <c r="H123" s="406">
        <v>1170809933</v>
      </c>
      <c r="I123" s="406">
        <v>1170809933</v>
      </c>
      <c r="J123" s="406">
        <v>1170809933</v>
      </c>
      <c r="K123" s="406">
        <v>1265302933</v>
      </c>
      <c r="L123" s="406">
        <v>1265302933</v>
      </c>
      <c r="M123" s="409">
        <f t="shared" ref="M123" si="4">M119+M121</f>
        <v>1010745130</v>
      </c>
      <c r="N123" s="422">
        <f>N119+N121</f>
        <v>668063333</v>
      </c>
      <c r="O123" s="422">
        <f t="shared" ref="O123:Q123" si="5">O119+O121</f>
        <v>557498333</v>
      </c>
      <c r="P123" s="422">
        <f t="shared" si="5"/>
        <v>557498333</v>
      </c>
      <c r="Q123" s="422">
        <f t="shared" si="5"/>
        <v>445979333</v>
      </c>
      <c r="R123" s="411">
        <f t="shared" ref="R123" si="6">R119+R121</f>
        <v>319194653</v>
      </c>
      <c r="S123" s="891"/>
      <c r="T123" s="406">
        <v>61199300</v>
      </c>
      <c r="U123" s="406">
        <f>U119+U121</f>
        <v>454939159.34000003</v>
      </c>
      <c r="V123" s="406">
        <f>V119+V121</f>
        <v>893361926</v>
      </c>
      <c r="W123" s="406">
        <v>946283493</v>
      </c>
      <c r="X123" s="409">
        <v>962252333</v>
      </c>
      <c r="Y123" s="409">
        <f>Y119+Y121</f>
        <v>937379265</v>
      </c>
      <c r="Z123" s="409">
        <f t="shared" ref="Z123:AB123" si="7">Z119+Z121</f>
        <v>876025130</v>
      </c>
      <c r="AA123" s="409">
        <f t="shared" si="7"/>
        <v>640101759</v>
      </c>
      <c r="AB123" s="409">
        <f t="shared" si="7"/>
        <v>535719600</v>
      </c>
      <c r="AC123" s="409">
        <f t="shared" ref="AC123" si="8">AC119+AC121</f>
        <v>478181333</v>
      </c>
      <c r="AD123" s="413">
        <f t="shared" ref="AD123" si="9">AD119+AD121</f>
        <v>417900333</v>
      </c>
      <c r="AE123" s="390">
        <f>AE119+AE121</f>
        <v>318586166</v>
      </c>
      <c r="AF123" s="891"/>
      <c r="AG123" s="901"/>
      <c r="AH123" s="1007"/>
      <c r="AI123" s="1028"/>
      <c r="AJ123" s="1028"/>
      <c r="AK123" s="1028"/>
      <c r="AL123" s="1028"/>
      <c r="AM123" s="1035"/>
      <c r="AN123" s="1044"/>
      <c r="AO123" s="1045"/>
      <c r="AP123" s="1045"/>
      <c r="AQ123" s="1045"/>
      <c r="AR123" s="1045"/>
      <c r="AS123" s="1044"/>
      <c r="AT123" s="1044"/>
      <c r="AU123" s="1044"/>
      <c r="AV123" s="1044"/>
      <c r="AW123" s="1044"/>
      <c r="AX123" s="1044"/>
      <c r="AY123" s="1004"/>
      <c r="AZ123" s="1007"/>
    </row>
    <row r="124" spans="1:52" ht="20.100000000000001" customHeight="1" x14ac:dyDescent="0.25">
      <c r="A124" s="1009"/>
      <c r="B124" s="1010"/>
      <c r="C124" s="1007" t="s">
        <v>265</v>
      </c>
      <c r="D124" s="379" t="s">
        <v>149</v>
      </c>
      <c r="E124" s="420">
        <v>25</v>
      </c>
      <c r="F124" s="420">
        <v>25</v>
      </c>
      <c r="G124" s="421">
        <v>25</v>
      </c>
      <c r="H124" s="421">
        <v>25</v>
      </c>
      <c r="I124" s="421">
        <v>25</v>
      </c>
      <c r="J124" s="421">
        <v>25</v>
      </c>
      <c r="K124" s="421">
        <v>24.999999999999996</v>
      </c>
      <c r="L124" s="420">
        <f>L118+L112+L106+L100+L94+L88+L76+L70+L64+L58+L52+L46+L40+L34+L28+L22+L16+L10</f>
        <v>25</v>
      </c>
      <c r="M124" s="423">
        <f t="shared" ref="M124:R124" si="10">M118+M112+M106+M100+M94+M88+M76+M70+M64+M58+M52+M46+M40+M34+M28+M22+M16+M10+M82</f>
        <v>13.15</v>
      </c>
      <c r="N124" s="429">
        <f t="shared" si="10"/>
        <v>22.231999999999999</v>
      </c>
      <c r="O124" s="429">
        <f t="shared" si="10"/>
        <v>24.997999999999998</v>
      </c>
      <c r="P124" s="429">
        <f t="shared" si="10"/>
        <v>24.522000000000002</v>
      </c>
      <c r="Q124" s="429">
        <f t="shared" si="10"/>
        <v>25.9</v>
      </c>
      <c r="R124" s="412">
        <f t="shared" si="10"/>
        <v>24.017900000000008</v>
      </c>
      <c r="S124" s="1046"/>
      <c r="T124" s="420">
        <v>0</v>
      </c>
      <c r="U124" s="421">
        <v>4</v>
      </c>
      <c r="V124" s="421">
        <v>6</v>
      </c>
      <c r="W124" s="421">
        <v>7.68</v>
      </c>
      <c r="X124" s="423">
        <v>8.8699999999999992</v>
      </c>
      <c r="Y124" s="423">
        <f t="shared" ref="Y124:AE124" si="11">Y118+Y112+Y106+Y100+Y94+Y88+Y76+Y70+Y64+Y58+Y52+Y46+Y40+Y34+Y28+Y22+Y16+Y10+Y82</f>
        <v>10.951999999999996</v>
      </c>
      <c r="Z124" s="423">
        <f t="shared" si="11"/>
        <v>13.15</v>
      </c>
      <c r="AA124" s="423">
        <f t="shared" si="11"/>
        <v>18.651999999999997</v>
      </c>
      <c r="AB124" s="423">
        <f t="shared" si="11"/>
        <v>18.843999999999998</v>
      </c>
      <c r="AC124" s="423">
        <f t="shared" si="11"/>
        <v>20.664000000000001</v>
      </c>
      <c r="AD124" s="423">
        <f t="shared" si="11"/>
        <v>22.782</v>
      </c>
      <c r="AE124" s="414">
        <f t="shared" si="11"/>
        <v>23.767500000000009</v>
      </c>
      <c r="AF124" s="1046"/>
      <c r="AG124" s="889"/>
      <c r="AH124" s="1007" t="s">
        <v>265</v>
      </c>
      <c r="AI124" s="1025">
        <v>19</v>
      </c>
      <c r="AJ124" s="1007"/>
      <c r="AK124" s="1007"/>
      <c r="AL124" s="1007"/>
      <c r="AM124" s="1007"/>
      <c r="AN124" s="1007"/>
      <c r="AO124" s="1007"/>
      <c r="AP124" s="1007"/>
      <c r="AQ124" s="1007"/>
      <c r="AR124" s="1007"/>
      <c r="AS124" s="1007"/>
      <c r="AT124" s="1007"/>
      <c r="AU124" s="1007"/>
      <c r="AV124" s="1007"/>
      <c r="AW124" s="1007"/>
      <c r="AX124" s="1007"/>
      <c r="AY124" s="1007"/>
      <c r="AZ124" s="1047"/>
    </row>
    <row r="125" spans="1:52" ht="20.100000000000001" customHeight="1" x14ac:dyDescent="0.25">
      <c r="A125" s="1011"/>
      <c r="B125" s="1012"/>
      <c r="C125" s="1007"/>
      <c r="D125" s="388" t="s">
        <v>151</v>
      </c>
      <c r="E125" s="392">
        <v>881587000</v>
      </c>
      <c r="F125" s="392">
        <v>881587000</v>
      </c>
      <c r="G125" s="392">
        <v>881587000</v>
      </c>
      <c r="H125" s="392">
        <v>881587000</v>
      </c>
      <c r="I125" s="392">
        <v>881587000</v>
      </c>
      <c r="J125" s="392">
        <v>881587000</v>
      </c>
      <c r="K125" s="392">
        <v>976080000</v>
      </c>
      <c r="L125" s="392">
        <f>L119+L113+L107+L101+L95+L89+L77+L71+L65+L59+L53+L47+L41+L35+L29+L23+L17+L11</f>
        <v>976080000</v>
      </c>
      <c r="M125" s="392">
        <f>M119+M113+M107+M101+M95+M89+M77+M71+M65+M59+M53+M47+M41+M35+M29+M23+M17+M11</f>
        <v>976080000</v>
      </c>
      <c r="N125" s="392">
        <f>N119+N113+N107+N101+N95+N89+N77+N71+N65+N59+N53+N47+N41+N35+N29+N23+N17+N11+N83</f>
        <v>938528000</v>
      </c>
      <c r="O125" s="392">
        <f>O119+O113+O107+O101+O95+O89+O77+O71+O65+O59+O53+O47+O41+O35+O29+O23+O17+O11+O83</f>
        <v>938528000</v>
      </c>
      <c r="P125" s="392">
        <f>P119+P113+P107+P101+P95+P89+P77+P71+P65+P59+P53+P47+P41+P35+P29+P23+P17+P11+P83</f>
        <v>938528000</v>
      </c>
      <c r="Q125" s="392">
        <f>Q119+Q113+Q107+Q101+Q95+Q89+Q77+Q71+Q65+Q59+Q53+Q47+Q41+Q35+Q29+Q23+Q17+Q11+Q83</f>
        <v>956528000</v>
      </c>
      <c r="R125" s="404">
        <f>R119+R113+R107+R101+R95+R89+R77+R71+R65+R59+R53+R47+R41+R35+R29+R23+R17+R11+R83</f>
        <v>956528000</v>
      </c>
      <c r="S125" s="1048"/>
      <c r="T125" s="392">
        <v>0</v>
      </c>
      <c r="U125" s="392">
        <v>274270000</v>
      </c>
      <c r="V125" s="392">
        <v>623407000</v>
      </c>
      <c r="W125" s="392">
        <v>673574000</v>
      </c>
      <c r="X125" s="413">
        <v>673574000</v>
      </c>
      <c r="Y125" s="413">
        <f t="shared" ref="Y125:AD125" si="12">Y113+Y107+Y101+Y95+Y89+Y77+Y71+Y65+Y59+Y53+Y47+Y41+Y35+Y29+Y23+Y17+Y11+Y119+Y83</f>
        <v>822180000</v>
      </c>
      <c r="Z125" s="413">
        <f t="shared" si="12"/>
        <v>841360000</v>
      </c>
      <c r="AA125" s="413">
        <f t="shared" si="12"/>
        <v>841360000</v>
      </c>
      <c r="AB125" s="413">
        <f t="shared" si="12"/>
        <v>897563267</v>
      </c>
      <c r="AC125" s="413">
        <f t="shared" si="12"/>
        <v>902459000</v>
      </c>
      <c r="AD125" s="413">
        <f t="shared" si="12"/>
        <v>903605000</v>
      </c>
      <c r="AE125" s="411">
        <f>AE119+AE113+AE107+AE101+AE95+AE89+AE77+AE71+AE65+AE59+AE53+AE47+AE41+AE35+AE29+AE23+AE17+AE11+AE83</f>
        <v>937443033</v>
      </c>
      <c r="AF125" s="1048"/>
      <c r="AG125" s="899"/>
      <c r="AH125" s="1007"/>
      <c r="AI125" s="1028"/>
      <c r="AJ125" s="1007"/>
      <c r="AK125" s="1007"/>
      <c r="AL125" s="1007"/>
      <c r="AM125" s="1007"/>
      <c r="AN125" s="1007"/>
      <c r="AO125" s="1007"/>
      <c r="AP125" s="1007"/>
      <c r="AQ125" s="1007"/>
      <c r="AR125" s="1007"/>
      <c r="AS125" s="1007"/>
      <c r="AT125" s="1007"/>
      <c r="AU125" s="1007"/>
      <c r="AV125" s="1007"/>
      <c r="AW125" s="1007"/>
      <c r="AX125" s="1007"/>
      <c r="AY125" s="1007"/>
      <c r="AZ125" s="1049"/>
    </row>
    <row r="126" spans="1:52" ht="20.100000000000001" customHeight="1" x14ac:dyDescent="0.25">
      <c r="A126" s="1011"/>
      <c r="B126" s="1012"/>
      <c r="C126" s="1007"/>
      <c r="D126" s="394" t="s">
        <v>153</v>
      </c>
      <c r="E126" s="424">
        <v>0.87</v>
      </c>
      <c r="F126" s="424">
        <v>0.87</v>
      </c>
      <c r="G126" s="424">
        <v>0.87</v>
      </c>
      <c r="H126" s="424">
        <v>0.87</v>
      </c>
      <c r="I126" s="424">
        <v>0.87</v>
      </c>
      <c r="J126" s="424">
        <v>0.87</v>
      </c>
      <c r="K126" s="424">
        <v>0.87</v>
      </c>
      <c r="L126" s="424">
        <v>0.87</v>
      </c>
      <c r="M126" s="423">
        <f t="shared" ref="M126:R127" si="13">M120</f>
        <v>0.87</v>
      </c>
      <c r="N126" s="398">
        <f t="shared" si="13"/>
        <v>0.87</v>
      </c>
      <c r="O126" s="398">
        <f t="shared" si="13"/>
        <v>0.87</v>
      </c>
      <c r="P126" s="398">
        <f t="shared" si="13"/>
        <v>0.87</v>
      </c>
      <c r="Q126" s="398">
        <f t="shared" si="13"/>
        <v>0.87</v>
      </c>
      <c r="R126" s="415">
        <f t="shared" si="13"/>
        <v>0.87</v>
      </c>
      <c r="S126" s="1048"/>
      <c r="T126" s="424">
        <v>0.87</v>
      </c>
      <c r="U126" s="424">
        <v>0.87</v>
      </c>
      <c r="V126" s="424">
        <v>0.87</v>
      </c>
      <c r="W126" s="424">
        <v>0.87</v>
      </c>
      <c r="X126" s="423">
        <v>0.87</v>
      </c>
      <c r="Y126" s="423">
        <f t="shared" ref="Y126:AE127" si="14">Y120</f>
        <v>0.87</v>
      </c>
      <c r="Z126" s="423">
        <f t="shared" si="14"/>
        <v>0.87</v>
      </c>
      <c r="AA126" s="423">
        <f t="shared" si="14"/>
        <v>0.87</v>
      </c>
      <c r="AB126" s="423">
        <f t="shared" si="14"/>
        <v>0.87</v>
      </c>
      <c r="AC126" s="423">
        <f t="shared" si="14"/>
        <v>0.87</v>
      </c>
      <c r="AD126" s="423">
        <f t="shared" si="14"/>
        <v>0.87</v>
      </c>
      <c r="AE126" s="398">
        <f t="shared" si="14"/>
        <v>0.87</v>
      </c>
      <c r="AF126" s="1048"/>
      <c r="AG126" s="899"/>
      <c r="AH126" s="1007"/>
      <c r="AI126" s="1028"/>
      <c r="AJ126" s="1007"/>
      <c r="AK126" s="1007"/>
      <c r="AL126" s="1007"/>
      <c r="AM126" s="1007"/>
      <c r="AN126" s="1007"/>
      <c r="AO126" s="1007"/>
      <c r="AP126" s="1007"/>
      <c r="AQ126" s="1007"/>
      <c r="AR126" s="1007"/>
      <c r="AS126" s="1007"/>
      <c r="AT126" s="1007"/>
      <c r="AU126" s="1007"/>
      <c r="AV126" s="1007"/>
      <c r="AW126" s="1007"/>
      <c r="AX126" s="1007"/>
      <c r="AY126" s="1007"/>
      <c r="AZ126" s="1049"/>
    </row>
    <row r="127" spans="1:52" ht="20.100000000000001" customHeight="1" x14ac:dyDescent="0.25">
      <c r="A127" s="1011"/>
      <c r="B127" s="1012"/>
      <c r="C127" s="1007"/>
      <c r="D127" s="388" t="s">
        <v>154</v>
      </c>
      <c r="E127" s="392">
        <v>289222933</v>
      </c>
      <c r="F127" s="392">
        <v>289222933</v>
      </c>
      <c r="G127" s="425">
        <v>289222933</v>
      </c>
      <c r="H127" s="425">
        <v>289222933</v>
      </c>
      <c r="I127" s="425">
        <v>289222933</v>
      </c>
      <c r="J127" s="425">
        <v>289222933</v>
      </c>
      <c r="K127" s="425">
        <v>289222933</v>
      </c>
      <c r="L127" s="425">
        <v>289222933</v>
      </c>
      <c r="M127" s="413">
        <f t="shared" si="13"/>
        <v>288678333</v>
      </c>
      <c r="N127" s="390">
        <f t="shared" si="13"/>
        <v>288678333</v>
      </c>
      <c r="O127" s="390">
        <f t="shared" si="13"/>
        <v>288678333</v>
      </c>
      <c r="P127" s="390">
        <f t="shared" si="13"/>
        <v>288678333</v>
      </c>
      <c r="Q127" s="390">
        <f t="shared" si="13"/>
        <v>288678333</v>
      </c>
      <c r="R127" s="404">
        <f t="shared" si="13"/>
        <v>288678333</v>
      </c>
      <c r="S127" s="1048"/>
      <c r="T127" s="392">
        <v>61199300</v>
      </c>
      <c r="U127" s="425">
        <v>180669159.34</v>
      </c>
      <c r="V127" s="425">
        <v>269954926</v>
      </c>
      <c r="W127" s="425">
        <v>272709493</v>
      </c>
      <c r="X127" s="413">
        <v>288678333</v>
      </c>
      <c r="Y127" s="413">
        <f t="shared" si="14"/>
        <v>288678333</v>
      </c>
      <c r="Z127" s="413">
        <f t="shared" si="14"/>
        <v>288678333</v>
      </c>
      <c r="AA127" s="413">
        <f t="shared" si="14"/>
        <v>288678333</v>
      </c>
      <c r="AB127" s="413">
        <f t="shared" si="14"/>
        <v>288678333</v>
      </c>
      <c r="AC127" s="413">
        <f t="shared" si="14"/>
        <v>288678333</v>
      </c>
      <c r="AD127" s="413">
        <f t="shared" si="14"/>
        <v>288678333</v>
      </c>
      <c r="AE127" s="390">
        <f t="shared" si="14"/>
        <v>288678333</v>
      </c>
      <c r="AF127" s="1048"/>
      <c r="AG127" s="899"/>
      <c r="AH127" s="1007"/>
      <c r="AI127" s="1028"/>
      <c r="AJ127" s="1007"/>
      <c r="AK127" s="1007"/>
      <c r="AL127" s="1007"/>
      <c r="AM127" s="1007"/>
      <c r="AN127" s="1007"/>
      <c r="AO127" s="1007"/>
      <c r="AP127" s="1007"/>
      <c r="AQ127" s="1007"/>
      <c r="AR127" s="1007"/>
      <c r="AS127" s="1007"/>
      <c r="AT127" s="1007"/>
      <c r="AU127" s="1007"/>
      <c r="AV127" s="1007"/>
      <c r="AW127" s="1007"/>
      <c r="AX127" s="1007"/>
      <c r="AY127" s="1007"/>
      <c r="AZ127" s="1049"/>
    </row>
    <row r="128" spans="1:52" ht="20.100000000000001" customHeight="1" x14ac:dyDescent="0.25">
      <c r="A128" s="1011"/>
      <c r="B128" s="1012"/>
      <c r="C128" s="1007"/>
      <c r="D128" s="394" t="s">
        <v>155</v>
      </c>
      <c r="E128" s="426">
        <f>E124+E126</f>
        <v>25.87</v>
      </c>
      <c r="F128" s="426">
        <f>F124+F126</f>
        <v>25.87</v>
      </c>
      <c r="G128" s="427">
        <v>25.87</v>
      </c>
      <c r="H128" s="427">
        <v>25.87</v>
      </c>
      <c r="I128" s="427">
        <v>25.87</v>
      </c>
      <c r="J128" s="427">
        <v>25.87</v>
      </c>
      <c r="K128" s="427">
        <v>25.869999999999997</v>
      </c>
      <c r="L128" s="426">
        <v>25.869999999999997</v>
      </c>
      <c r="M128" s="428">
        <f t="shared" ref="M128" si="15">M124+M126</f>
        <v>14.02</v>
      </c>
      <c r="N128" s="396">
        <f t="shared" ref="N128:P129" si="16">N124+N126</f>
        <v>23.102</v>
      </c>
      <c r="O128" s="396">
        <f t="shared" si="16"/>
        <v>25.867999999999999</v>
      </c>
      <c r="P128" s="396">
        <f t="shared" si="16"/>
        <v>25.392000000000003</v>
      </c>
      <c r="Q128" s="401">
        <f t="shared" ref="Q128" si="17">Q124+Q126</f>
        <v>26.77</v>
      </c>
      <c r="R128" s="415">
        <f t="shared" ref="R128" si="18">R124+R126</f>
        <v>24.887900000000009</v>
      </c>
      <c r="S128" s="1048"/>
      <c r="T128" s="426">
        <v>0.87</v>
      </c>
      <c r="U128" s="427">
        <f>U124+U126</f>
        <v>4.87</v>
      </c>
      <c r="V128" s="427">
        <f>V124+V126</f>
        <v>6.87</v>
      </c>
      <c r="W128" s="427">
        <v>8.5499999999999989</v>
      </c>
      <c r="X128" s="428">
        <v>9.74</v>
      </c>
      <c r="Y128" s="428">
        <f>Y124+Y126</f>
        <v>11.821999999999996</v>
      </c>
      <c r="Z128" s="428">
        <f t="shared" ref="Z128:AB128" si="19">Z124+Z126</f>
        <v>14.02</v>
      </c>
      <c r="AA128" s="428">
        <f t="shared" si="19"/>
        <v>19.521999999999998</v>
      </c>
      <c r="AB128" s="428">
        <f t="shared" si="19"/>
        <v>19.713999999999999</v>
      </c>
      <c r="AC128" s="428">
        <f t="shared" ref="AC128" si="20">AC124+AC126</f>
        <v>21.534000000000002</v>
      </c>
      <c r="AD128" s="423">
        <f t="shared" ref="AD128:AE129" si="21">AD124+AD126</f>
        <v>23.652000000000001</v>
      </c>
      <c r="AE128" s="398">
        <f t="shared" si="21"/>
        <v>24.63750000000001</v>
      </c>
      <c r="AF128" s="1048"/>
      <c r="AG128" s="899"/>
      <c r="AH128" s="1007"/>
      <c r="AI128" s="1028"/>
      <c r="AJ128" s="1007"/>
      <c r="AK128" s="1007"/>
      <c r="AL128" s="1007"/>
      <c r="AM128" s="1007"/>
      <c r="AN128" s="1007"/>
      <c r="AO128" s="1007"/>
      <c r="AP128" s="1007"/>
      <c r="AQ128" s="1007"/>
      <c r="AR128" s="1007"/>
      <c r="AS128" s="1007"/>
      <c r="AT128" s="1007"/>
      <c r="AU128" s="1007"/>
      <c r="AV128" s="1007"/>
      <c r="AW128" s="1007"/>
      <c r="AX128" s="1007"/>
      <c r="AY128" s="1007"/>
      <c r="AZ128" s="1049"/>
    </row>
    <row r="129" spans="1:52" ht="20.100000000000001" customHeight="1" thickBot="1" x14ac:dyDescent="0.3">
      <c r="A129" s="1013"/>
      <c r="B129" s="1014"/>
      <c r="C129" s="1007"/>
      <c r="D129" s="403" t="s">
        <v>156</v>
      </c>
      <c r="E129" s="406">
        <f>E125+E127</f>
        <v>1170809933</v>
      </c>
      <c r="F129" s="406">
        <f>F125+F127</f>
        <v>1170809933</v>
      </c>
      <c r="G129" s="406">
        <v>1170809933</v>
      </c>
      <c r="H129" s="406">
        <v>1170809933</v>
      </c>
      <c r="I129" s="406">
        <v>1170809933</v>
      </c>
      <c r="J129" s="406">
        <v>1170809933</v>
      </c>
      <c r="K129" s="406">
        <v>1265302933</v>
      </c>
      <c r="L129" s="406">
        <v>1265302933</v>
      </c>
      <c r="M129" s="409">
        <f t="shared" ref="M129" si="22">M125+M127</f>
        <v>1264758333</v>
      </c>
      <c r="N129" s="405">
        <f>N125+N127</f>
        <v>1227206333</v>
      </c>
      <c r="O129" s="405">
        <f t="shared" si="16"/>
        <v>1227206333</v>
      </c>
      <c r="P129" s="405">
        <f t="shared" si="16"/>
        <v>1227206333</v>
      </c>
      <c r="Q129" s="406">
        <f t="shared" ref="Q129" si="23">Q125+Q127</f>
        <v>1245206333</v>
      </c>
      <c r="R129" s="404">
        <f t="shared" ref="R129" si="24">R125+R127</f>
        <v>1245206333</v>
      </c>
      <c r="S129" s="1050"/>
      <c r="T129" s="406">
        <v>61199300</v>
      </c>
      <c r="U129" s="406">
        <f>U125+U127</f>
        <v>454939159.34000003</v>
      </c>
      <c r="V129" s="406">
        <f>V125+V127</f>
        <v>893361926</v>
      </c>
      <c r="W129" s="406">
        <v>946283493</v>
      </c>
      <c r="X129" s="409">
        <v>962252333</v>
      </c>
      <c r="Y129" s="409">
        <f>Y125+Y127</f>
        <v>1110858333</v>
      </c>
      <c r="Z129" s="409">
        <f t="shared" ref="Z129:AB129" si="25">Z125+Z127</f>
        <v>1130038333</v>
      </c>
      <c r="AA129" s="409">
        <f t="shared" si="25"/>
        <v>1130038333</v>
      </c>
      <c r="AB129" s="409">
        <f t="shared" si="25"/>
        <v>1186241600</v>
      </c>
      <c r="AC129" s="409">
        <f t="shared" ref="AC129" si="26">AC125+AC127</f>
        <v>1191137333</v>
      </c>
      <c r="AD129" s="413">
        <f t="shared" ref="AD129" si="27">AD125+AD127</f>
        <v>1192283333</v>
      </c>
      <c r="AE129" s="390">
        <f t="shared" si="21"/>
        <v>1226121366</v>
      </c>
      <c r="AF129" s="1050"/>
      <c r="AG129" s="901"/>
      <c r="AH129" s="1007"/>
      <c r="AI129" s="1028"/>
      <c r="AJ129" s="1007"/>
      <c r="AK129" s="1007"/>
      <c r="AL129" s="1007"/>
      <c r="AM129" s="1007"/>
      <c r="AN129" s="1007"/>
      <c r="AO129" s="1007"/>
      <c r="AP129" s="1007"/>
      <c r="AQ129" s="1007"/>
      <c r="AR129" s="1007"/>
      <c r="AS129" s="1007"/>
      <c r="AT129" s="1007"/>
      <c r="AU129" s="1007"/>
      <c r="AV129" s="1007"/>
      <c r="AW129" s="1007"/>
      <c r="AX129" s="1007"/>
      <c r="AY129" s="1007"/>
      <c r="AZ129" s="1051"/>
    </row>
    <row r="130" spans="1:52" ht="15" customHeight="1" x14ac:dyDescent="0.25">
      <c r="A130" s="1015">
        <v>2</v>
      </c>
      <c r="B130" s="1004" t="s">
        <v>157</v>
      </c>
      <c r="C130" s="1016" t="s">
        <v>266</v>
      </c>
      <c r="D130" s="379" t="s">
        <v>149</v>
      </c>
      <c r="E130" s="430"/>
      <c r="F130" s="431"/>
      <c r="G130" s="422"/>
      <c r="H130" s="422"/>
      <c r="I130" s="422"/>
      <c r="J130" s="422"/>
      <c r="K130" s="422"/>
      <c r="L130" s="405"/>
      <c r="M130" s="432"/>
      <c r="N130" s="405"/>
      <c r="O130" s="405"/>
      <c r="P130" s="405"/>
      <c r="Q130" s="406"/>
      <c r="R130" s="408">
        <f>0.01305*4</f>
        <v>5.2200000000000003E-2</v>
      </c>
      <c r="S130" s="892" t="s">
        <v>599</v>
      </c>
      <c r="T130" s="407"/>
      <c r="U130" s="407"/>
      <c r="V130" s="407">
        <v>1</v>
      </c>
      <c r="W130" s="407">
        <v>2</v>
      </c>
      <c r="X130" s="407">
        <v>2</v>
      </c>
      <c r="Y130" s="407"/>
      <c r="Z130" s="432"/>
      <c r="AA130" s="409"/>
      <c r="AB130" s="409"/>
      <c r="AC130" s="409"/>
      <c r="AD130" s="406"/>
      <c r="AE130" s="408">
        <f>0.013*4</f>
        <v>5.1999999999999998E-2</v>
      </c>
      <c r="AF130" s="892" t="s">
        <v>614</v>
      </c>
      <c r="AG130" s="889"/>
      <c r="AH130" s="882" t="s">
        <v>266</v>
      </c>
      <c r="AI130" s="1025" t="s">
        <v>516</v>
      </c>
      <c r="AJ130" s="1025" t="s">
        <v>517</v>
      </c>
      <c r="AK130" s="1034" t="s">
        <v>267</v>
      </c>
      <c r="AL130" s="1025" t="s">
        <v>518</v>
      </c>
      <c r="AM130" s="1025" t="s">
        <v>90</v>
      </c>
      <c r="AN130" s="1034" t="s">
        <v>268</v>
      </c>
      <c r="AO130" s="1025">
        <v>83774.075926396705</v>
      </c>
      <c r="AP130" s="1025">
        <v>40067.780681128097</v>
      </c>
      <c r="AQ130" s="1025">
        <v>43706.2952452686</v>
      </c>
      <c r="AR130" s="1025" t="s">
        <v>269</v>
      </c>
      <c r="AS130" s="1025" t="s">
        <v>269</v>
      </c>
      <c r="AT130" s="1025" t="s">
        <v>269</v>
      </c>
      <c r="AU130" s="1025" t="s">
        <v>269</v>
      </c>
      <c r="AV130" s="1025" t="s">
        <v>269</v>
      </c>
      <c r="AW130" s="1025" t="s">
        <v>269</v>
      </c>
      <c r="AX130" s="1025" t="s">
        <v>269</v>
      </c>
      <c r="AY130" s="1025" t="s">
        <v>269</v>
      </c>
      <c r="AZ130" s="1047"/>
    </row>
    <row r="131" spans="1:52" ht="63" x14ac:dyDescent="0.25">
      <c r="A131" s="1015"/>
      <c r="B131" s="1004"/>
      <c r="C131" s="1017"/>
      <c r="D131" s="388" t="s">
        <v>151</v>
      </c>
      <c r="E131" s="386"/>
      <c r="F131" s="411"/>
      <c r="G131" s="405"/>
      <c r="H131" s="405"/>
      <c r="I131" s="405"/>
      <c r="J131" s="405"/>
      <c r="K131" s="405"/>
      <c r="L131" s="405"/>
      <c r="M131" s="413"/>
      <c r="N131" s="405"/>
      <c r="O131" s="405"/>
      <c r="P131" s="405"/>
      <c r="Q131" s="406"/>
      <c r="R131" s="411">
        <f>1035240*4</f>
        <v>4140960</v>
      </c>
      <c r="S131" s="893"/>
      <c r="T131" s="407"/>
      <c r="U131" s="407"/>
      <c r="V131" s="407"/>
      <c r="W131" s="407"/>
      <c r="X131" s="407"/>
      <c r="Y131" s="407"/>
      <c r="Z131" s="413"/>
      <c r="AA131" s="409"/>
      <c r="AB131" s="409"/>
      <c r="AC131" s="409"/>
      <c r="AD131" s="406"/>
      <c r="AE131" s="390">
        <f>1005724*4</f>
        <v>4022896</v>
      </c>
      <c r="AF131" s="893"/>
      <c r="AG131" s="899"/>
      <c r="AH131" s="883"/>
      <c r="AI131" s="1028"/>
      <c r="AJ131" s="1028"/>
      <c r="AK131" s="1029"/>
      <c r="AL131" s="1028"/>
      <c r="AM131" s="1028"/>
      <c r="AN131" s="1029"/>
      <c r="AO131" s="1028"/>
      <c r="AP131" s="1028"/>
      <c r="AQ131" s="1028"/>
      <c r="AR131" s="1028"/>
      <c r="AS131" s="1028"/>
      <c r="AT131" s="1028"/>
      <c r="AU131" s="1028"/>
      <c r="AV131" s="1028"/>
      <c r="AW131" s="1028"/>
      <c r="AX131" s="1028"/>
      <c r="AY131" s="1028"/>
      <c r="AZ131" s="1049"/>
    </row>
    <row r="132" spans="1:52" ht="19.5" customHeight="1" x14ac:dyDescent="0.25">
      <c r="A132" s="1015"/>
      <c r="B132" s="1004"/>
      <c r="C132" s="1017"/>
      <c r="D132" s="394" t="s">
        <v>153</v>
      </c>
      <c r="E132" s="386"/>
      <c r="F132" s="404"/>
      <c r="G132" s="405"/>
      <c r="H132" s="405"/>
      <c r="I132" s="405"/>
      <c r="J132" s="405"/>
      <c r="K132" s="405"/>
      <c r="L132" s="405"/>
      <c r="M132" s="413"/>
      <c r="N132" s="405"/>
      <c r="O132" s="405"/>
      <c r="P132" s="405"/>
      <c r="Q132" s="406"/>
      <c r="R132" s="404"/>
      <c r="S132" s="893"/>
      <c r="T132" s="407"/>
      <c r="U132" s="407"/>
      <c r="V132" s="407"/>
      <c r="W132" s="407"/>
      <c r="X132" s="407"/>
      <c r="Y132" s="407"/>
      <c r="Z132" s="413"/>
      <c r="AA132" s="409"/>
      <c r="AB132" s="409"/>
      <c r="AC132" s="409"/>
      <c r="AD132" s="790"/>
      <c r="AE132" s="410"/>
      <c r="AF132" s="893"/>
      <c r="AG132" s="899"/>
      <c r="AH132" s="883"/>
      <c r="AI132" s="1028"/>
      <c r="AJ132" s="1028"/>
      <c r="AK132" s="1029"/>
      <c r="AL132" s="1028"/>
      <c r="AM132" s="1028"/>
      <c r="AN132" s="1029"/>
      <c r="AO132" s="1028"/>
      <c r="AP132" s="1028"/>
      <c r="AQ132" s="1028"/>
      <c r="AR132" s="1028"/>
      <c r="AS132" s="1028"/>
      <c r="AT132" s="1028"/>
      <c r="AU132" s="1028"/>
      <c r="AV132" s="1028"/>
      <c r="AW132" s="1028"/>
      <c r="AX132" s="1028"/>
      <c r="AY132" s="1028"/>
      <c r="AZ132" s="1049"/>
    </row>
    <row r="133" spans="1:52" ht="19.5" customHeight="1" x14ac:dyDescent="0.25">
      <c r="A133" s="1015"/>
      <c r="B133" s="1004"/>
      <c r="C133" s="1017"/>
      <c r="D133" s="388" t="s">
        <v>154</v>
      </c>
      <c r="E133" s="386"/>
      <c r="F133" s="404"/>
      <c r="G133" s="405"/>
      <c r="H133" s="405"/>
      <c r="I133" s="405"/>
      <c r="J133" s="405"/>
      <c r="K133" s="405"/>
      <c r="L133" s="405"/>
      <c r="M133" s="413"/>
      <c r="N133" s="405"/>
      <c r="O133" s="405"/>
      <c r="P133" s="405"/>
      <c r="Q133" s="406"/>
      <c r="R133" s="404"/>
      <c r="S133" s="893"/>
      <c r="T133" s="407"/>
      <c r="U133" s="407"/>
      <c r="V133" s="407"/>
      <c r="W133" s="407"/>
      <c r="X133" s="407"/>
      <c r="Y133" s="407"/>
      <c r="Z133" s="413"/>
      <c r="AA133" s="409"/>
      <c r="AB133" s="409"/>
      <c r="AC133" s="409"/>
      <c r="AD133" s="790"/>
      <c r="AE133" s="410"/>
      <c r="AF133" s="893"/>
      <c r="AG133" s="899"/>
      <c r="AH133" s="883"/>
      <c r="AI133" s="1028"/>
      <c r="AJ133" s="1028"/>
      <c r="AK133" s="1029"/>
      <c r="AL133" s="1028"/>
      <c r="AM133" s="1028"/>
      <c r="AN133" s="1029"/>
      <c r="AO133" s="1028"/>
      <c r="AP133" s="1028"/>
      <c r="AQ133" s="1028"/>
      <c r="AR133" s="1028"/>
      <c r="AS133" s="1028"/>
      <c r="AT133" s="1028"/>
      <c r="AU133" s="1028"/>
      <c r="AV133" s="1028"/>
      <c r="AW133" s="1028"/>
      <c r="AX133" s="1028"/>
      <c r="AY133" s="1028"/>
      <c r="AZ133" s="1049"/>
    </row>
    <row r="134" spans="1:52" ht="19.5" customHeight="1" x14ac:dyDescent="0.25">
      <c r="A134" s="1015"/>
      <c r="B134" s="1004"/>
      <c r="C134" s="1017"/>
      <c r="D134" s="394" t="s">
        <v>155</v>
      </c>
      <c r="E134" s="386"/>
      <c r="F134" s="412"/>
      <c r="G134" s="405"/>
      <c r="H134" s="405"/>
      <c r="I134" s="405"/>
      <c r="J134" s="405"/>
      <c r="K134" s="405"/>
      <c r="L134" s="405"/>
      <c r="M134" s="413"/>
      <c r="N134" s="405"/>
      <c r="O134" s="405"/>
      <c r="P134" s="405"/>
      <c r="Q134" s="406"/>
      <c r="R134" s="412"/>
      <c r="S134" s="893"/>
      <c r="T134" s="407"/>
      <c r="U134" s="407"/>
      <c r="V134" s="407"/>
      <c r="W134" s="407"/>
      <c r="X134" s="407"/>
      <c r="Y134" s="407"/>
      <c r="Z134" s="413"/>
      <c r="AA134" s="409"/>
      <c r="AB134" s="409"/>
      <c r="AC134" s="409"/>
      <c r="AD134" s="406"/>
      <c r="AE134" s="410"/>
      <c r="AF134" s="893"/>
      <c r="AG134" s="899"/>
      <c r="AH134" s="883"/>
      <c r="AI134" s="1028"/>
      <c r="AJ134" s="1028"/>
      <c r="AK134" s="1029"/>
      <c r="AL134" s="1028"/>
      <c r="AM134" s="1028"/>
      <c r="AN134" s="1029"/>
      <c r="AO134" s="1028"/>
      <c r="AP134" s="1028"/>
      <c r="AQ134" s="1028"/>
      <c r="AR134" s="1028"/>
      <c r="AS134" s="1028"/>
      <c r="AT134" s="1028"/>
      <c r="AU134" s="1028"/>
      <c r="AV134" s="1028"/>
      <c r="AW134" s="1028"/>
      <c r="AX134" s="1028"/>
      <c r="AY134" s="1028"/>
      <c r="AZ134" s="1049"/>
    </row>
    <row r="135" spans="1:52" ht="19.5" customHeight="1" thickBot="1" x14ac:dyDescent="0.3">
      <c r="A135" s="1015"/>
      <c r="B135" s="1004"/>
      <c r="C135" s="1018"/>
      <c r="D135" s="403" t="s">
        <v>156</v>
      </c>
      <c r="E135" s="386"/>
      <c r="F135" s="404"/>
      <c r="G135" s="405"/>
      <c r="H135" s="405"/>
      <c r="I135" s="405"/>
      <c r="J135" s="405"/>
      <c r="K135" s="405"/>
      <c r="L135" s="405"/>
      <c r="M135" s="413"/>
      <c r="N135" s="405"/>
      <c r="O135" s="405"/>
      <c r="P135" s="405"/>
      <c r="Q135" s="406"/>
      <c r="R135" s="404"/>
      <c r="S135" s="894"/>
      <c r="T135" s="407"/>
      <c r="U135" s="407"/>
      <c r="V135" s="407"/>
      <c r="W135" s="407"/>
      <c r="X135" s="407"/>
      <c r="Y135" s="407"/>
      <c r="Z135" s="413"/>
      <c r="AA135" s="409"/>
      <c r="AB135" s="409"/>
      <c r="AC135" s="409"/>
      <c r="AD135" s="406"/>
      <c r="AE135" s="410"/>
      <c r="AF135" s="894"/>
      <c r="AG135" s="901"/>
      <c r="AH135" s="884"/>
      <c r="AI135" s="1028"/>
      <c r="AJ135" s="1028"/>
      <c r="AK135" s="1029"/>
      <c r="AL135" s="1028"/>
      <c r="AM135" s="1028"/>
      <c r="AN135" s="1029"/>
      <c r="AO135" s="1028"/>
      <c r="AP135" s="1028"/>
      <c r="AQ135" s="1028"/>
      <c r="AR135" s="1028"/>
      <c r="AS135" s="1028"/>
      <c r="AT135" s="1028"/>
      <c r="AU135" s="1028"/>
      <c r="AV135" s="1028"/>
      <c r="AW135" s="1028"/>
      <c r="AX135" s="1028"/>
      <c r="AY135" s="1028"/>
      <c r="AZ135" s="1049"/>
    </row>
    <row r="136" spans="1:52" ht="18" customHeight="1" x14ac:dyDescent="0.25">
      <c r="A136" s="1015"/>
      <c r="B136" s="1004"/>
      <c r="C136" s="1016" t="s">
        <v>270</v>
      </c>
      <c r="D136" s="379" t="s">
        <v>149</v>
      </c>
      <c r="E136" s="386"/>
      <c r="F136" s="414"/>
      <c r="G136" s="405"/>
      <c r="H136" s="405"/>
      <c r="I136" s="405"/>
      <c r="J136" s="405"/>
      <c r="K136" s="405"/>
      <c r="L136" s="405"/>
      <c r="M136" s="413"/>
      <c r="N136" s="405"/>
      <c r="O136" s="405"/>
      <c r="P136" s="405"/>
      <c r="Q136" s="406"/>
      <c r="R136" s="414">
        <f>0.01305*15</f>
        <v>0.19575000000000001</v>
      </c>
      <c r="S136" s="892" t="s">
        <v>600</v>
      </c>
      <c r="T136" s="407"/>
      <c r="U136" s="407"/>
      <c r="V136" s="407">
        <v>1</v>
      </c>
      <c r="W136" s="407">
        <v>2</v>
      </c>
      <c r="X136" s="407">
        <v>2</v>
      </c>
      <c r="Y136" s="407"/>
      <c r="Z136" s="413"/>
      <c r="AA136" s="409"/>
      <c r="AB136" s="409"/>
      <c r="AC136" s="409"/>
      <c r="AD136" s="406"/>
      <c r="AE136" s="410">
        <f>0.013*15</f>
        <v>0.19499999999999998</v>
      </c>
      <c r="AF136" s="892" t="s">
        <v>615</v>
      </c>
      <c r="AG136" s="889"/>
      <c r="AH136" s="882" t="s">
        <v>270</v>
      </c>
      <c r="AI136" s="1025" t="s">
        <v>677</v>
      </c>
      <c r="AJ136" s="1025" t="s">
        <v>678</v>
      </c>
      <c r="AK136" s="1029"/>
      <c r="AL136" s="1025" t="s">
        <v>679</v>
      </c>
      <c r="AM136" s="1025" t="s">
        <v>90</v>
      </c>
      <c r="AN136" s="1029"/>
      <c r="AO136" s="1025">
        <v>138604.63039371901</v>
      </c>
      <c r="AP136" s="1025">
        <v>65262.592396604603</v>
      </c>
      <c r="AQ136" s="1025">
        <v>73342.037997114603</v>
      </c>
      <c r="AR136" s="1025" t="s">
        <v>269</v>
      </c>
      <c r="AS136" s="1025" t="s">
        <v>269</v>
      </c>
      <c r="AT136" s="1025" t="s">
        <v>269</v>
      </c>
      <c r="AU136" s="1025" t="s">
        <v>269</v>
      </c>
      <c r="AV136" s="1025" t="s">
        <v>269</v>
      </c>
      <c r="AW136" s="1025" t="s">
        <v>269</v>
      </c>
      <c r="AX136" s="1025" t="s">
        <v>269</v>
      </c>
      <c r="AY136" s="1025" t="s">
        <v>269</v>
      </c>
      <c r="AZ136" s="1049"/>
    </row>
    <row r="137" spans="1:52" ht="63" x14ac:dyDescent="0.25">
      <c r="A137" s="1015"/>
      <c r="B137" s="1004"/>
      <c r="C137" s="1017"/>
      <c r="D137" s="388" t="s">
        <v>151</v>
      </c>
      <c r="E137" s="386"/>
      <c r="F137" s="411"/>
      <c r="G137" s="405"/>
      <c r="H137" s="405"/>
      <c r="I137" s="405"/>
      <c r="J137" s="405"/>
      <c r="K137" s="405"/>
      <c r="L137" s="405"/>
      <c r="M137" s="413"/>
      <c r="N137" s="405"/>
      <c r="O137" s="405"/>
      <c r="P137" s="405"/>
      <c r="Q137" s="406"/>
      <c r="R137" s="411">
        <f>1035240*15</f>
        <v>15528600</v>
      </c>
      <c r="S137" s="893"/>
      <c r="T137" s="407"/>
      <c r="U137" s="407"/>
      <c r="V137" s="407"/>
      <c r="W137" s="407"/>
      <c r="X137" s="407"/>
      <c r="Y137" s="407"/>
      <c r="Z137" s="413"/>
      <c r="AA137" s="409"/>
      <c r="AB137" s="409"/>
      <c r="AC137" s="409"/>
      <c r="AD137" s="406"/>
      <c r="AE137" s="390">
        <f>1005724*15</f>
        <v>15085860</v>
      </c>
      <c r="AF137" s="893"/>
      <c r="AG137" s="899"/>
      <c r="AH137" s="883"/>
      <c r="AI137" s="1028"/>
      <c r="AJ137" s="1028"/>
      <c r="AK137" s="1029"/>
      <c r="AL137" s="1028"/>
      <c r="AM137" s="1028"/>
      <c r="AN137" s="1029"/>
      <c r="AO137" s="1028"/>
      <c r="AP137" s="1028"/>
      <c r="AQ137" s="1028"/>
      <c r="AR137" s="1028"/>
      <c r="AS137" s="1028"/>
      <c r="AT137" s="1028"/>
      <c r="AU137" s="1028"/>
      <c r="AV137" s="1028"/>
      <c r="AW137" s="1028"/>
      <c r="AX137" s="1028"/>
      <c r="AY137" s="1028"/>
      <c r="AZ137" s="1049"/>
    </row>
    <row r="138" spans="1:52" ht="17.25" customHeight="1" x14ac:dyDescent="0.25">
      <c r="A138" s="1015"/>
      <c r="B138" s="1004"/>
      <c r="C138" s="1017"/>
      <c r="D138" s="394" t="s">
        <v>153</v>
      </c>
      <c r="E138" s="386"/>
      <c r="F138" s="404"/>
      <c r="G138" s="405"/>
      <c r="H138" s="405"/>
      <c r="I138" s="405"/>
      <c r="J138" s="405"/>
      <c r="K138" s="405"/>
      <c r="L138" s="405"/>
      <c r="M138" s="413"/>
      <c r="N138" s="405"/>
      <c r="O138" s="405"/>
      <c r="P138" s="405"/>
      <c r="Q138" s="406"/>
      <c r="R138" s="404"/>
      <c r="S138" s="893"/>
      <c r="T138" s="407"/>
      <c r="U138" s="407"/>
      <c r="V138" s="407"/>
      <c r="W138" s="407"/>
      <c r="X138" s="407"/>
      <c r="Y138" s="407"/>
      <c r="Z138" s="413"/>
      <c r="AA138" s="409"/>
      <c r="AB138" s="409"/>
      <c r="AC138" s="409"/>
      <c r="AD138" s="406"/>
      <c r="AE138" s="410"/>
      <c r="AF138" s="893"/>
      <c r="AG138" s="899"/>
      <c r="AH138" s="883"/>
      <c r="AI138" s="1028"/>
      <c r="AJ138" s="1028"/>
      <c r="AK138" s="1029"/>
      <c r="AL138" s="1028"/>
      <c r="AM138" s="1028"/>
      <c r="AN138" s="1029"/>
      <c r="AO138" s="1028"/>
      <c r="AP138" s="1028"/>
      <c r="AQ138" s="1028"/>
      <c r="AR138" s="1028"/>
      <c r="AS138" s="1028"/>
      <c r="AT138" s="1028"/>
      <c r="AU138" s="1028"/>
      <c r="AV138" s="1028"/>
      <c r="AW138" s="1028"/>
      <c r="AX138" s="1028"/>
      <c r="AY138" s="1028"/>
      <c r="AZ138" s="1049"/>
    </row>
    <row r="139" spans="1:52" ht="17.25" customHeight="1" x14ac:dyDescent="0.25">
      <c r="A139" s="1015"/>
      <c r="B139" s="1004"/>
      <c r="C139" s="1017"/>
      <c r="D139" s="388" t="s">
        <v>154</v>
      </c>
      <c r="E139" s="386"/>
      <c r="F139" s="404"/>
      <c r="G139" s="405"/>
      <c r="H139" s="405"/>
      <c r="I139" s="405"/>
      <c r="J139" s="405"/>
      <c r="K139" s="405"/>
      <c r="L139" s="405"/>
      <c r="M139" s="413"/>
      <c r="N139" s="405"/>
      <c r="O139" s="405"/>
      <c r="P139" s="405"/>
      <c r="Q139" s="406"/>
      <c r="R139" s="404"/>
      <c r="S139" s="893"/>
      <c r="T139" s="407"/>
      <c r="U139" s="407"/>
      <c r="V139" s="407"/>
      <c r="W139" s="407"/>
      <c r="X139" s="407"/>
      <c r="Y139" s="407"/>
      <c r="Z139" s="413"/>
      <c r="AA139" s="409"/>
      <c r="AB139" s="409"/>
      <c r="AC139" s="409"/>
      <c r="AD139" s="406"/>
      <c r="AE139" s="410"/>
      <c r="AF139" s="893"/>
      <c r="AG139" s="899"/>
      <c r="AH139" s="883"/>
      <c r="AI139" s="1028"/>
      <c r="AJ139" s="1028"/>
      <c r="AK139" s="1029"/>
      <c r="AL139" s="1028"/>
      <c r="AM139" s="1028"/>
      <c r="AN139" s="1029"/>
      <c r="AO139" s="1028"/>
      <c r="AP139" s="1028"/>
      <c r="AQ139" s="1028"/>
      <c r="AR139" s="1028"/>
      <c r="AS139" s="1028"/>
      <c r="AT139" s="1028"/>
      <c r="AU139" s="1028"/>
      <c r="AV139" s="1028"/>
      <c r="AW139" s="1028"/>
      <c r="AX139" s="1028"/>
      <c r="AY139" s="1028"/>
      <c r="AZ139" s="1049"/>
    </row>
    <row r="140" spans="1:52" ht="17.25" customHeight="1" x14ac:dyDescent="0.25">
      <c r="A140" s="1015"/>
      <c r="B140" s="1004"/>
      <c r="C140" s="1017"/>
      <c r="D140" s="394" t="s">
        <v>155</v>
      </c>
      <c r="E140" s="386"/>
      <c r="F140" s="415"/>
      <c r="G140" s="405"/>
      <c r="H140" s="405"/>
      <c r="I140" s="405"/>
      <c r="J140" s="405"/>
      <c r="K140" s="405"/>
      <c r="L140" s="405"/>
      <c r="M140" s="413"/>
      <c r="N140" s="405"/>
      <c r="O140" s="405"/>
      <c r="P140" s="405"/>
      <c r="Q140" s="406"/>
      <c r="R140" s="415"/>
      <c r="S140" s="893"/>
      <c r="T140" s="407"/>
      <c r="U140" s="407"/>
      <c r="V140" s="407"/>
      <c r="W140" s="407"/>
      <c r="X140" s="407"/>
      <c r="Y140" s="407"/>
      <c r="Z140" s="413"/>
      <c r="AA140" s="409"/>
      <c r="AB140" s="409"/>
      <c r="AC140" s="409"/>
      <c r="AD140" s="406"/>
      <c r="AE140" s="410"/>
      <c r="AF140" s="893"/>
      <c r="AG140" s="899"/>
      <c r="AH140" s="883"/>
      <c r="AI140" s="1028"/>
      <c r="AJ140" s="1028"/>
      <c r="AK140" s="1029"/>
      <c r="AL140" s="1028"/>
      <c r="AM140" s="1028"/>
      <c r="AN140" s="1029"/>
      <c r="AO140" s="1028"/>
      <c r="AP140" s="1028"/>
      <c r="AQ140" s="1028"/>
      <c r="AR140" s="1028"/>
      <c r="AS140" s="1028"/>
      <c r="AT140" s="1028"/>
      <c r="AU140" s="1028"/>
      <c r="AV140" s="1028"/>
      <c r="AW140" s="1028"/>
      <c r="AX140" s="1028"/>
      <c r="AY140" s="1028"/>
      <c r="AZ140" s="1049"/>
    </row>
    <row r="141" spans="1:52" ht="17.25" customHeight="1" thickBot="1" x14ac:dyDescent="0.3">
      <c r="A141" s="1015"/>
      <c r="B141" s="1004"/>
      <c r="C141" s="1018"/>
      <c r="D141" s="403" t="s">
        <v>156</v>
      </c>
      <c r="E141" s="386"/>
      <c r="F141" s="404"/>
      <c r="G141" s="405"/>
      <c r="H141" s="405"/>
      <c r="I141" s="405"/>
      <c r="J141" s="405"/>
      <c r="K141" s="405"/>
      <c r="L141" s="405"/>
      <c r="M141" s="413"/>
      <c r="N141" s="405"/>
      <c r="O141" s="405"/>
      <c r="P141" s="405"/>
      <c r="Q141" s="406"/>
      <c r="R141" s="404"/>
      <c r="S141" s="894"/>
      <c r="T141" s="407"/>
      <c r="U141" s="407"/>
      <c r="V141" s="407"/>
      <c r="W141" s="407"/>
      <c r="X141" s="407"/>
      <c r="Y141" s="407"/>
      <c r="Z141" s="413"/>
      <c r="AA141" s="409"/>
      <c r="AB141" s="409"/>
      <c r="AC141" s="409"/>
      <c r="AD141" s="406"/>
      <c r="AE141" s="410"/>
      <c r="AF141" s="894"/>
      <c r="AG141" s="901"/>
      <c r="AH141" s="884"/>
      <c r="AI141" s="1028"/>
      <c r="AJ141" s="1028"/>
      <c r="AK141" s="1029"/>
      <c r="AL141" s="1028"/>
      <c r="AM141" s="1028"/>
      <c r="AN141" s="1029"/>
      <c r="AO141" s="1028"/>
      <c r="AP141" s="1028"/>
      <c r="AQ141" s="1028"/>
      <c r="AR141" s="1028"/>
      <c r="AS141" s="1028"/>
      <c r="AT141" s="1028"/>
      <c r="AU141" s="1028"/>
      <c r="AV141" s="1028"/>
      <c r="AW141" s="1028"/>
      <c r="AX141" s="1028"/>
      <c r="AY141" s="1028"/>
      <c r="AZ141" s="1049"/>
    </row>
    <row r="142" spans="1:52" ht="15" customHeight="1" x14ac:dyDescent="0.25">
      <c r="A142" s="1015"/>
      <c r="B142" s="1004"/>
      <c r="C142" s="1016" t="s">
        <v>271</v>
      </c>
      <c r="D142" s="379" t="s">
        <v>149</v>
      </c>
      <c r="E142" s="386"/>
      <c r="F142" s="408"/>
      <c r="G142" s="405"/>
      <c r="H142" s="405"/>
      <c r="I142" s="405"/>
      <c r="J142" s="405"/>
      <c r="K142" s="405"/>
      <c r="L142" s="405"/>
      <c r="M142" s="413"/>
      <c r="N142" s="405"/>
      <c r="O142" s="405"/>
      <c r="P142" s="405"/>
      <c r="Q142" s="406"/>
      <c r="R142" s="408">
        <f>0.01305*33</f>
        <v>0.43065000000000003</v>
      </c>
      <c r="S142" s="892" t="s">
        <v>601</v>
      </c>
      <c r="T142" s="407"/>
      <c r="U142" s="407"/>
      <c r="V142" s="407">
        <v>8</v>
      </c>
      <c r="W142" s="407">
        <v>8</v>
      </c>
      <c r="X142" s="407">
        <v>11</v>
      </c>
      <c r="Y142" s="407"/>
      <c r="Z142" s="413"/>
      <c r="AA142" s="409"/>
      <c r="AB142" s="409"/>
      <c r="AC142" s="409"/>
      <c r="AD142" s="406"/>
      <c r="AE142" s="410">
        <f>0.013*33</f>
        <v>0.42899999999999999</v>
      </c>
      <c r="AF142" s="892" t="s">
        <v>616</v>
      </c>
      <c r="AG142" s="889"/>
      <c r="AH142" s="882" t="s">
        <v>271</v>
      </c>
      <c r="AI142" s="1025" t="s">
        <v>532</v>
      </c>
      <c r="AJ142" s="1025" t="s">
        <v>680</v>
      </c>
      <c r="AK142" s="1029"/>
      <c r="AL142" s="1025" t="s">
        <v>681</v>
      </c>
      <c r="AM142" s="1025" t="s">
        <v>519</v>
      </c>
      <c r="AN142" s="1029"/>
      <c r="AO142" s="1025">
        <v>735605.84232113999</v>
      </c>
      <c r="AP142" s="1025">
        <v>354353.54671357101</v>
      </c>
      <c r="AQ142" s="1025">
        <v>381252.29560756899</v>
      </c>
      <c r="AR142" s="1025" t="s">
        <v>269</v>
      </c>
      <c r="AS142" s="1025" t="s">
        <v>269</v>
      </c>
      <c r="AT142" s="1025" t="s">
        <v>269</v>
      </c>
      <c r="AU142" s="1025" t="s">
        <v>269</v>
      </c>
      <c r="AV142" s="1025" t="s">
        <v>269</v>
      </c>
      <c r="AW142" s="1025" t="s">
        <v>269</v>
      </c>
      <c r="AX142" s="1025" t="s">
        <v>269</v>
      </c>
      <c r="AY142" s="1025" t="s">
        <v>269</v>
      </c>
      <c r="AZ142" s="1049"/>
    </row>
    <row r="143" spans="1:52" ht="63" x14ac:dyDescent="0.25">
      <c r="A143" s="1015"/>
      <c r="B143" s="1004"/>
      <c r="C143" s="1017"/>
      <c r="D143" s="388" t="s">
        <v>151</v>
      </c>
      <c r="E143" s="386"/>
      <c r="F143" s="411"/>
      <c r="G143" s="405"/>
      <c r="H143" s="405"/>
      <c r="I143" s="405"/>
      <c r="J143" s="405"/>
      <c r="K143" s="405"/>
      <c r="L143" s="405"/>
      <c r="M143" s="413"/>
      <c r="N143" s="405"/>
      <c r="O143" s="405"/>
      <c r="P143" s="405"/>
      <c r="Q143" s="406"/>
      <c r="R143" s="411">
        <f>1035240*33</f>
        <v>34162920</v>
      </c>
      <c r="S143" s="893"/>
      <c r="T143" s="407"/>
      <c r="U143" s="407"/>
      <c r="V143" s="407"/>
      <c r="W143" s="407"/>
      <c r="X143" s="407"/>
      <c r="Y143" s="407"/>
      <c r="Z143" s="413"/>
      <c r="AA143" s="409"/>
      <c r="AB143" s="409"/>
      <c r="AC143" s="409"/>
      <c r="AD143" s="406"/>
      <c r="AE143" s="390">
        <f>1005724*33</f>
        <v>33188892</v>
      </c>
      <c r="AF143" s="893"/>
      <c r="AG143" s="899"/>
      <c r="AH143" s="883"/>
      <c r="AI143" s="1028"/>
      <c r="AJ143" s="1028"/>
      <c r="AK143" s="1029"/>
      <c r="AL143" s="1028"/>
      <c r="AM143" s="1028"/>
      <c r="AN143" s="1029"/>
      <c r="AO143" s="1028"/>
      <c r="AP143" s="1028"/>
      <c r="AQ143" s="1028"/>
      <c r="AR143" s="1028"/>
      <c r="AS143" s="1028"/>
      <c r="AT143" s="1028"/>
      <c r="AU143" s="1028"/>
      <c r="AV143" s="1028"/>
      <c r="AW143" s="1028"/>
      <c r="AX143" s="1028"/>
      <c r="AY143" s="1028"/>
      <c r="AZ143" s="1049"/>
    </row>
    <row r="144" spans="1:52" ht="21" customHeight="1" x14ac:dyDescent="0.25">
      <c r="A144" s="1015"/>
      <c r="B144" s="1004"/>
      <c r="C144" s="1017"/>
      <c r="D144" s="394" t="s">
        <v>153</v>
      </c>
      <c r="E144" s="386"/>
      <c r="F144" s="404"/>
      <c r="G144" s="405"/>
      <c r="H144" s="405"/>
      <c r="I144" s="405"/>
      <c r="J144" s="405"/>
      <c r="K144" s="405"/>
      <c r="L144" s="405"/>
      <c r="M144" s="413"/>
      <c r="N144" s="405"/>
      <c r="O144" s="405"/>
      <c r="P144" s="405"/>
      <c r="Q144" s="406"/>
      <c r="R144" s="404"/>
      <c r="S144" s="893"/>
      <c r="T144" s="407"/>
      <c r="U144" s="407"/>
      <c r="V144" s="407"/>
      <c r="W144" s="407"/>
      <c r="X144" s="407"/>
      <c r="Y144" s="407"/>
      <c r="Z144" s="413"/>
      <c r="AA144" s="409"/>
      <c r="AB144" s="409"/>
      <c r="AC144" s="409"/>
      <c r="AD144" s="406"/>
      <c r="AE144" s="410"/>
      <c r="AF144" s="893"/>
      <c r="AG144" s="899"/>
      <c r="AH144" s="883"/>
      <c r="AI144" s="1028"/>
      <c r="AJ144" s="1028"/>
      <c r="AK144" s="1029"/>
      <c r="AL144" s="1028"/>
      <c r="AM144" s="1028"/>
      <c r="AN144" s="1029"/>
      <c r="AO144" s="1028"/>
      <c r="AP144" s="1028"/>
      <c r="AQ144" s="1028"/>
      <c r="AR144" s="1028"/>
      <c r="AS144" s="1028"/>
      <c r="AT144" s="1028"/>
      <c r="AU144" s="1028"/>
      <c r="AV144" s="1028"/>
      <c r="AW144" s="1028"/>
      <c r="AX144" s="1028"/>
      <c r="AY144" s="1028"/>
      <c r="AZ144" s="1049"/>
    </row>
    <row r="145" spans="1:52" ht="21" customHeight="1" x14ac:dyDescent="0.25">
      <c r="A145" s="1015"/>
      <c r="B145" s="1004"/>
      <c r="C145" s="1017"/>
      <c r="D145" s="388" t="s">
        <v>154</v>
      </c>
      <c r="E145" s="386"/>
      <c r="F145" s="404"/>
      <c r="G145" s="405"/>
      <c r="H145" s="405"/>
      <c r="I145" s="405"/>
      <c r="J145" s="405"/>
      <c r="K145" s="405"/>
      <c r="L145" s="405"/>
      <c r="M145" s="413"/>
      <c r="N145" s="405"/>
      <c r="O145" s="405"/>
      <c r="P145" s="405"/>
      <c r="Q145" s="406"/>
      <c r="R145" s="404"/>
      <c r="S145" s="893"/>
      <c r="T145" s="407"/>
      <c r="U145" s="407"/>
      <c r="V145" s="407"/>
      <c r="W145" s="407"/>
      <c r="X145" s="407"/>
      <c r="Y145" s="407"/>
      <c r="Z145" s="413"/>
      <c r="AA145" s="409"/>
      <c r="AB145" s="409"/>
      <c r="AC145" s="409"/>
      <c r="AD145" s="406"/>
      <c r="AE145" s="410"/>
      <c r="AF145" s="893"/>
      <c r="AG145" s="899"/>
      <c r="AH145" s="883"/>
      <c r="AI145" s="1028"/>
      <c r="AJ145" s="1028"/>
      <c r="AK145" s="1029"/>
      <c r="AL145" s="1028"/>
      <c r="AM145" s="1028"/>
      <c r="AN145" s="1029"/>
      <c r="AO145" s="1028"/>
      <c r="AP145" s="1028"/>
      <c r="AQ145" s="1028"/>
      <c r="AR145" s="1028"/>
      <c r="AS145" s="1028"/>
      <c r="AT145" s="1028"/>
      <c r="AU145" s="1028"/>
      <c r="AV145" s="1028"/>
      <c r="AW145" s="1028"/>
      <c r="AX145" s="1028"/>
      <c r="AY145" s="1028"/>
      <c r="AZ145" s="1049"/>
    </row>
    <row r="146" spans="1:52" ht="21" customHeight="1" x14ac:dyDescent="0.25">
      <c r="A146" s="1015"/>
      <c r="B146" s="1004"/>
      <c r="C146" s="1017"/>
      <c r="D146" s="394" t="s">
        <v>155</v>
      </c>
      <c r="E146" s="386"/>
      <c r="F146" s="412"/>
      <c r="G146" s="405"/>
      <c r="H146" s="405"/>
      <c r="I146" s="405"/>
      <c r="J146" s="405"/>
      <c r="K146" s="405"/>
      <c r="L146" s="405"/>
      <c r="M146" s="413"/>
      <c r="N146" s="405"/>
      <c r="O146" s="405"/>
      <c r="P146" s="405"/>
      <c r="Q146" s="406"/>
      <c r="R146" s="412"/>
      <c r="S146" s="893"/>
      <c r="T146" s="407"/>
      <c r="U146" s="407"/>
      <c r="V146" s="407"/>
      <c r="W146" s="407"/>
      <c r="X146" s="407"/>
      <c r="Y146" s="407"/>
      <c r="Z146" s="413"/>
      <c r="AA146" s="409"/>
      <c r="AB146" s="409"/>
      <c r="AC146" s="409"/>
      <c r="AD146" s="406"/>
      <c r="AE146" s="410"/>
      <c r="AF146" s="893"/>
      <c r="AG146" s="899"/>
      <c r="AH146" s="883"/>
      <c r="AI146" s="1028"/>
      <c r="AJ146" s="1028"/>
      <c r="AK146" s="1029"/>
      <c r="AL146" s="1028"/>
      <c r="AM146" s="1028"/>
      <c r="AN146" s="1029"/>
      <c r="AO146" s="1028"/>
      <c r="AP146" s="1028"/>
      <c r="AQ146" s="1028"/>
      <c r="AR146" s="1028"/>
      <c r="AS146" s="1028"/>
      <c r="AT146" s="1028"/>
      <c r="AU146" s="1028"/>
      <c r="AV146" s="1028"/>
      <c r="AW146" s="1028"/>
      <c r="AX146" s="1028"/>
      <c r="AY146" s="1028"/>
      <c r="AZ146" s="1049"/>
    </row>
    <row r="147" spans="1:52" ht="21" customHeight="1" thickBot="1" x14ac:dyDescent="0.3">
      <c r="A147" s="1015"/>
      <c r="B147" s="1004"/>
      <c r="C147" s="1018"/>
      <c r="D147" s="403" t="s">
        <v>156</v>
      </c>
      <c r="E147" s="386"/>
      <c r="F147" s="404"/>
      <c r="G147" s="405"/>
      <c r="H147" s="405"/>
      <c r="I147" s="405"/>
      <c r="J147" s="405"/>
      <c r="K147" s="405"/>
      <c r="L147" s="405"/>
      <c r="M147" s="413"/>
      <c r="N147" s="405"/>
      <c r="O147" s="405"/>
      <c r="P147" s="405"/>
      <c r="Q147" s="406"/>
      <c r="R147" s="404"/>
      <c r="S147" s="894"/>
      <c r="T147" s="407"/>
      <c r="U147" s="407"/>
      <c r="V147" s="407"/>
      <c r="W147" s="407"/>
      <c r="X147" s="407"/>
      <c r="Y147" s="407"/>
      <c r="Z147" s="413"/>
      <c r="AA147" s="409"/>
      <c r="AB147" s="409"/>
      <c r="AC147" s="409"/>
      <c r="AD147" s="406"/>
      <c r="AE147" s="410"/>
      <c r="AF147" s="894"/>
      <c r="AG147" s="900"/>
      <c r="AH147" s="884"/>
      <c r="AI147" s="1028"/>
      <c r="AJ147" s="1028"/>
      <c r="AK147" s="1029"/>
      <c r="AL147" s="1028"/>
      <c r="AM147" s="1028"/>
      <c r="AN147" s="1029"/>
      <c r="AO147" s="1028"/>
      <c r="AP147" s="1028"/>
      <c r="AQ147" s="1028"/>
      <c r="AR147" s="1028"/>
      <c r="AS147" s="1028"/>
      <c r="AT147" s="1028"/>
      <c r="AU147" s="1028"/>
      <c r="AV147" s="1028"/>
      <c r="AW147" s="1028"/>
      <c r="AX147" s="1028"/>
      <c r="AY147" s="1028"/>
      <c r="AZ147" s="1049"/>
    </row>
    <row r="148" spans="1:52" ht="15" customHeight="1" x14ac:dyDescent="0.25">
      <c r="A148" s="1015"/>
      <c r="B148" s="1004"/>
      <c r="C148" s="1016" t="s">
        <v>272</v>
      </c>
      <c r="D148" s="379" t="s">
        <v>149</v>
      </c>
      <c r="E148" s="386"/>
      <c r="F148" s="408"/>
      <c r="G148" s="405"/>
      <c r="H148" s="405"/>
      <c r="I148" s="405"/>
      <c r="J148" s="405"/>
      <c r="K148" s="405"/>
      <c r="L148" s="405"/>
      <c r="M148" s="413"/>
      <c r="N148" s="405"/>
      <c r="O148" s="405"/>
      <c r="P148" s="405"/>
      <c r="Q148" s="406"/>
      <c r="R148" s="408">
        <f>0.01305*27</f>
        <v>0.35235</v>
      </c>
      <c r="S148" s="892" t="s">
        <v>602</v>
      </c>
      <c r="T148" s="407"/>
      <c r="U148" s="407"/>
      <c r="V148" s="407">
        <v>1</v>
      </c>
      <c r="W148" s="407">
        <v>2</v>
      </c>
      <c r="X148" s="407">
        <v>6</v>
      </c>
      <c r="Y148" s="407"/>
      <c r="Z148" s="413"/>
      <c r="AA148" s="409"/>
      <c r="AB148" s="409"/>
      <c r="AC148" s="409"/>
      <c r="AD148" s="406"/>
      <c r="AE148" s="410">
        <f>0.013*27</f>
        <v>0.35099999999999998</v>
      </c>
      <c r="AF148" s="892" t="s">
        <v>617</v>
      </c>
      <c r="AG148" s="895"/>
      <c r="AH148" s="882" t="s">
        <v>272</v>
      </c>
      <c r="AI148" s="1025" t="s">
        <v>520</v>
      </c>
      <c r="AJ148" s="1025" t="s">
        <v>682</v>
      </c>
      <c r="AK148" s="1029"/>
      <c r="AL148" s="1025" t="s">
        <v>683</v>
      </c>
      <c r="AM148" s="1025" t="s">
        <v>90</v>
      </c>
      <c r="AN148" s="1029"/>
      <c r="AO148" s="1025">
        <v>163230.72497655501</v>
      </c>
      <c r="AP148" s="1025">
        <v>77499.342048074206</v>
      </c>
      <c r="AQ148" s="1025">
        <v>85731.382928481107</v>
      </c>
      <c r="AR148" s="1025" t="s">
        <v>269</v>
      </c>
      <c r="AS148" s="1025" t="s">
        <v>269</v>
      </c>
      <c r="AT148" s="1025" t="s">
        <v>269</v>
      </c>
      <c r="AU148" s="1025" t="s">
        <v>269</v>
      </c>
      <c r="AV148" s="1025" t="s">
        <v>269</v>
      </c>
      <c r="AW148" s="1025" t="s">
        <v>269</v>
      </c>
      <c r="AX148" s="1025" t="s">
        <v>269</v>
      </c>
      <c r="AY148" s="1025" t="s">
        <v>269</v>
      </c>
      <c r="AZ148" s="1049"/>
    </row>
    <row r="149" spans="1:52" ht="18.75" customHeight="1" x14ac:dyDescent="0.25">
      <c r="A149" s="1015"/>
      <c r="B149" s="1004"/>
      <c r="C149" s="1017"/>
      <c r="D149" s="388" t="s">
        <v>151</v>
      </c>
      <c r="E149" s="386"/>
      <c r="F149" s="411"/>
      <c r="G149" s="405"/>
      <c r="H149" s="405"/>
      <c r="I149" s="405"/>
      <c r="J149" s="405"/>
      <c r="K149" s="405"/>
      <c r="L149" s="405"/>
      <c r="M149" s="413"/>
      <c r="N149" s="405"/>
      <c r="O149" s="405"/>
      <c r="P149" s="405"/>
      <c r="Q149" s="406"/>
      <c r="R149" s="411">
        <f>1035240*27</f>
        <v>27951480</v>
      </c>
      <c r="S149" s="893"/>
      <c r="T149" s="407"/>
      <c r="U149" s="407"/>
      <c r="V149" s="407"/>
      <c r="W149" s="407"/>
      <c r="X149" s="407"/>
      <c r="Y149" s="407"/>
      <c r="Z149" s="413"/>
      <c r="AA149" s="409"/>
      <c r="AB149" s="409"/>
      <c r="AC149" s="409"/>
      <c r="AD149" s="406"/>
      <c r="AE149" s="390">
        <f>1005724*27</f>
        <v>27154548</v>
      </c>
      <c r="AF149" s="893"/>
      <c r="AG149" s="896"/>
      <c r="AH149" s="883"/>
      <c r="AI149" s="1028"/>
      <c r="AJ149" s="1028"/>
      <c r="AK149" s="1029"/>
      <c r="AL149" s="1028"/>
      <c r="AM149" s="1028"/>
      <c r="AN149" s="1029"/>
      <c r="AO149" s="1028"/>
      <c r="AP149" s="1028"/>
      <c r="AQ149" s="1028"/>
      <c r="AR149" s="1028"/>
      <c r="AS149" s="1028"/>
      <c r="AT149" s="1028"/>
      <c r="AU149" s="1028"/>
      <c r="AV149" s="1028"/>
      <c r="AW149" s="1028"/>
      <c r="AX149" s="1028"/>
      <c r="AY149" s="1028"/>
      <c r="AZ149" s="1049"/>
    </row>
    <row r="150" spans="1:52" ht="18.75" customHeight="1" x14ac:dyDescent="0.25">
      <c r="A150" s="1015"/>
      <c r="B150" s="1004"/>
      <c r="C150" s="1017"/>
      <c r="D150" s="394" t="s">
        <v>153</v>
      </c>
      <c r="E150" s="386"/>
      <c r="F150" s="404"/>
      <c r="G150" s="405"/>
      <c r="H150" s="405"/>
      <c r="I150" s="405"/>
      <c r="J150" s="405"/>
      <c r="K150" s="405"/>
      <c r="L150" s="405"/>
      <c r="M150" s="413"/>
      <c r="N150" s="405"/>
      <c r="O150" s="405"/>
      <c r="P150" s="405"/>
      <c r="Q150" s="406"/>
      <c r="R150" s="404"/>
      <c r="S150" s="893"/>
      <c r="T150" s="407"/>
      <c r="U150" s="407"/>
      <c r="V150" s="407"/>
      <c r="W150" s="407"/>
      <c r="X150" s="407"/>
      <c r="Y150" s="407"/>
      <c r="Z150" s="413"/>
      <c r="AA150" s="409"/>
      <c r="AB150" s="409"/>
      <c r="AC150" s="409"/>
      <c r="AD150" s="406"/>
      <c r="AE150" s="410"/>
      <c r="AF150" s="893"/>
      <c r="AG150" s="896"/>
      <c r="AH150" s="883"/>
      <c r="AI150" s="1028"/>
      <c r="AJ150" s="1028"/>
      <c r="AK150" s="1029"/>
      <c r="AL150" s="1028"/>
      <c r="AM150" s="1028"/>
      <c r="AN150" s="1029"/>
      <c r="AO150" s="1028"/>
      <c r="AP150" s="1028"/>
      <c r="AQ150" s="1028"/>
      <c r="AR150" s="1028"/>
      <c r="AS150" s="1028"/>
      <c r="AT150" s="1028"/>
      <c r="AU150" s="1028"/>
      <c r="AV150" s="1028"/>
      <c r="AW150" s="1028"/>
      <c r="AX150" s="1028"/>
      <c r="AY150" s="1028"/>
      <c r="AZ150" s="1049"/>
    </row>
    <row r="151" spans="1:52" ht="18.75" customHeight="1" x14ac:dyDescent="0.25">
      <c r="A151" s="1015"/>
      <c r="B151" s="1004"/>
      <c r="C151" s="1017"/>
      <c r="D151" s="388" t="s">
        <v>154</v>
      </c>
      <c r="E151" s="386"/>
      <c r="F151" s="404"/>
      <c r="G151" s="405"/>
      <c r="H151" s="405"/>
      <c r="I151" s="405"/>
      <c r="J151" s="405"/>
      <c r="K151" s="405"/>
      <c r="L151" s="405"/>
      <c r="M151" s="413"/>
      <c r="N151" s="405"/>
      <c r="O151" s="405"/>
      <c r="P151" s="405"/>
      <c r="Q151" s="406"/>
      <c r="R151" s="404"/>
      <c r="S151" s="893"/>
      <c r="T151" s="407"/>
      <c r="U151" s="407"/>
      <c r="V151" s="407"/>
      <c r="W151" s="407"/>
      <c r="X151" s="407"/>
      <c r="Y151" s="407"/>
      <c r="Z151" s="413"/>
      <c r="AA151" s="409"/>
      <c r="AB151" s="409"/>
      <c r="AC151" s="409"/>
      <c r="AD151" s="406"/>
      <c r="AE151" s="410"/>
      <c r="AF151" s="893"/>
      <c r="AG151" s="896"/>
      <c r="AH151" s="883"/>
      <c r="AI151" s="1028"/>
      <c r="AJ151" s="1028"/>
      <c r="AK151" s="1029"/>
      <c r="AL151" s="1028"/>
      <c r="AM151" s="1028"/>
      <c r="AN151" s="1029"/>
      <c r="AO151" s="1028"/>
      <c r="AP151" s="1028"/>
      <c r="AQ151" s="1028"/>
      <c r="AR151" s="1028"/>
      <c r="AS151" s="1028"/>
      <c r="AT151" s="1028"/>
      <c r="AU151" s="1028"/>
      <c r="AV151" s="1028"/>
      <c r="AW151" s="1028"/>
      <c r="AX151" s="1028"/>
      <c r="AY151" s="1028"/>
      <c r="AZ151" s="1049"/>
    </row>
    <row r="152" spans="1:52" ht="18.75" customHeight="1" x14ac:dyDescent="0.25">
      <c r="A152" s="1015"/>
      <c r="B152" s="1004"/>
      <c r="C152" s="1017"/>
      <c r="D152" s="394" t="s">
        <v>155</v>
      </c>
      <c r="E152" s="386"/>
      <c r="F152" s="412"/>
      <c r="G152" s="405"/>
      <c r="H152" s="405"/>
      <c r="I152" s="405"/>
      <c r="J152" s="405"/>
      <c r="K152" s="405"/>
      <c r="L152" s="405"/>
      <c r="M152" s="413"/>
      <c r="N152" s="405"/>
      <c r="O152" s="405"/>
      <c r="P152" s="405"/>
      <c r="Q152" s="406"/>
      <c r="R152" s="412"/>
      <c r="S152" s="893"/>
      <c r="T152" s="407"/>
      <c r="U152" s="407"/>
      <c r="V152" s="407"/>
      <c r="W152" s="407"/>
      <c r="X152" s="407"/>
      <c r="Y152" s="407"/>
      <c r="Z152" s="413"/>
      <c r="AA152" s="409"/>
      <c r="AB152" s="409"/>
      <c r="AC152" s="409"/>
      <c r="AD152" s="406"/>
      <c r="AE152" s="410"/>
      <c r="AF152" s="893"/>
      <c r="AG152" s="896"/>
      <c r="AH152" s="883"/>
      <c r="AI152" s="1028"/>
      <c r="AJ152" s="1028"/>
      <c r="AK152" s="1029"/>
      <c r="AL152" s="1028"/>
      <c r="AM152" s="1028"/>
      <c r="AN152" s="1029"/>
      <c r="AO152" s="1028"/>
      <c r="AP152" s="1028"/>
      <c r="AQ152" s="1028"/>
      <c r="AR152" s="1028"/>
      <c r="AS152" s="1028"/>
      <c r="AT152" s="1028"/>
      <c r="AU152" s="1028"/>
      <c r="AV152" s="1028"/>
      <c r="AW152" s="1028"/>
      <c r="AX152" s="1028"/>
      <c r="AY152" s="1028"/>
      <c r="AZ152" s="1049"/>
    </row>
    <row r="153" spans="1:52" ht="15" customHeight="1" thickBot="1" x14ac:dyDescent="0.3">
      <c r="A153" s="1015"/>
      <c r="B153" s="1004"/>
      <c r="C153" s="1018"/>
      <c r="D153" s="403" t="s">
        <v>156</v>
      </c>
      <c r="E153" s="386"/>
      <c r="F153" s="404"/>
      <c r="G153" s="405"/>
      <c r="H153" s="405"/>
      <c r="I153" s="405"/>
      <c r="J153" s="405"/>
      <c r="K153" s="405"/>
      <c r="L153" s="405"/>
      <c r="M153" s="413"/>
      <c r="N153" s="405"/>
      <c r="O153" s="405"/>
      <c r="P153" s="405"/>
      <c r="Q153" s="406"/>
      <c r="R153" s="404"/>
      <c r="S153" s="894"/>
      <c r="T153" s="407"/>
      <c r="U153" s="407"/>
      <c r="V153" s="407"/>
      <c r="W153" s="407"/>
      <c r="X153" s="407"/>
      <c r="Y153" s="407"/>
      <c r="Z153" s="413"/>
      <c r="AA153" s="409"/>
      <c r="AB153" s="409"/>
      <c r="AC153" s="409"/>
      <c r="AD153" s="406"/>
      <c r="AE153" s="410"/>
      <c r="AF153" s="894"/>
      <c r="AG153" s="898"/>
      <c r="AH153" s="884"/>
      <c r="AI153" s="1028"/>
      <c r="AJ153" s="1028"/>
      <c r="AK153" s="1029"/>
      <c r="AL153" s="1028"/>
      <c r="AM153" s="1028"/>
      <c r="AN153" s="1029"/>
      <c r="AO153" s="1028"/>
      <c r="AP153" s="1028"/>
      <c r="AQ153" s="1028"/>
      <c r="AR153" s="1028"/>
      <c r="AS153" s="1028"/>
      <c r="AT153" s="1028"/>
      <c r="AU153" s="1028"/>
      <c r="AV153" s="1028"/>
      <c r="AW153" s="1028"/>
      <c r="AX153" s="1028"/>
      <c r="AY153" s="1028"/>
      <c r="AZ153" s="1049"/>
    </row>
    <row r="154" spans="1:52" ht="15" customHeight="1" x14ac:dyDescent="0.25">
      <c r="A154" s="1015"/>
      <c r="B154" s="1004"/>
      <c r="C154" s="1016" t="s">
        <v>273</v>
      </c>
      <c r="D154" s="379" t="s">
        <v>149</v>
      </c>
      <c r="E154" s="386"/>
      <c r="F154" s="408"/>
      <c r="G154" s="405"/>
      <c r="H154" s="405"/>
      <c r="I154" s="405"/>
      <c r="J154" s="405"/>
      <c r="K154" s="405"/>
      <c r="L154" s="405"/>
      <c r="M154" s="413"/>
      <c r="N154" s="405"/>
      <c r="O154" s="405"/>
      <c r="P154" s="405"/>
      <c r="Q154" s="406"/>
      <c r="R154" s="408">
        <f>0.01305*32</f>
        <v>0.41760000000000003</v>
      </c>
      <c r="S154" s="892" t="s">
        <v>603</v>
      </c>
      <c r="T154" s="407"/>
      <c r="U154" s="407"/>
      <c r="V154" s="407">
        <v>5</v>
      </c>
      <c r="W154" s="407">
        <v>6</v>
      </c>
      <c r="X154" s="407">
        <v>10</v>
      </c>
      <c r="Y154" s="407"/>
      <c r="Z154" s="413"/>
      <c r="AA154" s="409"/>
      <c r="AB154" s="409"/>
      <c r="AC154" s="409"/>
      <c r="AD154" s="406"/>
      <c r="AE154" s="410">
        <f>0.013*32</f>
        <v>0.41599999999999998</v>
      </c>
      <c r="AF154" s="892" t="s">
        <v>618</v>
      </c>
      <c r="AG154" s="895"/>
      <c r="AH154" s="882" t="s">
        <v>273</v>
      </c>
      <c r="AI154" s="1025" t="s">
        <v>684</v>
      </c>
      <c r="AJ154" s="1025" t="s">
        <v>685</v>
      </c>
      <c r="AK154" s="1029"/>
      <c r="AL154" s="1025" t="s">
        <v>686</v>
      </c>
      <c r="AM154" s="1025" t="s">
        <v>687</v>
      </c>
      <c r="AN154" s="1029"/>
      <c r="AO154" s="1025">
        <v>628525.76807830296</v>
      </c>
      <c r="AP154" s="1025">
        <v>306775.50657670101</v>
      </c>
      <c r="AQ154" s="1025">
        <v>321750.26150160201</v>
      </c>
      <c r="AR154" s="1025" t="s">
        <v>269</v>
      </c>
      <c r="AS154" s="1025" t="s">
        <v>269</v>
      </c>
      <c r="AT154" s="1025" t="s">
        <v>269</v>
      </c>
      <c r="AU154" s="1025" t="s">
        <v>269</v>
      </c>
      <c r="AV154" s="1025" t="s">
        <v>269</v>
      </c>
      <c r="AW154" s="1025" t="s">
        <v>269</v>
      </c>
      <c r="AX154" s="1025" t="s">
        <v>269</v>
      </c>
      <c r="AY154" s="1025" t="s">
        <v>269</v>
      </c>
      <c r="AZ154" s="1049"/>
    </row>
    <row r="155" spans="1:52" ht="15" customHeight="1" x14ac:dyDescent="0.25">
      <c r="A155" s="1015"/>
      <c r="B155" s="1004"/>
      <c r="C155" s="1017"/>
      <c r="D155" s="388" t="s">
        <v>151</v>
      </c>
      <c r="E155" s="386"/>
      <c r="F155" s="411"/>
      <c r="G155" s="405"/>
      <c r="H155" s="405"/>
      <c r="I155" s="405"/>
      <c r="J155" s="405"/>
      <c r="K155" s="405"/>
      <c r="L155" s="405"/>
      <c r="M155" s="413"/>
      <c r="N155" s="405"/>
      <c r="O155" s="405"/>
      <c r="P155" s="405"/>
      <c r="Q155" s="406"/>
      <c r="R155" s="411">
        <f>1035240*32</f>
        <v>33127680</v>
      </c>
      <c r="S155" s="893"/>
      <c r="T155" s="407"/>
      <c r="U155" s="407"/>
      <c r="V155" s="407"/>
      <c r="W155" s="407"/>
      <c r="X155" s="407"/>
      <c r="Y155" s="407"/>
      <c r="Z155" s="413"/>
      <c r="AA155" s="409"/>
      <c r="AB155" s="409"/>
      <c r="AC155" s="409"/>
      <c r="AD155" s="406"/>
      <c r="AE155" s="390">
        <f>1005724*32</f>
        <v>32183168</v>
      </c>
      <c r="AF155" s="893"/>
      <c r="AG155" s="896"/>
      <c r="AH155" s="883"/>
      <c r="AI155" s="1028"/>
      <c r="AJ155" s="1028"/>
      <c r="AK155" s="1029"/>
      <c r="AL155" s="1028"/>
      <c r="AM155" s="1028"/>
      <c r="AN155" s="1029"/>
      <c r="AO155" s="1028"/>
      <c r="AP155" s="1028"/>
      <c r="AQ155" s="1028"/>
      <c r="AR155" s="1028"/>
      <c r="AS155" s="1028"/>
      <c r="AT155" s="1028"/>
      <c r="AU155" s="1028"/>
      <c r="AV155" s="1028"/>
      <c r="AW155" s="1028"/>
      <c r="AX155" s="1028"/>
      <c r="AY155" s="1028"/>
      <c r="AZ155" s="1049"/>
    </row>
    <row r="156" spans="1:52" ht="15" customHeight="1" x14ac:dyDescent="0.25">
      <c r="A156" s="1015"/>
      <c r="B156" s="1004"/>
      <c r="C156" s="1017"/>
      <c r="D156" s="394" t="s">
        <v>153</v>
      </c>
      <c r="E156" s="386"/>
      <c r="F156" s="404"/>
      <c r="G156" s="405"/>
      <c r="H156" s="405"/>
      <c r="I156" s="405"/>
      <c r="J156" s="405"/>
      <c r="K156" s="405"/>
      <c r="L156" s="405"/>
      <c r="M156" s="413"/>
      <c r="N156" s="405"/>
      <c r="O156" s="405"/>
      <c r="P156" s="405"/>
      <c r="Q156" s="406"/>
      <c r="R156" s="404"/>
      <c r="S156" s="893"/>
      <c r="T156" s="407"/>
      <c r="U156" s="407"/>
      <c r="V156" s="407"/>
      <c r="W156" s="407"/>
      <c r="X156" s="407"/>
      <c r="Y156" s="407"/>
      <c r="Z156" s="413"/>
      <c r="AA156" s="409"/>
      <c r="AB156" s="409"/>
      <c r="AC156" s="409"/>
      <c r="AD156" s="406"/>
      <c r="AE156" s="410"/>
      <c r="AF156" s="893"/>
      <c r="AG156" s="896"/>
      <c r="AH156" s="883"/>
      <c r="AI156" s="1028"/>
      <c r="AJ156" s="1028"/>
      <c r="AK156" s="1029"/>
      <c r="AL156" s="1028"/>
      <c r="AM156" s="1028"/>
      <c r="AN156" s="1029"/>
      <c r="AO156" s="1028"/>
      <c r="AP156" s="1028"/>
      <c r="AQ156" s="1028"/>
      <c r="AR156" s="1028"/>
      <c r="AS156" s="1028"/>
      <c r="AT156" s="1028"/>
      <c r="AU156" s="1028"/>
      <c r="AV156" s="1028"/>
      <c r="AW156" s="1028"/>
      <c r="AX156" s="1028"/>
      <c r="AY156" s="1028"/>
      <c r="AZ156" s="1049"/>
    </row>
    <row r="157" spans="1:52" ht="15" customHeight="1" x14ac:dyDescent="0.25">
      <c r="A157" s="1015"/>
      <c r="B157" s="1004"/>
      <c r="C157" s="1017"/>
      <c r="D157" s="388" t="s">
        <v>154</v>
      </c>
      <c r="E157" s="386"/>
      <c r="F157" s="404"/>
      <c r="G157" s="405"/>
      <c r="H157" s="405"/>
      <c r="I157" s="405"/>
      <c r="J157" s="405"/>
      <c r="K157" s="405"/>
      <c r="L157" s="405"/>
      <c r="M157" s="413"/>
      <c r="N157" s="405"/>
      <c r="O157" s="405"/>
      <c r="P157" s="405"/>
      <c r="Q157" s="406"/>
      <c r="R157" s="404"/>
      <c r="S157" s="893"/>
      <c r="T157" s="407"/>
      <c r="U157" s="407"/>
      <c r="V157" s="407"/>
      <c r="W157" s="407"/>
      <c r="X157" s="407"/>
      <c r="Y157" s="407"/>
      <c r="Z157" s="413"/>
      <c r="AA157" s="409"/>
      <c r="AB157" s="409"/>
      <c r="AC157" s="409"/>
      <c r="AD157" s="406"/>
      <c r="AE157" s="410"/>
      <c r="AF157" s="893"/>
      <c r="AG157" s="896"/>
      <c r="AH157" s="883"/>
      <c r="AI157" s="1028"/>
      <c r="AJ157" s="1028"/>
      <c r="AK157" s="1029"/>
      <c r="AL157" s="1028"/>
      <c r="AM157" s="1028"/>
      <c r="AN157" s="1029"/>
      <c r="AO157" s="1028"/>
      <c r="AP157" s="1028"/>
      <c r="AQ157" s="1028"/>
      <c r="AR157" s="1028"/>
      <c r="AS157" s="1028"/>
      <c r="AT157" s="1028"/>
      <c r="AU157" s="1028"/>
      <c r="AV157" s="1028"/>
      <c r="AW157" s="1028"/>
      <c r="AX157" s="1028"/>
      <c r="AY157" s="1028"/>
      <c r="AZ157" s="1049"/>
    </row>
    <row r="158" spans="1:52" ht="15" customHeight="1" x14ac:dyDescent="0.25">
      <c r="A158" s="1015"/>
      <c r="B158" s="1004"/>
      <c r="C158" s="1017"/>
      <c r="D158" s="394" t="s">
        <v>155</v>
      </c>
      <c r="E158" s="386"/>
      <c r="F158" s="412"/>
      <c r="G158" s="405"/>
      <c r="H158" s="405"/>
      <c r="I158" s="405"/>
      <c r="J158" s="405"/>
      <c r="K158" s="405"/>
      <c r="L158" s="405"/>
      <c r="M158" s="413"/>
      <c r="N158" s="405"/>
      <c r="O158" s="405"/>
      <c r="P158" s="405"/>
      <c r="Q158" s="406"/>
      <c r="R158" s="412"/>
      <c r="S158" s="893"/>
      <c r="T158" s="407"/>
      <c r="U158" s="407"/>
      <c r="V158" s="407"/>
      <c r="W158" s="407"/>
      <c r="X158" s="407"/>
      <c r="Y158" s="407"/>
      <c r="Z158" s="413"/>
      <c r="AA158" s="409"/>
      <c r="AB158" s="409"/>
      <c r="AC158" s="409"/>
      <c r="AD158" s="406"/>
      <c r="AE158" s="410"/>
      <c r="AF158" s="893"/>
      <c r="AG158" s="896"/>
      <c r="AH158" s="883"/>
      <c r="AI158" s="1028"/>
      <c r="AJ158" s="1028"/>
      <c r="AK158" s="1029"/>
      <c r="AL158" s="1028"/>
      <c r="AM158" s="1028"/>
      <c r="AN158" s="1029"/>
      <c r="AO158" s="1028"/>
      <c r="AP158" s="1028"/>
      <c r="AQ158" s="1028"/>
      <c r="AR158" s="1028"/>
      <c r="AS158" s="1028"/>
      <c r="AT158" s="1028"/>
      <c r="AU158" s="1028"/>
      <c r="AV158" s="1028"/>
      <c r="AW158" s="1028"/>
      <c r="AX158" s="1028"/>
      <c r="AY158" s="1028"/>
      <c r="AZ158" s="1049"/>
    </row>
    <row r="159" spans="1:52" ht="15" customHeight="1" thickBot="1" x14ac:dyDescent="0.3">
      <c r="A159" s="1015"/>
      <c r="B159" s="1004"/>
      <c r="C159" s="1018"/>
      <c r="D159" s="403" t="s">
        <v>156</v>
      </c>
      <c r="E159" s="386"/>
      <c r="F159" s="404"/>
      <c r="G159" s="405"/>
      <c r="H159" s="405"/>
      <c r="I159" s="405"/>
      <c r="J159" s="405"/>
      <c r="K159" s="405"/>
      <c r="L159" s="405"/>
      <c r="M159" s="413"/>
      <c r="N159" s="405"/>
      <c r="O159" s="405"/>
      <c r="P159" s="405"/>
      <c r="Q159" s="406"/>
      <c r="R159" s="404"/>
      <c r="S159" s="894"/>
      <c r="T159" s="407"/>
      <c r="U159" s="407"/>
      <c r="V159" s="407"/>
      <c r="W159" s="407"/>
      <c r="X159" s="407"/>
      <c r="Y159" s="407"/>
      <c r="Z159" s="413"/>
      <c r="AA159" s="409"/>
      <c r="AB159" s="409"/>
      <c r="AC159" s="409"/>
      <c r="AD159" s="406"/>
      <c r="AE159" s="410"/>
      <c r="AF159" s="894"/>
      <c r="AG159" s="898"/>
      <c r="AH159" s="884"/>
      <c r="AI159" s="1028"/>
      <c r="AJ159" s="1028"/>
      <c r="AK159" s="1029"/>
      <c r="AL159" s="1028"/>
      <c r="AM159" s="1028"/>
      <c r="AN159" s="1029"/>
      <c r="AO159" s="1028"/>
      <c r="AP159" s="1028"/>
      <c r="AQ159" s="1028"/>
      <c r="AR159" s="1028"/>
      <c r="AS159" s="1028"/>
      <c r="AT159" s="1028"/>
      <c r="AU159" s="1028"/>
      <c r="AV159" s="1028"/>
      <c r="AW159" s="1028"/>
      <c r="AX159" s="1028"/>
      <c r="AY159" s="1028"/>
      <c r="AZ159" s="1049"/>
    </row>
    <row r="160" spans="1:52" ht="15" customHeight="1" x14ac:dyDescent="0.25">
      <c r="A160" s="1015"/>
      <c r="B160" s="1004"/>
      <c r="C160" s="1016" t="s">
        <v>275</v>
      </c>
      <c r="D160" s="379" t="s">
        <v>149</v>
      </c>
      <c r="E160" s="386"/>
      <c r="F160" s="408"/>
      <c r="G160" s="405"/>
      <c r="H160" s="405"/>
      <c r="I160" s="405"/>
      <c r="J160" s="405"/>
      <c r="K160" s="405"/>
      <c r="L160" s="405"/>
      <c r="M160" s="413"/>
      <c r="N160" s="405"/>
      <c r="O160" s="405"/>
      <c r="P160" s="405"/>
      <c r="Q160" s="406"/>
      <c r="R160" s="408">
        <f>0.01305*44</f>
        <v>0.57420000000000004</v>
      </c>
      <c r="S160" s="892" t="s">
        <v>604</v>
      </c>
      <c r="T160" s="407"/>
      <c r="U160" s="407"/>
      <c r="V160" s="407">
        <v>8</v>
      </c>
      <c r="W160" s="407">
        <v>9</v>
      </c>
      <c r="X160" s="407">
        <v>10</v>
      </c>
      <c r="Y160" s="407"/>
      <c r="Z160" s="413"/>
      <c r="AA160" s="409"/>
      <c r="AB160" s="409"/>
      <c r="AC160" s="409"/>
      <c r="AD160" s="406"/>
      <c r="AE160" s="410">
        <f>0.013*44</f>
        <v>0.57199999999999995</v>
      </c>
      <c r="AF160" s="892" t="s">
        <v>619</v>
      </c>
      <c r="AG160" s="895"/>
      <c r="AH160" s="882" t="s">
        <v>275</v>
      </c>
      <c r="AI160" s="1025" t="s">
        <v>688</v>
      </c>
      <c r="AJ160" s="1025" t="s">
        <v>689</v>
      </c>
      <c r="AK160" s="1029"/>
      <c r="AL160" s="1025" t="s">
        <v>690</v>
      </c>
      <c r="AM160" s="1025" t="s">
        <v>275</v>
      </c>
      <c r="AN160" s="1029"/>
      <c r="AO160" s="1025">
        <v>840955.00195741595</v>
      </c>
      <c r="AP160" s="1025">
        <v>396681.76749088702</v>
      </c>
      <c r="AQ160" s="1025">
        <v>444273.23446652899</v>
      </c>
      <c r="AR160" s="1025" t="s">
        <v>269</v>
      </c>
      <c r="AS160" s="1025" t="s">
        <v>269</v>
      </c>
      <c r="AT160" s="1025" t="s">
        <v>269</v>
      </c>
      <c r="AU160" s="1025" t="s">
        <v>269</v>
      </c>
      <c r="AV160" s="1025" t="s">
        <v>269</v>
      </c>
      <c r="AW160" s="1025" t="s">
        <v>269</v>
      </c>
      <c r="AX160" s="1025" t="s">
        <v>269</v>
      </c>
      <c r="AY160" s="1025" t="s">
        <v>269</v>
      </c>
      <c r="AZ160" s="1049"/>
    </row>
    <row r="161" spans="1:52" ht="15" customHeight="1" x14ac:dyDescent="0.25">
      <c r="A161" s="1015"/>
      <c r="B161" s="1004"/>
      <c r="C161" s="1017"/>
      <c r="D161" s="388" t="s">
        <v>151</v>
      </c>
      <c r="E161" s="386"/>
      <c r="F161" s="411"/>
      <c r="G161" s="405"/>
      <c r="H161" s="405"/>
      <c r="I161" s="405"/>
      <c r="J161" s="405"/>
      <c r="K161" s="405"/>
      <c r="L161" s="405"/>
      <c r="M161" s="413"/>
      <c r="N161" s="405"/>
      <c r="O161" s="405"/>
      <c r="P161" s="405"/>
      <c r="Q161" s="406"/>
      <c r="R161" s="411">
        <f>1035240*44</f>
        <v>45550560</v>
      </c>
      <c r="S161" s="893"/>
      <c r="T161" s="407"/>
      <c r="U161" s="407"/>
      <c r="V161" s="407"/>
      <c r="W161" s="407"/>
      <c r="X161" s="407"/>
      <c r="Y161" s="407"/>
      <c r="Z161" s="413"/>
      <c r="AA161" s="409"/>
      <c r="AB161" s="409"/>
      <c r="AC161" s="409"/>
      <c r="AD161" s="406"/>
      <c r="AE161" s="390">
        <f>1005724*44</f>
        <v>44251856</v>
      </c>
      <c r="AF161" s="893"/>
      <c r="AG161" s="896"/>
      <c r="AH161" s="883"/>
      <c r="AI161" s="1028"/>
      <c r="AJ161" s="1028"/>
      <c r="AK161" s="1029"/>
      <c r="AL161" s="1028"/>
      <c r="AM161" s="1028"/>
      <c r="AN161" s="1029"/>
      <c r="AO161" s="1028"/>
      <c r="AP161" s="1028"/>
      <c r="AQ161" s="1028"/>
      <c r="AR161" s="1028"/>
      <c r="AS161" s="1028"/>
      <c r="AT161" s="1028"/>
      <c r="AU161" s="1028"/>
      <c r="AV161" s="1028"/>
      <c r="AW161" s="1028"/>
      <c r="AX161" s="1028"/>
      <c r="AY161" s="1028"/>
      <c r="AZ161" s="1049"/>
    </row>
    <row r="162" spans="1:52" ht="15" customHeight="1" x14ac:dyDescent="0.25">
      <c r="A162" s="1015"/>
      <c r="B162" s="1004"/>
      <c r="C162" s="1017"/>
      <c r="D162" s="394" t="s">
        <v>153</v>
      </c>
      <c r="E162" s="386"/>
      <c r="F162" s="404"/>
      <c r="G162" s="405"/>
      <c r="H162" s="405"/>
      <c r="I162" s="405"/>
      <c r="J162" s="405"/>
      <c r="K162" s="405"/>
      <c r="L162" s="405"/>
      <c r="M162" s="413"/>
      <c r="N162" s="405"/>
      <c r="O162" s="405"/>
      <c r="P162" s="405"/>
      <c r="Q162" s="406"/>
      <c r="R162" s="404"/>
      <c r="S162" s="893"/>
      <c r="T162" s="407"/>
      <c r="U162" s="407"/>
      <c r="V162" s="407"/>
      <c r="W162" s="407"/>
      <c r="X162" s="407"/>
      <c r="Y162" s="407"/>
      <c r="Z162" s="413"/>
      <c r="AA162" s="409"/>
      <c r="AB162" s="409"/>
      <c r="AC162" s="409"/>
      <c r="AD162" s="406"/>
      <c r="AE162" s="410"/>
      <c r="AF162" s="893"/>
      <c r="AG162" s="896"/>
      <c r="AH162" s="883"/>
      <c r="AI162" s="1028"/>
      <c r="AJ162" s="1028"/>
      <c r="AK162" s="1029"/>
      <c r="AL162" s="1028"/>
      <c r="AM162" s="1028"/>
      <c r="AN162" s="1029"/>
      <c r="AO162" s="1028"/>
      <c r="AP162" s="1028"/>
      <c r="AQ162" s="1028"/>
      <c r="AR162" s="1028"/>
      <c r="AS162" s="1028"/>
      <c r="AT162" s="1028"/>
      <c r="AU162" s="1028"/>
      <c r="AV162" s="1028"/>
      <c r="AW162" s="1028"/>
      <c r="AX162" s="1028"/>
      <c r="AY162" s="1028"/>
      <c r="AZ162" s="1049"/>
    </row>
    <row r="163" spans="1:52" ht="15" customHeight="1" x14ac:dyDescent="0.25">
      <c r="A163" s="1015"/>
      <c r="B163" s="1004"/>
      <c r="C163" s="1017"/>
      <c r="D163" s="388" t="s">
        <v>154</v>
      </c>
      <c r="E163" s="386"/>
      <c r="F163" s="404"/>
      <c r="G163" s="405"/>
      <c r="H163" s="405"/>
      <c r="I163" s="405"/>
      <c r="J163" s="405"/>
      <c r="K163" s="405"/>
      <c r="L163" s="405"/>
      <c r="M163" s="413"/>
      <c r="N163" s="405"/>
      <c r="O163" s="405"/>
      <c r="P163" s="405"/>
      <c r="Q163" s="406"/>
      <c r="R163" s="404"/>
      <c r="S163" s="893"/>
      <c r="T163" s="407"/>
      <c r="U163" s="407"/>
      <c r="V163" s="407"/>
      <c r="W163" s="407"/>
      <c r="X163" s="407"/>
      <c r="Y163" s="407"/>
      <c r="Z163" s="413"/>
      <c r="AA163" s="409"/>
      <c r="AB163" s="409"/>
      <c r="AC163" s="409"/>
      <c r="AD163" s="406"/>
      <c r="AE163" s="410"/>
      <c r="AF163" s="893"/>
      <c r="AG163" s="896"/>
      <c r="AH163" s="883"/>
      <c r="AI163" s="1028"/>
      <c r="AJ163" s="1028"/>
      <c r="AK163" s="1029"/>
      <c r="AL163" s="1028"/>
      <c r="AM163" s="1028"/>
      <c r="AN163" s="1029"/>
      <c r="AO163" s="1028"/>
      <c r="AP163" s="1028"/>
      <c r="AQ163" s="1028"/>
      <c r="AR163" s="1028"/>
      <c r="AS163" s="1028"/>
      <c r="AT163" s="1028"/>
      <c r="AU163" s="1028"/>
      <c r="AV163" s="1028"/>
      <c r="AW163" s="1028"/>
      <c r="AX163" s="1028"/>
      <c r="AY163" s="1028"/>
      <c r="AZ163" s="1049"/>
    </row>
    <row r="164" spans="1:52" ht="15" customHeight="1" x14ac:dyDescent="0.25">
      <c r="A164" s="1015"/>
      <c r="B164" s="1004"/>
      <c r="C164" s="1017"/>
      <c r="D164" s="394" t="s">
        <v>155</v>
      </c>
      <c r="E164" s="386"/>
      <c r="F164" s="412"/>
      <c r="G164" s="405"/>
      <c r="H164" s="405"/>
      <c r="I164" s="405"/>
      <c r="J164" s="405"/>
      <c r="K164" s="405"/>
      <c r="L164" s="405"/>
      <c r="M164" s="413"/>
      <c r="N164" s="405"/>
      <c r="O164" s="405"/>
      <c r="P164" s="405"/>
      <c r="Q164" s="406"/>
      <c r="R164" s="412"/>
      <c r="S164" s="893"/>
      <c r="T164" s="407"/>
      <c r="U164" s="407"/>
      <c r="V164" s="407"/>
      <c r="W164" s="407"/>
      <c r="X164" s="407"/>
      <c r="Y164" s="407"/>
      <c r="Z164" s="413"/>
      <c r="AA164" s="409"/>
      <c r="AB164" s="409"/>
      <c r="AC164" s="409"/>
      <c r="AD164" s="406"/>
      <c r="AE164" s="410"/>
      <c r="AF164" s="893"/>
      <c r="AG164" s="896"/>
      <c r="AH164" s="883"/>
      <c r="AI164" s="1028"/>
      <c r="AJ164" s="1028"/>
      <c r="AK164" s="1029"/>
      <c r="AL164" s="1028"/>
      <c r="AM164" s="1028"/>
      <c r="AN164" s="1029"/>
      <c r="AO164" s="1028"/>
      <c r="AP164" s="1028"/>
      <c r="AQ164" s="1028"/>
      <c r="AR164" s="1028"/>
      <c r="AS164" s="1028"/>
      <c r="AT164" s="1028"/>
      <c r="AU164" s="1028"/>
      <c r="AV164" s="1028"/>
      <c r="AW164" s="1028"/>
      <c r="AX164" s="1028"/>
      <c r="AY164" s="1028"/>
      <c r="AZ164" s="1049"/>
    </row>
    <row r="165" spans="1:52" ht="15" customHeight="1" thickBot="1" x14ac:dyDescent="0.3">
      <c r="A165" s="1015"/>
      <c r="B165" s="1004"/>
      <c r="C165" s="1018"/>
      <c r="D165" s="403" t="s">
        <v>156</v>
      </c>
      <c r="E165" s="386"/>
      <c r="F165" s="404"/>
      <c r="G165" s="405"/>
      <c r="H165" s="405"/>
      <c r="I165" s="405"/>
      <c r="J165" s="405"/>
      <c r="K165" s="405"/>
      <c r="L165" s="405"/>
      <c r="M165" s="413"/>
      <c r="N165" s="405"/>
      <c r="O165" s="405"/>
      <c r="P165" s="405"/>
      <c r="Q165" s="406"/>
      <c r="R165" s="404"/>
      <c r="S165" s="894"/>
      <c r="T165" s="407"/>
      <c r="U165" s="407"/>
      <c r="V165" s="407"/>
      <c r="W165" s="407"/>
      <c r="X165" s="407"/>
      <c r="Y165" s="407"/>
      <c r="Z165" s="413"/>
      <c r="AA165" s="409"/>
      <c r="AB165" s="409"/>
      <c r="AC165" s="409"/>
      <c r="AD165" s="406"/>
      <c r="AE165" s="410"/>
      <c r="AF165" s="894"/>
      <c r="AG165" s="898"/>
      <c r="AH165" s="884"/>
      <c r="AI165" s="1028"/>
      <c r="AJ165" s="1028"/>
      <c r="AK165" s="1029"/>
      <c r="AL165" s="1028"/>
      <c r="AM165" s="1028"/>
      <c r="AN165" s="1029"/>
      <c r="AO165" s="1028"/>
      <c r="AP165" s="1028"/>
      <c r="AQ165" s="1028"/>
      <c r="AR165" s="1028"/>
      <c r="AS165" s="1028"/>
      <c r="AT165" s="1028"/>
      <c r="AU165" s="1028"/>
      <c r="AV165" s="1028"/>
      <c r="AW165" s="1028"/>
      <c r="AX165" s="1028"/>
      <c r="AY165" s="1028"/>
      <c r="AZ165" s="1049"/>
    </row>
    <row r="166" spans="1:52" ht="15" customHeight="1" x14ac:dyDescent="0.25">
      <c r="A166" s="1015"/>
      <c r="B166" s="1004"/>
      <c r="C166" s="1016" t="s">
        <v>276</v>
      </c>
      <c r="D166" s="379" t="s">
        <v>149</v>
      </c>
      <c r="E166" s="386"/>
      <c r="F166" s="408"/>
      <c r="G166" s="405"/>
      <c r="H166" s="405"/>
      <c r="I166" s="405"/>
      <c r="J166" s="405"/>
      <c r="K166" s="405"/>
      <c r="L166" s="405"/>
      <c r="M166" s="413"/>
      <c r="N166" s="405"/>
      <c r="O166" s="405"/>
      <c r="P166" s="405"/>
      <c r="Q166" s="406"/>
      <c r="R166" s="408">
        <f>0.01305*69</f>
        <v>0.90045000000000008</v>
      </c>
      <c r="S166" s="892" t="s">
        <v>605</v>
      </c>
      <c r="T166" s="407"/>
      <c r="U166" s="407"/>
      <c r="V166" s="407">
        <v>7</v>
      </c>
      <c r="W166" s="407">
        <v>15</v>
      </c>
      <c r="X166" s="407">
        <v>20</v>
      </c>
      <c r="Y166" s="407"/>
      <c r="Z166" s="413"/>
      <c r="AA166" s="409"/>
      <c r="AB166" s="409"/>
      <c r="AC166" s="409"/>
      <c r="AD166" s="406"/>
      <c r="AE166" s="410">
        <f>0.013*69</f>
        <v>0.89699999999999991</v>
      </c>
      <c r="AF166" s="892" t="s">
        <v>620</v>
      </c>
      <c r="AG166" s="895"/>
      <c r="AH166" s="882" t="s">
        <v>276</v>
      </c>
      <c r="AI166" s="1025" t="s">
        <v>691</v>
      </c>
      <c r="AJ166" s="1025" t="s">
        <v>692</v>
      </c>
      <c r="AK166" s="1029"/>
      <c r="AL166" s="1025" t="s">
        <v>693</v>
      </c>
      <c r="AM166" s="1025" t="s">
        <v>90</v>
      </c>
      <c r="AN166" s="1029"/>
      <c r="AO166" s="1025">
        <v>388154.31397454499</v>
      </c>
      <c r="AP166" s="1025">
        <v>183970.649857496</v>
      </c>
      <c r="AQ166" s="1025">
        <v>204183.66411704899</v>
      </c>
      <c r="AR166" s="1025" t="s">
        <v>269</v>
      </c>
      <c r="AS166" s="1025" t="s">
        <v>269</v>
      </c>
      <c r="AT166" s="1025" t="s">
        <v>269</v>
      </c>
      <c r="AU166" s="1025" t="s">
        <v>269</v>
      </c>
      <c r="AV166" s="1025" t="s">
        <v>269</v>
      </c>
      <c r="AW166" s="1025" t="s">
        <v>269</v>
      </c>
      <c r="AX166" s="1025" t="s">
        <v>269</v>
      </c>
      <c r="AY166" s="1025" t="s">
        <v>269</v>
      </c>
      <c r="AZ166" s="1049"/>
    </row>
    <row r="167" spans="1:52" ht="15" customHeight="1" x14ac:dyDescent="0.25">
      <c r="A167" s="1015"/>
      <c r="B167" s="1004"/>
      <c r="C167" s="1017"/>
      <c r="D167" s="388" t="s">
        <v>151</v>
      </c>
      <c r="E167" s="386"/>
      <c r="F167" s="411"/>
      <c r="G167" s="405"/>
      <c r="H167" s="405"/>
      <c r="I167" s="405"/>
      <c r="J167" s="405"/>
      <c r="K167" s="405"/>
      <c r="L167" s="405"/>
      <c r="M167" s="413"/>
      <c r="N167" s="405"/>
      <c r="O167" s="405"/>
      <c r="P167" s="405"/>
      <c r="Q167" s="406"/>
      <c r="R167" s="411">
        <f>1035240*69</f>
        <v>71431560</v>
      </c>
      <c r="S167" s="893"/>
      <c r="T167" s="407"/>
      <c r="U167" s="407"/>
      <c r="V167" s="407"/>
      <c r="W167" s="407"/>
      <c r="X167" s="407"/>
      <c r="Y167" s="407"/>
      <c r="Z167" s="413"/>
      <c r="AA167" s="409"/>
      <c r="AB167" s="409"/>
      <c r="AC167" s="409"/>
      <c r="AD167" s="406"/>
      <c r="AE167" s="390">
        <f>1005724*69</f>
        <v>69394956</v>
      </c>
      <c r="AF167" s="893"/>
      <c r="AG167" s="896"/>
      <c r="AH167" s="883"/>
      <c r="AI167" s="1028"/>
      <c r="AJ167" s="1028"/>
      <c r="AK167" s="1029"/>
      <c r="AL167" s="1028"/>
      <c r="AM167" s="1028"/>
      <c r="AN167" s="1029"/>
      <c r="AO167" s="1028"/>
      <c r="AP167" s="1028"/>
      <c r="AQ167" s="1028"/>
      <c r="AR167" s="1028"/>
      <c r="AS167" s="1028"/>
      <c r="AT167" s="1028"/>
      <c r="AU167" s="1028"/>
      <c r="AV167" s="1028"/>
      <c r="AW167" s="1028"/>
      <c r="AX167" s="1028"/>
      <c r="AY167" s="1028"/>
      <c r="AZ167" s="1049"/>
    </row>
    <row r="168" spans="1:52" ht="15" customHeight="1" x14ac:dyDescent="0.25">
      <c r="A168" s="1015"/>
      <c r="B168" s="1004"/>
      <c r="C168" s="1017"/>
      <c r="D168" s="394" t="s">
        <v>153</v>
      </c>
      <c r="E168" s="386"/>
      <c r="F168" s="404"/>
      <c r="G168" s="405"/>
      <c r="H168" s="405"/>
      <c r="I168" s="405"/>
      <c r="J168" s="405"/>
      <c r="K168" s="405"/>
      <c r="L168" s="405"/>
      <c r="M168" s="413"/>
      <c r="N168" s="405"/>
      <c r="O168" s="405"/>
      <c r="P168" s="405"/>
      <c r="Q168" s="406"/>
      <c r="R168" s="404"/>
      <c r="S168" s="893"/>
      <c r="T168" s="407"/>
      <c r="U168" s="407"/>
      <c r="V168" s="407"/>
      <c r="W168" s="407"/>
      <c r="X168" s="407"/>
      <c r="Y168" s="407"/>
      <c r="Z168" s="413"/>
      <c r="AA168" s="409"/>
      <c r="AB168" s="409"/>
      <c r="AC168" s="409"/>
      <c r="AD168" s="406"/>
      <c r="AE168" s="410"/>
      <c r="AF168" s="893"/>
      <c r="AG168" s="896"/>
      <c r="AH168" s="883"/>
      <c r="AI168" s="1028"/>
      <c r="AJ168" s="1028"/>
      <c r="AK168" s="1029"/>
      <c r="AL168" s="1028"/>
      <c r="AM168" s="1028"/>
      <c r="AN168" s="1029"/>
      <c r="AO168" s="1028"/>
      <c r="AP168" s="1028"/>
      <c r="AQ168" s="1028"/>
      <c r="AR168" s="1028"/>
      <c r="AS168" s="1028"/>
      <c r="AT168" s="1028"/>
      <c r="AU168" s="1028"/>
      <c r="AV168" s="1028"/>
      <c r="AW168" s="1028"/>
      <c r="AX168" s="1028"/>
      <c r="AY168" s="1028"/>
      <c r="AZ168" s="1049"/>
    </row>
    <row r="169" spans="1:52" ht="15" customHeight="1" x14ac:dyDescent="0.25">
      <c r="A169" s="1015"/>
      <c r="B169" s="1004"/>
      <c r="C169" s="1017"/>
      <c r="D169" s="388" t="s">
        <v>154</v>
      </c>
      <c r="E169" s="386"/>
      <c r="F169" s="404"/>
      <c r="G169" s="405"/>
      <c r="H169" s="405"/>
      <c r="I169" s="405"/>
      <c r="J169" s="405"/>
      <c r="K169" s="405"/>
      <c r="L169" s="405"/>
      <c r="M169" s="413"/>
      <c r="N169" s="405"/>
      <c r="O169" s="405"/>
      <c r="P169" s="405"/>
      <c r="Q169" s="406"/>
      <c r="R169" s="404"/>
      <c r="S169" s="893"/>
      <c r="T169" s="407"/>
      <c r="U169" s="407"/>
      <c r="V169" s="407"/>
      <c r="W169" s="407"/>
      <c r="X169" s="407"/>
      <c r="Y169" s="407"/>
      <c r="Z169" s="413"/>
      <c r="AA169" s="409"/>
      <c r="AB169" s="409"/>
      <c r="AC169" s="409"/>
      <c r="AD169" s="406"/>
      <c r="AE169" s="410"/>
      <c r="AF169" s="893"/>
      <c r="AG169" s="896"/>
      <c r="AH169" s="883"/>
      <c r="AI169" s="1028"/>
      <c r="AJ169" s="1028"/>
      <c r="AK169" s="1029"/>
      <c r="AL169" s="1028"/>
      <c r="AM169" s="1028"/>
      <c r="AN169" s="1029"/>
      <c r="AO169" s="1028"/>
      <c r="AP169" s="1028"/>
      <c r="AQ169" s="1028"/>
      <c r="AR169" s="1028"/>
      <c r="AS169" s="1028"/>
      <c r="AT169" s="1028"/>
      <c r="AU169" s="1028"/>
      <c r="AV169" s="1028"/>
      <c r="AW169" s="1028"/>
      <c r="AX169" s="1028"/>
      <c r="AY169" s="1028"/>
      <c r="AZ169" s="1049"/>
    </row>
    <row r="170" spans="1:52" ht="15" customHeight="1" x14ac:dyDescent="0.25">
      <c r="A170" s="1015"/>
      <c r="B170" s="1004"/>
      <c r="C170" s="1017"/>
      <c r="D170" s="394" t="s">
        <v>155</v>
      </c>
      <c r="E170" s="386"/>
      <c r="F170" s="412"/>
      <c r="G170" s="405"/>
      <c r="H170" s="405"/>
      <c r="I170" s="405"/>
      <c r="J170" s="405"/>
      <c r="K170" s="405"/>
      <c r="L170" s="405"/>
      <c r="M170" s="413"/>
      <c r="N170" s="405"/>
      <c r="O170" s="405"/>
      <c r="P170" s="405"/>
      <c r="Q170" s="406"/>
      <c r="R170" s="412"/>
      <c r="S170" s="893"/>
      <c r="T170" s="407"/>
      <c r="U170" s="407"/>
      <c r="V170" s="407"/>
      <c r="W170" s="407"/>
      <c r="X170" s="407"/>
      <c r="Y170" s="407"/>
      <c r="Z170" s="413"/>
      <c r="AA170" s="409"/>
      <c r="AB170" s="409"/>
      <c r="AC170" s="409"/>
      <c r="AD170" s="406"/>
      <c r="AE170" s="410"/>
      <c r="AF170" s="893"/>
      <c r="AG170" s="896"/>
      <c r="AH170" s="883"/>
      <c r="AI170" s="1028"/>
      <c r="AJ170" s="1028"/>
      <c r="AK170" s="1029"/>
      <c r="AL170" s="1028"/>
      <c r="AM170" s="1028"/>
      <c r="AN170" s="1029"/>
      <c r="AO170" s="1028"/>
      <c r="AP170" s="1028"/>
      <c r="AQ170" s="1028"/>
      <c r="AR170" s="1028"/>
      <c r="AS170" s="1028"/>
      <c r="AT170" s="1028"/>
      <c r="AU170" s="1028"/>
      <c r="AV170" s="1028"/>
      <c r="AW170" s="1028"/>
      <c r="AX170" s="1028"/>
      <c r="AY170" s="1028"/>
      <c r="AZ170" s="1049"/>
    </row>
    <row r="171" spans="1:52" ht="15" customHeight="1" thickBot="1" x14ac:dyDescent="0.3">
      <c r="A171" s="1015"/>
      <c r="B171" s="1004"/>
      <c r="C171" s="1018"/>
      <c r="D171" s="403" t="s">
        <v>156</v>
      </c>
      <c r="E171" s="386"/>
      <c r="F171" s="404"/>
      <c r="G171" s="405"/>
      <c r="H171" s="405"/>
      <c r="I171" s="405"/>
      <c r="J171" s="405"/>
      <c r="K171" s="405"/>
      <c r="L171" s="405"/>
      <c r="M171" s="413"/>
      <c r="N171" s="405"/>
      <c r="O171" s="405"/>
      <c r="P171" s="405"/>
      <c r="Q171" s="406"/>
      <c r="R171" s="404"/>
      <c r="S171" s="894"/>
      <c r="T171" s="407"/>
      <c r="U171" s="407"/>
      <c r="V171" s="407"/>
      <c r="W171" s="407"/>
      <c r="X171" s="407"/>
      <c r="Y171" s="407"/>
      <c r="Z171" s="413"/>
      <c r="AA171" s="409"/>
      <c r="AB171" s="409"/>
      <c r="AC171" s="409"/>
      <c r="AD171" s="406"/>
      <c r="AE171" s="410"/>
      <c r="AF171" s="894"/>
      <c r="AG171" s="898"/>
      <c r="AH171" s="884"/>
      <c r="AI171" s="1028"/>
      <c r="AJ171" s="1028"/>
      <c r="AK171" s="1029"/>
      <c r="AL171" s="1028"/>
      <c r="AM171" s="1028"/>
      <c r="AN171" s="1029"/>
      <c r="AO171" s="1028"/>
      <c r="AP171" s="1028"/>
      <c r="AQ171" s="1028"/>
      <c r="AR171" s="1028"/>
      <c r="AS171" s="1028"/>
      <c r="AT171" s="1028"/>
      <c r="AU171" s="1028"/>
      <c r="AV171" s="1028"/>
      <c r="AW171" s="1028"/>
      <c r="AX171" s="1028"/>
      <c r="AY171" s="1028"/>
      <c r="AZ171" s="1049"/>
    </row>
    <row r="172" spans="1:52" ht="15" customHeight="1" x14ac:dyDescent="0.25">
      <c r="A172" s="1015"/>
      <c r="B172" s="1004"/>
      <c r="C172" s="1016" t="s">
        <v>277</v>
      </c>
      <c r="D172" s="379" t="s">
        <v>149</v>
      </c>
      <c r="E172" s="386"/>
      <c r="F172" s="408"/>
      <c r="G172" s="405"/>
      <c r="H172" s="405"/>
      <c r="I172" s="405"/>
      <c r="J172" s="405"/>
      <c r="K172" s="405"/>
      <c r="L172" s="405"/>
      <c r="M172" s="413"/>
      <c r="N172" s="405"/>
      <c r="O172" s="405"/>
      <c r="P172" s="405"/>
      <c r="Q172" s="406"/>
      <c r="R172" s="408">
        <f>0.01305*32</f>
        <v>0.41760000000000003</v>
      </c>
      <c r="S172" s="892" t="s">
        <v>603</v>
      </c>
      <c r="T172" s="407"/>
      <c r="U172" s="407"/>
      <c r="V172" s="407">
        <v>5</v>
      </c>
      <c r="W172" s="407">
        <v>10</v>
      </c>
      <c r="X172" s="407">
        <v>16</v>
      </c>
      <c r="Y172" s="407"/>
      <c r="Z172" s="413"/>
      <c r="AA172" s="409"/>
      <c r="AB172" s="409"/>
      <c r="AC172" s="409"/>
      <c r="AD172" s="406"/>
      <c r="AE172" s="410">
        <f>0.013*32</f>
        <v>0.41599999999999998</v>
      </c>
      <c r="AF172" s="892" t="s">
        <v>618</v>
      </c>
      <c r="AG172" s="895"/>
      <c r="AH172" s="882" t="s">
        <v>277</v>
      </c>
      <c r="AI172" s="1025" t="s">
        <v>694</v>
      </c>
      <c r="AJ172" s="1025" t="s">
        <v>695</v>
      </c>
      <c r="AK172" s="1029"/>
      <c r="AL172" s="1025" t="s">
        <v>696</v>
      </c>
      <c r="AM172" s="1025" t="s">
        <v>505</v>
      </c>
      <c r="AN172" s="1029"/>
      <c r="AO172" s="1025">
        <v>1080200.2660513399</v>
      </c>
      <c r="AP172" s="1025">
        <v>517025.31746095099</v>
      </c>
      <c r="AQ172" s="1025">
        <v>563174.94859038503</v>
      </c>
      <c r="AR172" s="1025" t="s">
        <v>269</v>
      </c>
      <c r="AS172" s="1025" t="s">
        <v>269</v>
      </c>
      <c r="AT172" s="1025" t="s">
        <v>269</v>
      </c>
      <c r="AU172" s="1025" t="s">
        <v>269</v>
      </c>
      <c r="AV172" s="1025" t="s">
        <v>269</v>
      </c>
      <c r="AW172" s="1025" t="s">
        <v>269</v>
      </c>
      <c r="AX172" s="1025" t="s">
        <v>269</v>
      </c>
      <c r="AY172" s="1025" t="s">
        <v>269</v>
      </c>
      <c r="AZ172" s="1049"/>
    </row>
    <row r="173" spans="1:52" ht="15" customHeight="1" x14ac:dyDescent="0.25">
      <c r="A173" s="1015"/>
      <c r="B173" s="1004"/>
      <c r="C173" s="1017"/>
      <c r="D173" s="388" t="s">
        <v>151</v>
      </c>
      <c r="E173" s="386"/>
      <c r="F173" s="411"/>
      <c r="G173" s="405"/>
      <c r="H173" s="405"/>
      <c r="I173" s="405"/>
      <c r="J173" s="405"/>
      <c r="K173" s="405"/>
      <c r="L173" s="405"/>
      <c r="M173" s="413"/>
      <c r="N173" s="405"/>
      <c r="O173" s="405"/>
      <c r="P173" s="405"/>
      <c r="Q173" s="406"/>
      <c r="R173" s="411">
        <f>1035240*32</f>
        <v>33127680</v>
      </c>
      <c r="S173" s="893"/>
      <c r="T173" s="407"/>
      <c r="U173" s="407"/>
      <c r="V173" s="407"/>
      <c r="W173" s="407"/>
      <c r="X173" s="407"/>
      <c r="Y173" s="407"/>
      <c r="Z173" s="413"/>
      <c r="AA173" s="409"/>
      <c r="AB173" s="409"/>
      <c r="AC173" s="409"/>
      <c r="AD173" s="406"/>
      <c r="AE173" s="390">
        <f>1005724*32</f>
        <v>32183168</v>
      </c>
      <c r="AF173" s="893"/>
      <c r="AG173" s="896"/>
      <c r="AH173" s="883"/>
      <c r="AI173" s="1028"/>
      <c r="AJ173" s="1028"/>
      <c r="AK173" s="1029"/>
      <c r="AL173" s="1028"/>
      <c r="AM173" s="1028"/>
      <c r="AN173" s="1029"/>
      <c r="AO173" s="1028"/>
      <c r="AP173" s="1028"/>
      <c r="AQ173" s="1028"/>
      <c r="AR173" s="1028"/>
      <c r="AS173" s="1028"/>
      <c r="AT173" s="1028"/>
      <c r="AU173" s="1028"/>
      <c r="AV173" s="1028"/>
      <c r="AW173" s="1028"/>
      <c r="AX173" s="1028"/>
      <c r="AY173" s="1028"/>
      <c r="AZ173" s="1049"/>
    </row>
    <row r="174" spans="1:52" ht="15" customHeight="1" x14ac:dyDescent="0.25">
      <c r="A174" s="1015"/>
      <c r="B174" s="1004"/>
      <c r="C174" s="1017"/>
      <c r="D174" s="394" t="s">
        <v>153</v>
      </c>
      <c r="E174" s="386"/>
      <c r="F174" s="404"/>
      <c r="G174" s="405"/>
      <c r="H174" s="405"/>
      <c r="I174" s="405"/>
      <c r="J174" s="405"/>
      <c r="K174" s="405"/>
      <c r="L174" s="405"/>
      <c r="M174" s="413"/>
      <c r="N174" s="405"/>
      <c r="O174" s="405"/>
      <c r="P174" s="405"/>
      <c r="Q174" s="406"/>
      <c r="R174" s="404"/>
      <c r="S174" s="893"/>
      <c r="T174" s="407"/>
      <c r="U174" s="407"/>
      <c r="V174" s="407"/>
      <c r="W174" s="407"/>
      <c r="X174" s="407"/>
      <c r="Y174" s="407"/>
      <c r="Z174" s="413"/>
      <c r="AA174" s="409"/>
      <c r="AB174" s="409"/>
      <c r="AC174" s="409"/>
      <c r="AD174" s="406"/>
      <c r="AE174" s="410"/>
      <c r="AF174" s="893"/>
      <c r="AG174" s="896"/>
      <c r="AH174" s="883"/>
      <c r="AI174" s="1028"/>
      <c r="AJ174" s="1028"/>
      <c r="AK174" s="1029"/>
      <c r="AL174" s="1028"/>
      <c r="AM174" s="1028"/>
      <c r="AN174" s="1029"/>
      <c r="AO174" s="1028"/>
      <c r="AP174" s="1028"/>
      <c r="AQ174" s="1028"/>
      <c r="AR174" s="1028"/>
      <c r="AS174" s="1028"/>
      <c r="AT174" s="1028"/>
      <c r="AU174" s="1028"/>
      <c r="AV174" s="1028"/>
      <c r="AW174" s="1028"/>
      <c r="AX174" s="1028"/>
      <c r="AY174" s="1028"/>
      <c r="AZ174" s="1049"/>
    </row>
    <row r="175" spans="1:52" ht="15" customHeight="1" x14ac:dyDescent="0.25">
      <c r="A175" s="1015"/>
      <c r="B175" s="1004"/>
      <c r="C175" s="1017"/>
      <c r="D175" s="388" t="s">
        <v>154</v>
      </c>
      <c r="E175" s="386"/>
      <c r="F175" s="404"/>
      <c r="G175" s="405"/>
      <c r="H175" s="405"/>
      <c r="I175" s="405"/>
      <c r="J175" s="405"/>
      <c r="K175" s="405"/>
      <c r="L175" s="405"/>
      <c r="M175" s="413"/>
      <c r="N175" s="405"/>
      <c r="O175" s="405"/>
      <c r="P175" s="405"/>
      <c r="Q175" s="406"/>
      <c r="R175" s="404"/>
      <c r="S175" s="893"/>
      <c r="T175" s="407"/>
      <c r="U175" s="407"/>
      <c r="V175" s="407"/>
      <c r="W175" s="407"/>
      <c r="X175" s="407"/>
      <c r="Y175" s="407"/>
      <c r="Z175" s="413"/>
      <c r="AA175" s="409"/>
      <c r="AB175" s="409"/>
      <c r="AC175" s="409"/>
      <c r="AD175" s="406"/>
      <c r="AE175" s="410"/>
      <c r="AF175" s="893"/>
      <c r="AG175" s="896"/>
      <c r="AH175" s="883"/>
      <c r="AI175" s="1028"/>
      <c r="AJ175" s="1028"/>
      <c r="AK175" s="1029"/>
      <c r="AL175" s="1028"/>
      <c r="AM175" s="1028"/>
      <c r="AN175" s="1029"/>
      <c r="AO175" s="1028"/>
      <c r="AP175" s="1028"/>
      <c r="AQ175" s="1028"/>
      <c r="AR175" s="1028"/>
      <c r="AS175" s="1028"/>
      <c r="AT175" s="1028"/>
      <c r="AU175" s="1028"/>
      <c r="AV175" s="1028"/>
      <c r="AW175" s="1028"/>
      <c r="AX175" s="1028"/>
      <c r="AY175" s="1028"/>
      <c r="AZ175" s="1049"/>
    </row>
    <row r="176" spans="1:52" ht="15" customHeight="1" x14ac:dyDescent="0.25">
      <c r="A176" s="1015"/>
      <c r="B176" s="1004"/>
      <c r="C176" s="1017"/>
      <c r="D176" s="394" t="s">
        <v>155</v>
      </c>
      <c r="E176" s="386"/>
      <c r="F176" s="412"/>
      <c r="G176" s="405"/>
      <c r="H176" s="405"/>
      <c r="I176" s="405"/>
      <c r="J176" s="405"/>
      <c r="K176" s="405"/>
      <c r="L176" s="405"/>
      <c r="M176" s="413"/>
      <c r="N176" s="405"/>
      <c r="O176" s="405"/>
      <c r="P176" s="405"/>
      <c r="Q176" s="406"/>
      <c r="R176" s="412"/>
      <c r="S176" s="893"/>
      <c r="T176" s="407"/>
      <c r="U176" s="407"/>
      <c r="V176" s="407"/>
      <c r="W176" s="407"/>
      <c r="X176" s="407"/>
      <c r="Y176" s="407"/>
      <c r="Z176" s="413"/>
      <c r="AA176" s="409"/>
      <c r="AB176" s="409"/>
      <c r="AC176" s="409"/>
      <c r="AD176" s="406"/>
      <c r="AE176" s="410"/>
      <c r="AF176" s="893"/>
      <c r="AG176" s="896"/>
      <c r="AH176" s="883"/>
      <c r="AI176" s="1028"/>
      <c r="AJ176" s="1028"/>
      <c r="AK176" s="1029"/>
      <c r="AL176" s="1028"/>
      <c r="AM176" s="1028"/>
      <c r="AN176" s="1029"/>
      <c r="AO176" s="1028"/>
      <c r="AP176" s="1028"/>
      <c r="AQ176" s="1028"/>
      <c r="AR176" s="1028"/>
      <c r="AS176" s="1028"/>
      <c r="AT176" s="1028"/>
      <c r="AU176" s="1028"/>
      <c r="AV176" s="1028"/>
      <c r="AW176" s="1028"/>
      <c r="AX176" s="1028"/>
      <c r="AY176" s="1028"/>
      <c r="AZ176" s="1049"/>
    </row>
    <row r="177" spans="1:52" ht="15" customHeight="1" thickBot="1" x14ac:dyDescent="0.3">
      <c r="A177" s="1015"/>
      <c r="B177" s="1004"/>
      <c r="C177" s="1018"/>
      <c r="D177" s="403" t="s">
        <v>156</v>
      </c>
      <c r="E177" s="386"/>
      <c r="F177" s="404"/>
      <c r="G177" s="405"/>
      <c r="H177" s="405"/>
      <c r="I177" s="405"/>
      <c r="J177" s="405"/>
      <c r="K177" s="405"/>
      <c r="L177" s="405"/>
      <c r="M177" s="413"/>
      <c r="N177" s="405"/>
      <c r="O177" s="405"/>
      <c r="P177" s="405"/>
      <c r="Q177" s="406"/>
      <c r="R177" s="404"/>
      <c r="S177" s="894"/>
      <c r="T177" s="407"/>
      <c r="U177" s="407"/>
      <c r="V177" s="407"/>
      <c r="W177" s="407"/>
      <c r="X177" s="407"/>
      <c r="Y177" s="407"/>
      <c r="Z177" s="413"/>
      <c r="AA177" s="409"/>
      <c r="AB177" s="409"/>
      <c r="AC177" s="409"/>
      <c r="AD177" s="406"/>
      <c r="AE177" s="410"/>
      <c r="AF177" s="894"/>
      <c r="AG177" s="898"/>
      <c r="AH177" s="884"/>
      <c r="AI177" s="1028"/>
      <c r="AJ177" s="1028"/>
      <c r="AK177" s="1029"/>
      <c r="AL177" s="1028"/>
      <c r="AM177" s="1028"/>
      <c r="AN177" s="1029"/>
      <c r="AO177" s="1028"/>
      <c r="AP177" s="1028"/>
      <c r="AQ177" s="1028"/>
      <c r="AR177" s="1028"/>
      <c r="AS177" s="1028"/>
      <c r="AT177" s="1028"/>
      <c r="AU177" s="1028"/>
      <c r="AV177" s="1028"/>
      <c r="AW177" s="1028"/>
      <c r="AX177" s="1028"/>
      <c r="AY177" s="1028"/>
      <c r="AZ177" s="1049"/>
    </row>
    <row r="178" spans="1:52" ht="15" customHeight="1" x14ac:dyDescent="0.25">
      <c r="A178" s="1015"/>
      <c r="B178" s="1004"/>
      <c r="C178" s="1016" t="s">
        <v>278</v>
      </c>
      <c r="D178" s="379" t="s">
        <v>149</v>
      </c>
      <c r="E178" s="386"/>
      <c r="F178" s="408"/>
      <c r="G178" s="405"/>
      <c r="H178" s="405"/>
      <c r="I178" s="405"/>
      <c r="J178" s="405"/>
      <c r="K178" s="405"/>
      <c r="L178" s="405"/>
      <c r="M178" s="413"/>
      <c r="N178" s="405"/>
      <c r="O178" s="405"/>
      <c r="P178" s="405"/>
      <c r="Q178" s="406"/>
      <c r="R178" s="408">
        <f>0.01305*9</f>
        <v>0.11745000000000001</v>
      </c>
      <c r="S178" s="892" t="s">
        <v>606</v>
      </c>
      <c r="T178" s="407"/>
      <c r="U178" s="407"/>
      <c r="V178" s="407">
        <v>1</v>
      </c>
      <c r="W178" s="407">
        <v>2</v>
      </c>
      <c r="X178" s="407">
        <v>4</v>
      </c>
      <c r="Y178" s="407"/>
      <c r="Z178" s="413"/>
      <c r="AA178" s="409"/>
      <c r="AB178" s="409"/>
      <c r="AC178" s="409"/>
      <c r="AD178" s="406"/>
      <c r="AE178" s="410">
        <f>0.013*9</f>
        <v>0.11699999999999999</v>
      </c>
      <c r="AF178" s="892" t="s">
        <v>621</v>
      </c>
      <c r="AG178" s="895"/>
      <c r="AH178" s="882" t="s">
        <v>278</v>
      </c>
      <c r="AI178" s="1025" t="s">
        <v>506</v>
      </c>
      <c r="AJ178" s="1025" t="s">
        <v>521</v>
      </c>
      <c r="AK178" s="1029"/>
      <c r="AL178" s="1025" t="s">
        <v>697</v>
      </c>
      <c r="AM178" s="1025" t="s">
        <v>90</v>
      </c>
      <c r="AN178" s="1029"/>
      <c r="AO178" s="1025">
        <v>76648.842634579196</v>
      </c>
      <c r="AP178" s="1025">
        <v>37529.0770010165</v>
      </c>
      <c r="AQ178" s="1025">
        <v>39119.765633562703</v>
      </c>
      <c r="AR178" s="1025" t="s">
        <v>269</v>
      </c>
      <c r="AS178" s="1025" t="s">
        <v>269</v>
      </c>
      <c r="AT178" s="1025" t="s">
        <v>269</v>
      </c>
      <c r="AU178" s="1025" t="s">
        <v>269</v>
      </c>
      <c r="AV178" s="1025" t="s">
        <v>269</v>
      </c>
      <c r="AW178" s="1025" t="s">
        <v>269</v>
      </c>
      <c r="AX178" s="1025" t="s">
        <v>269</v>
      </c>
      <c r="AY178" s="1025" t="s">
        <v>269</v>
      </c>
      <c r="AZ178" s="1049"/>
    </row>
    <row r="179" spans="1:52" ht="15" customHeight="1" x14ac:dyDescent="0.25">
      <c r="A179" s="1015"/>
      <c r="B179" s="1004"/>
      <c r="C179" s="1017"/>
      <c r="D179" s="388" t="s">
        <v>151</v>
      </c>
      <c r="E179" s="386"/>
      <c r="F179" s="411"/>
      <c r="G179" s="405"/>
      <c r="H179" s="405"/>
      <c r="I179" s="405"/>
      <c r="J179" s="405"/>
      <c r="K179" s="405"/>
      <c r="L179" s="405"/>
      <c r="M179" s="413"/>
      <c r="N179" s="405"/>
      <c r="O179" s="405"/>
      <c r="P179" s="405"/>
      <c r="Q179" s="406"/>
      <c r="R179" s="411">
        <f>1035240*9</f>
        <v>9317160</v>
      </c>
      <c r="S179" s="893"/>
      <c r="T179" s="407"/>
      <c r="U179" s="407"/>
      <c r="V179" s="407"/>
      <c r="W179" s="407"/>
      <c r="X179" s="407"/>
      <c r="Y179" s="407"/>
      <c r="Z179" s="413"/>
      <c r="AA179" s="409"/>
      <c r="AB179" s="409"/>
      <c r="AC179" s="409"/>
      <c r="AD179" s="406"/>
      <c r="AE179" s="390">
        <f>1005724*9</f>
        <v>9051516</v>
      </c>
      <c r="AF179" s="893"/>
      <c r="AG179" s="896"/>
      <c r="AH179" s="883"/>
      <c r="AI179" s="1028"/>
      <c r="AJ179" s="1028"/>
      <c r="AK179" s="1029"/>
      <c r="AL179" s="1028"/>
      <c r="AM179" s="1028"/>
      <c r="AN179" s="1029"/>
      <c r="AO179" s="1028"/>
      <c r="AP179" s="1028"/>
      <c r="AQ179" s="1028"/>
      <c r="AR179" s="1028"/>
      <c r="AS179" s="1028"/>
      <c r="AT179" s="1028"/>
      <c r="AU179" s="1028"/>
      <c r="AV179" s="1028"/>
      <c r="AW179" s="1028"/>
      <c r="AX179" s="1028"/>
      <c r="AY179" s="1028"/>
      <c r="AZ179" s="1049"/>
    </row>
    <row r="180" spans="1:52" ht="15" customHeight="1" x14ac:dyDescent="0.25">
      <c r="A180" s="1015"/>
      <c r="B180" s="1004"/>
      <c r="C180" s="1017"/>
      <c r="D180" s="394" t="s">
        <v>153</v>
      </c>
      <c r="E180" s="386"/>
      <c r="F180" s="404"/>
      <c r="G180" s="405"/>
      <c r="H180" s="405"/>
      <c r="I180" s="405"/>
      <c r="J180" s="405"/>
      <c r="K180" s="405"/>
      <c r="L180" s="405"/>
      <c r="M180" s="413"/>
      <c r="N180" s="405"/>
      <c r="O180" s="405"/>
      <c r="P180" s="405"/>
      <c r="Q180" s="406"/>
      <c r="R180" s="404"/>
      <c r="S180" s="893"/>
      <c r="T180" s="407"/>
      <c r="U180" s="407"/>
      <c r="V180" s="407"/>
      <c r="W180" s="407"/>
      <c r="X180" s="407"/>
      <c r="Y180" s="407"/>
      <c r="Z180" s="413"/>
      <c r="AA180" s="409"/>
      <c r="AB180" s="409"/>
      <c r="AC180" s="409"/>
      <c r="AD180" s="406"/>
      <c r="AE180" s="410"/>
      <c r="AF180" s="893"/>
      <c r="AG180" s="896"/>
      <c r="AH180" s="883"/>
      <c r="AI180" s="1028"/>
      <c r="AJ180" s="1028"/>
      <c r="AK180" s="1029"/>
      <c r="AL180" s="1028"/>
      <c r="AM180" s="1028"/>
      <c r="AN180" s="1029"/>
      <c r="AO180" s="1028"/>
      <c r="AP180" s="1028"/>
      <c r="AQ180" s="1028"/>
      <c r="AR180" s="1028"/>
      <c r="AS180" s="1028"/>
      <c r="AT180" s="1028"/>
      <c r="AU180" s="1028"/>
      <c r="AV180" s="1028"/>
      <c r="AW180" s="1028"/>
      <c r="AX180" s="1028"/>
      <c r="AY180" s="1028"/>
      <c r="AZ180" s="1049"/>
    </row>
    <row r="181" spans="1:52" ht="15" customHeight="1" x14ac:dyDescent="0.25">
      <c r="A181" s="1015"/>
      <c r="B181" s="1004"/>
      <c r="C181" s="1017"/>
      <c r="D181" s="388" t="s">
        <v>154</v>
      </c>
      <c r="E181" s="386"/>
      <c r="F181" s="404"/>
      <c r="G181" s="405"/>
      <c r="H181" s="405"/>
      <c r="I181" s="405"/>
      <c r="J181" s="405"/>
      <c r="K181" s="405"/>
      <c r="L181" s="405"/>
      <c r="M181" s="413"/>
      <c r="N181" s="405"/>
      <c r="O181" s="405"/>
      <c r="P181" s="405"/>
      <c r="Q181" s="406"/>
      <c r="R181" s="404"/>
      <c r="S181" s="893"/>
      <c r="T181" s="407"/>
      <c r="U181" s="407"/>
      <c r="V181" s="407"/>
      <c r="W181" s="407"/>
      <c r="X181" s="407"/>
      <c r="Y181" s="407"/>
      <c r="Z181" s="413"/>
      <c r="AA181" s="409"/>
      <c r="AB181" s="409"/>
      <c r="AC181" s="409"/>
      <c r="AD181" s="406"/>
      <c r="AE181" s="410"/>
      <c r="AF181" s="893"/>
      <c r="AG181" s="896"/>
      <c r="AH181" s="883"/>
      <c r="AI181" s="1028"/>
      <c r="AJ181" s="1028"/>
      <c r="AK181" s="1029"/>
      <c r="AL181" s="1028"/>
      <c r="AM181" s="1028"/>
      <c r="AN181" s="1029"/>
      <c r="AO181" s="1028"/>
      <c r="AP181" s="1028"/>
      <c r="AQ181" s="1028"/>
      <c r="AR181" s="1028"/>
      <c r="AS181" s="1028"/>
      <c r="AT181" s="1028"/>
      <c r="AU181" s="1028"/>
      <c r="AV181" s="1028"/>
      <c r="AW181" s="1028"/>
      <c r="AX181" s="1028"/>
      <c r="AY181" s="1028"/>
      <c r="AZ181" s="1049"/>
    </row>
    <row r="182" spans="1:52" ht="15" customHeight="1" x14ac:dyDescent="0.25">
      <c r="A182" s="1015"/>
      <c r="B182" s="1004"/>
      <c r="C182" s="1017"/>
      <c r="D182" s="394" t="s">
        <v>155</v>
      </c>
      <c r="E182" s="386"/>
      <c r="F182" s="412"/>
      <c r="G182" s="405"/>
      <c r="H182" s="405"/>
      <c r="I182" s="405"/>
      <c r="J182" s="405"/>
      <c r="K182" s="405"/>
      <c r="L182" s="405"/>
      <c r="M182" s="413"/>
      <c r="N182" s="405"/>
      <c r="O182" s="405"/>
      <c r="P182" s="405"/>
      <c r="Q182" s="406"/>
      <c r="R182" s="412"/>
      <c r="S182" s="893"/>
      <c r="T182" s="407"/>
      <c r="U182" s="407"/>
      <c r="V182" s="407"/>
      <c r="W182" s="407"/>
      <c r="X182" s="407"/>
      <c r="Y182" s="407"/>
      <c r="Z182" s="413"/>
      <c r="AA182" s="409"/>
      <c r="AB182" s="409"/>
      <c r="AC182" s="409"/>
      <c r="AD182" s="406"/>
      <c r="AE182" s="410"/>
      <c r="AF182" s="893"/>
      <c r="AG182" s="896"/>
      <c r="AH182" s="883"/>
      <c r="AI182" s="1028"/>
      <c r="AJ182" s="1028"/>
      <c r="AK182" s="1029"/>
      <c r="AL182" s="1028"/>
      <c r="AM182" s="1028"/>
      <c r="AN182" s="1029"/>
      <c r="AO182" s="1028"/>
      <c r="AP182" s="1028"/>
      <c r="AQ182" s="1028"/>
      <c r="AR182" s="1028"/>
      <c r="AS182" s="1028"/>
      <c r="AT182" s="1028"/>
      <c r="AU182" s="1028"/>
      <c r="AV182" s="1028"/>
      <c r="AW182" s="1028"/>
      <c r="AX182" s="1028"/>
      <c r="AY182" s="1028"/>
      <c r="AZ182" s="1049"/>
    </row>
    <row r="183" spans="1:52" ht="15" customHeight="1" thickBot="1" x14ac:dyDescent="0.3">
      <c r="A183" s="1015"/>
      <c r="B183" s="1004"/>
      <c r="C183" s="1018"/>
      <c r="D183" s="403" t="s">
        <v>156</v>
      </c>
      <c r="E183" s="386"/>
      <c r="F183" s="404"/>
      <c r="G183" s="405"/>
      <c r="H183" s="405"/>
      <c r="I183" s="405"/>
      <c r="J183" s="405"/>
      <c r="K183" s="405"/>
      <c r="L183" s="405"/>
      <c r="M183" s="413"/>
      <c r="N183" s="405"/>
      <c r="O183" s="405"/>
      <c r="P183" s="405"/>
      <c r="Q183" s="406"/>
      <c r="R183" s="404"/>
      <c r="S183" s="894"/>
      <c r="T183" s="407"/>
      <c r="U183" s="407"/>
      <c r="V183" s="407"/>
      <c r="W183" s="407"/>
      <c r="X183" s="407"/>
      <c r="Y183" s="407"/>
      <c r="Z183" s="413"/>
      <c r="AA183" s="409"/>
      <c r="AB183" s="409"/>
      <c r="AC183" s="409"/>
      <c r="AD183" s="406"/>
      <c r="AE183" s="410"/>
      <c r="AF183" s="894"/>
      <c r="AG183" s="898"/>
      <c r="AH183" s="884"/>
      <c r="AI183" s="1028"/>
      <c r="AJ183" s="1028"/>
      <c r="AK183" s="1029"/>
      <c r="AL183" s="1028"/>
      <c r="AM183" s="1028"/>
      <c r="AN183" s="1029"/>
      <c r="AO183" s="1028"/>
      <c r="AP183" s="1028"/>
      <c r="AQ183" s="1028"/>
      <c r="AR183" s="1028"/>
      <c r="AS183" s="1028"/>
      <c r="AT183" s="1028"/>
      <c r="AU183" s="1028"/>
      <c r="AV183" s="1028"/>
      <c r="AW183" s="1028"/>
      <c r="AX183" s="1028"/>
      <c r="AY183" s="1028"/>
      <c r="AZ183" s="1049"/>
    </row>
    <row r="184" spans="1:52" ht="15" customHeight="1" x14ac:dyDescent="0.25">
      <c r="A184" s="1015"/>
      <c r="B184" s="1004"/>
      <c r="C184" s="1016" t="s">
        <v>279</v>
      </c>
      <c r="D184" s="379" t="s">
        <v>149</v>
      </c>
      <c r="E184" s="386"/>
      <c r="F184" s="408"/>
      <c r="G184" s="405"/>
      <c r="H184" s="405"/>
      <c r="I184" s="405"/>
      <c r="J184" s="405"/>
      <c r="K184" s="405"/>
      <c r="L184" s="405"/>
      <c r="M184" s="413"/>
      <c r="N184" s="405"/>
      <c r="O184" s="405"/>
      <c r="P184" s="405"/>
      <c r="Q184" s="406"/>
      <c r="R184" s="408">
        <f>0.01305*70</f>
        <v>0.91350000000000009</v>
      </c>
      <c r="S184" s="892" t="s">
        <v>607</v>
      </c>
      <c r="T184" s="407"/>
      <c r="U184" s="407"/>
      <c r="V184" s="407">
        <v>14</v>
      </c>
      <c r="W184" s="407">
        <v>16</v>
      </c>
      <c r="X184" s="407">
        <v>26</v>
      </c>
      <c r="Y184" s="407"/>
      <c r="Z184" s="413"/>
      <c r="AA184" s="409"/>
      <c r="AB184" s="409"/>
      <c r="AC184" s="409"/>
      <c r="AD184" s="406"/>
      <c r="AE184" s="410">
        <f>0.013*70</f>
        <v>0.90999999999999992</v>
      </c>
      <c r="AF184" s="892" t="s">
        <v>622</v>
      </c>
      <c r="AG184" s="895"/>
      <c r="AH184" s="882" t="s">
        <v>279</v>
      </c>
      <c r="AI184" s="1025" t="s">
        <v>522</v>
      </c>
      <c r="AJ184" s="1025" t="s">
        <v>698</v>
      </c>
      <c r="AK184" s="1029"/>
      <c r="AL184" s="1025" t="s">
        <v>699</v>
      </c>
      <c r="AM184" s="1025" t="s">
        <v>90</v>
      </c>
      <c r="AN184" s="1029"/>
      <c r="AO184" s="1025">
        <v>254468.54850706499</v>
      </c>
      <c r="AP184" s="1025">
        <v>120116.09417690001</v>
      </c>
      <c r="AQ184" s="1025">
        <v>134352.454330165</v>
      </c>
      <c r="AR184" s="1025" t="s">
        <v>269</v>
      </c>
      <c r="AS184" s="1025" t="s">
        <v>269</v>
      </c>
      <c r="AT184" s="1025" t="s">
        <v>269</v>
      </c>
      <c r="AU184" s="1025" t="s">
        <v>269</v>
      </c>
      <c r="AV184" s="1025" t="s">
        <v>269</v>
      </c>
      <c r="AW184" s="1025" t="s">
        <v>269</v>
      </c>
      <c r="AX184" s="1025" t="s">
        <v>269</v>
      </c>
      <c r="AY184" s="1025" t="s">
        <v>269</v>
      </c>
      <c r="AZ184" s="1049"/>
    </row>
    <row r="185" spans="1:52" ht="15" customHeight="1" x14ac:dyDescent="0.25">
      <c r="A185" s="1015"/>
      <c r="B185" s="1004"/>
      <c r="C185" s="1017"/>
      <c r="D185" s="388" t="s">
        <v>151</v>
      </c>
      <c r="E185" s="386"/>
      <c r="F185" s="411"/>
      <c r="G185" s="405"/>
      <c r="H185" s="405"/>
      <c r="I185" s="405"/>
      <c r="J185" s="405"/>
      <c r="K185" s="405"/>
      <c r="L185" s="405"/>
      <c r="M185" s="413"/>
      <c r="N185" s="405"/>
      <c r="O185" s="405"/>
      <c r="P185" s="405"/>
      <c r="Q185" s="406"/>
      <c r="R185" s="411">
        <f>1035240*70</f>
        <v>72466800</v>
      </c>
      <c r="S185" s="893"/>
      <c r="T185" s="407"/>
      <c r="U185" s="407"/>
      <c r="V185" s="407"/>
      <c r="W185" s="407"/>
      <c r="X185" s="407"/>
      <c r="Y185" s="407"/>
      <c r="Z185" s="413"/>
      <c r="AA185" s="409"/>
      <c r="AB185" s="409"/>
      <c r="AC185" s="409"/>
      <c r="AD185" s="406"/>
      <c r="AE185" s="390">
        <f>1005724*70</f>
        <v>70400680</v>
      </c>
      <c r="AF185" s="893"/>
      <c r="AG185" s="896"/>
      <c r="AH185" s="883"/>
      <c r="AI185" s="1028"/>
      <c r="AJ185" s="1028"/>
      <c r="AK185" s="1029"/>
      <c r="AL185" s="1028"/>
      <c r="AM185" s="1028"/>
      <c r="AN185" s="1029"/>
      <c r="AO185" s="1028"/>
      <c r="AP185" s="1028"/>
      <c r="AQ185" s="1028"/>
      <c r="AR185" s="1028"/>
      <c r="AS185" s="1028"/>
      <c r="AT185" s="1028"/>
      <c r="AU185" s="1028"/>
      <c r="AV185" s="1028"/>
      <c r="AW185" s="1028"/>
      <c r="AX185" s="1028"/>
      <c r="AY185" s="1028"/>
      <c r="AZ185" s="1049"/>
    </row>
    <row r="186" spans="1:52" ht="15" customHeight="1" x14ac:dyDescent="0.25">
      <c r="A186" s="1015"/>
      <c r="B186" s="1004"/>
      <c r="C186" s="1017"/>
      <c r="D186" s="394" t="s">
        <v>153</v>
      </c>
      <c r="E186" s="386"/>
      <c r="F186" s="404"/>
      <c r="G186" s="405"/>
      <c r="H186" s="405"/>
      <c r="I186" s="405"/>
      <c r="J186" s="405"/>
      <c r="K186" s="405"/>
      <c r="L186" s="405"/>
      <c r="M186" s="413"/>
      <c r="N186" s="405"/>
      <c r="O186" s="405"/>
      <c r="P186" s="405"/>
      <c r="Q186" s="406"/>
      <c r="R186" s="404"/>
      <c r="S186" s="893"/>
      <c r="T186" s="407"/>
      <c r="U186" s="407"/>
      <c r="V186" s="407"/>
      <c r="W186" s="407"/>
      <c r="X186" s="407"/>
      <c r="Y186" s="407"/>
      <c r="Z186" s="413"/>
      <c r="AA186" s="409"/>
      <c r="AB186" s="409"/>
      <c r="AC186" s="409"/>
      <c r="AD186" s="406"/>
      <c r="AE186" s="410"/>
      <c r="AF186" s="893"/>
      <c r="AG186" s="896"/>
      <c r="AH186" s="883"/>
      <c r="AI186" s="1028"/>
      <c r="AJ186" s="1028"/>
      <c r="AK186" s="1029"/>
      <c r="AL186" s="1028"/>
      <c r="AM186" s="1028"/>
      <c r="AN186" s="1029"/>
      <c r="AO186" s="1028"/>
      <c r="AP186" s="1028"/>
      <c r="AQ186" s="1028"/>
      <c r="AR186" s="1028"/>
      <c r="AS186" s="1028"/>
      <c r="AT186" s="1028"/>
      <c r="AU186" s="1028"/>
      <c r="AV186" s="1028"/>
      <c r="AW186" s="1028"/>
      <c r="AX186" s="1028"/>
      <c r="AY186" s="1028"/>
      <c r="AZ186" s="1049"/>
    </row>
    <row r="187" spans="1:52" ht="15" customHeight="1" x14ac:dyDescent="0.25">
      <c r="A187" s="1015"/>
      <c r="B187" s="1004"/>
      <c r="C187" s="1017"/>
      <c r="D187" s="388" t="s">
        <v>154</v>
      </c>
      <c r="E187" s="386"/>
      <c r="F187" s="404"/>
      <c r="G187" s="405"/>
      <c r="H187" s="405"/>
      <c r="I187" s="405"/>
      <c r="J187" s="405"/>
      <c r="K187" s="405"/>
      <c r="L187" s="405"/>
      <c r="M187" s="413"/>
      <c r="N187" s="405"/>
      <c r="O187" s="405"/>
      <c r="P187" s="405"/>
      <c r="Q187" s="406"/>
      <c r="R187" s="404"/>
      <c r="S187" s="893"/>
      <c r="T187" s="407"/>
      <c r="U187" s="407"/>
      <c r="V187" s="407"/>
      <c r="W187" s="407"/>
      <c r="X187" s="407"/>
      <c r="Y187" s="407"/>
      <c r="Z187" s="413"/>
      <c r="AA187" s="409"/>
      <c r="AB187" s="409"/>
      <c r="AC187" s="409"/>
      <c r="AD187" s="406"/>
      <c r="AE187" s="410"/>
      <c r="AF187" s="893"/>
      <c r="AG187" s="896"/>
      <c r="AH187" s="883"/>
      <c r="AI187" s="1028"/>
      <c r="AJ187" s="1028"/>
      <c r="AK187" s="1029"/>
      <c r="AL187" s="1028"/>
      <c r="AM187" s="1028"/>
      <c r="AN187" s="1029"/>
      <c r="AO187" s="1028"/>
      <c r="AP187" s="1028"/>
      <c r="AQ187" s="1028"/>
      <c r="AR187" s="1028"/>
      <c r="AS187" s="1028"/>
      <c r="AT187" s="1028"/>
      <c r="AU187" s="1028"/>
      <c r="AV187" s="1028"/>
      <c r="AW187" s="1028"/>
      <c r="AX187" s="1028"/>
      <c r="AY187" s="1028"/>
      <c r="AZ187" s="1049"/>
    </row>
    <row r="188" spans="1:52" ht="15" customHeight="1" x14ac:dyDescent="0.25">
      <c r="A188" s="1015"/>
      <c r="B188" s="1004"/>
      <c r="C188" s="1017"/>
      <c r="D188" s="394" t="s">
        <v>155</v>
      </c>
      <c r="E188" s="386"/>
      <c r="F188" s="412"/>
      <c r="G188" s="405"/>
      <c r="H188" s="405"/>
      <c r="I188" s="405"/>
      <c r="J188" s="405"/>
      <c r="K188" s="405"/>
      <c r="L188" s="405"/>
      <c r="M188" s="413"/>
      <c r="N188" s="405"/>
      <c r="O188" s="405"/>
      <c r="P188" s="405"/>
      <c r="Q188" s="406"/>
      <c r="R188" s="412"/>
      <c r="S188" s="893"/>
      <c r="T188" s="407"/>
      <c r="U188" s="407"/>
      <c r="V188" s="407"/>
      <c r="W188" s="407"/>
      <c r="X188" s="407"/>
      <c r="Y188" s="407"/>
      <c r="Z188" s="413"/>
      <c r="AA188" s="409"/>
      <c r="AB188" s="409"/>
      <c r="AC188" s="409"/>
      <c r="AD188" s="406"/>
      <c r="AE188" s="410"/>
      <c r="AF188" s="893"/>
      <c r="AG188" s="896"/>
      <c r="AH188" s="883"/>
      <c r="AI188" s="1028"/>
      <c r="AJ188" s="1028"/>
      <c r="AK188" s="1029"/>
      <c r="AL188" s="1028"/>
      <c r="AM188" s="1028"/>
      <c r="AN188" s="1029"/>
      <c r="AO188" s="1028"/>
      <c r="AP188" s="1028"/>
      <c r="AQ188" s="1028"/>
      <c r="AR188" s="1028"/>
      <c r="AS188" s="1028"/>
      <c r="AT188" s="1028"/>
      <c r="AU188" s="1028"/>
      <c r="AV188" s="1028"/>
      <c r="AW188" s="1028"/>
      <c r="AX188" s="1028"/>
      <c r="AY188" s="1028"/>
      <c r="AZ188" s="1049"/>
    </row>
    <row r="189" spans="1:52" ht="15" customHeight="1" thickBot="1" x14ac:dyDescent="0.3">
      <c r="A189" s="1015"/>
      <c r="B189" s="1004"/>
      <c r="C189" s="1018"/>
      <c r="D189" s="403" t="s">
        <v>156</v>
      </c>
      <c r="E189" s="386"/>
      <c r="F189" s="404"/>
      <c r="G189" s="405"/>
      <c r="H189" s="405"/>
      <c r="I189" s="405"/>
      <c r="J189" s="405"/>
      <c r="K189" s="405"/>
      <c r="L189" s="405"/>
      <c r="M189" s="413"/>
      <c r="N189" s="405"/>
      <c r="O189" s="405"/>
      <c r="P189" s="405"/>
      <c r="Q189" s="406"/>
      <c r="R189" s="404"/>
      <c r="S189" s="894"/>
      <c r="T189" s="407"/>
      <c r="U189" s="407"/>
      <c r="V189" s="407"/>
      <c r="W189" s="407"/>
      <c r="X189" s="407"/>
      <c r="Y189" s="407"/>
      <c r="Z189" s="413"/>
      <c r="AA189" s="409"/>
      <c r="AB189" s="409"/>
      <c r="AC189" s="409"/>
      <c r="AD189" s="406"/>
      <c r="AE189" s="410"/>
      <c r="AF189" s="894"/>
      <c r="AG189" s="898"/>
      <c r="AH189" s="884"/>
      <c r="AI189" s="1028"/>
      <c r="AJ189" s="1028"/>
      <c r="AK189" s="1029"/>
      <c r="AL189" s="1028"/>
      <c r="AM189" s="1028"/>
      <c r="AN189" s="1029"/>
      <c r="AO189" s="1028"/>
      <c r="AP189" s="1028"/>
      <c r="AQ189" s="1028"/>
      <c r="AR189" s="1028"/>
      <c r="AS189" s="1028"/>
      <c r="AT189" s="1028"/>
      <c r="AU189" s="1028"/>
      <c r="AV189" s="1028"/>
      <c r="AW189" s="1028"/>
      <c r="AX189" s="1028"/>
      <c r="AY189" s="1028"/>
      <c r="AZ189" s="1049"/>
    </row>
    <row r="190" spans="1:52" ht="15" customHeight="1" x14ac:dyDescent="0.25">
      <c r="A190" s="1015"/>
      <c r="B190" s="1004"/>
      <c r="C190" s="1016" t="s">
        <v>280</v>
      </c>
      <c r="D190" s="379" t="s">
        <v>149</v>
      </c>
      <c r="E190" s="386"/>
      <c r="F190" s="404"/>
      <c r="G190" s="405"/>
      <c r="H190" s="405"/>
      <c r="I190" s="405"/>
      <c r="J190" s="405"/>
      <c r="K190" s="405"/>
      <c r="L190" s="405"/>
      <c r="M190" s="413"/>
      <c r="N190" s="405"/>
      <c r="O190" s="405"/>
      <c r="P190" s="405"/>
      <c r="Q190" s="406"/>
      <c r="R190" s="408">
        <f>0.01305*1</f>
        <v>1.3050000000000001E-2</v>
      </c>
      <c r="S190" s="892" t="s">
        <v>608</v>
      </c>
      <c r="T190" s="407"/>
      <c r="U190" s="407"/>
      <c r="V190" s="407"/>
      <c r="W190" s="407"/>
      <c r="X190" s="407">
        <v>1</v>
      </c>
      <c r="Y190" s="407"/>
      <c r="Z190" s="413"/>
      <c r="AA190" s="409"/>
      <c r="AB190" s="409"/>
      <c r="AC190" s="409"/>
      <c r="AD190" s="406"/>
      <c r="AE190" s="410">
        <f>0.013*1</f>
        <v>1.2999999999999999E-2</v>
      </c>
      <c r="AF190" s="892" t="s">
        <v>608</v>
      </c>
      <c r="AG190" s="895"/>
      <c r="AH190" s="882" t="s">
        <v>280</v>
      </c>
      <c r="AI190" s="1025" t="s">
        <v>523</v>
      </c>
      <c r="AJ190" s="1025" t="s">
        <v>524</v>
      </c>
      <c r="AK190" s="1029"/>
      <c r="AL190" s="1025" t="s">
        <v>283</v>
      </c>
      <c r="AM190" s="1025" t="s">
        <v>523</v>
      </c>
      <c r="AN190" s="1029"/>
      <c r="AO190" s="1025">
        <v>376909.94212534197</v>
      </c>
      <c r="AP190" s="1025">
        <v>181938.44038530099</v>
      </c>
      <c r="AQ190" s="1025">
        <v>194971.50174004101</v>
      </c>
      <c r="AR190" s="1025" t="s">
        <v>269</v>
      </c>
      <c r="AS190" s="1025" t="s">
        <v>269</v>
      </c>
      <c r="AT190" s="1025" t="s">
        <v>269</v>
      </c>
      <c r="AU190" s="1025" t="s">
        <v>269</v>
      </c>
      <c r="AV190" s="1025" t="s">
        <v>269</v>
      </c>
      <c r="AW190" s="1025" t="s">
        <v>269</v>
      </c>
      <c r="AX190" s="1025" t="s">
        <v>269</v>
      </c>
      <c r="AY190" s="1025" t="s">
        <v>269</v>
      </c>
      <c r="AZ190" s="1049"/>
    </row>
    <row r="191" spans="1:52" ht="15" customHeight="1" x14ac:dyDescent="0.25">
      <c r="A191" s="1015"/>
      <c r="B191" s="1004"/>
      <c r="C191" s="1017"/>
      <c r="D191" s="388" t="s">
        <v>151</v>
      </c>
      <c r="E191" s="386"/>
      <c r="F191" s="404"/>
      <c r="G191" s="405"/>
      <c r="H191" s="405"/>
      <c r="I191" s="405"/>
      <c r="J191" s="405"/>
      <c r="K191" s="405"/>
      <c r="L191" s="405"/>
      <c r="M191" s="413"/>
      <c r="N191" s="405"/>
      <c r="O191" s="405"/>
      <c r="P191" s="405"/>
      <c r="Q191" s="406"/>
      <c r="R191" s="411">
        <f>1035240*1</f>
        <v>1035240</v>
      </c>
      <c r="S191" s="893"/>
      <c r="T191" s="407"/>
      <c r="U191" s="407"/>
      <c r="V191" s="407"/>
      <c r="W191" s="407"/>
      <c r="X191" s="407"/>
      <c r="Y191" s="407"/>
      <c r="Z191" s="413"/>
      <c r="AA191" s="409"/>
      <c r="AB191" s="409"/>
      <c r="AC191" s="409"/>
      <c r="AD191" s="406"/>
      <c r="AE191" s="390">
        <f>1005724*1</f>
        <v>1005724</v>
      </c>
      <c r="AF191" s="893"/>
      <c r="AG191" s="896"/>
      <c r="AH191" s="883"/>
      <c r="AI191" s="1028"/>
      <c r="AJ191" s="1028"/>
      <c r="AK191" s="1029"/>
      <c r="AL191" s="1028"/>
      <c r="AM191" s="1028"/>
      <c r="AN191" s="1029"/>
      <c r="AO191" s="1028"/>
      <c r="AP191" s="1028"/>
      <c r="AQ191" s="1028"/>
      <c r="AR191" s="1028"/>
      <c r="AS191" s="1028"/>
      <c r="AT191" s="1028"/>
      <c r="AU191" s="1028"/>
      <c r="AV191" s="1028"/>
      <c r="AW191" s="1028"/>
      <c r="AX191" s="1028"/>
      <c r="AY191" s="1028"/>
      <c r="AZ191" s="1049"/>
    </row>
    <row r="192" spans="1:52" ht="15" customHeight="1" x14ac:dyDescent="0.25">
      <c r="A192" s="1015"/>
      <c r="B192" s="1004"/>
      <c r="C192" s="1017"/>
      <c r="D192" s="394" t="s">
        <v>153</v>
      </c>
      <c r="E192" s="386"/>
      <c r="F192" s="404"/>
      <c r="G192" s="405"/>
      <c r="H192" s="405"/>
      <c r="I192" s="405"/>
      <c r="J192" s="405"/>
      <c r="K192" s="405"/>
      <c r="L192" s="405"/>
      <c r="M192" s="413"/>
      <c r="N192" s="405"/>
      <c r="O192" s="405"/>
      <c r="P192" s="405"/>
      <c r="Q192" s="406"/>
      <c r="R192" s="412"/>
      <c r="S192" s="893"/>
      <c r="T192" s="407"/>
      <c r="U192" s="407"/>
      <c r="V192" s="407"/>
      <c r="W192" s="407"/>
      <c r="X192" s="407"/>
      <c r="Y192" s="407"/>
      <c r="Z192" s="413"/>
      <c r="AA192" s="409"/>
      <c r="AB192" s="409"/>
      <c r="AC192" s="409"/>
      <c r="AD192" s="406"/>
      <c r="AE192" s="410"/>
      <c r="AF192" s="893"/>
      <c r="AG192" s="896"/>
      <c r="AH192" s="883"/>
      <c r="AI192" s="1028"/>
      <c r="AJ192" s="1028"/>
      <c r="AK192" s="1029"/>
      <c r="AL192" s="1028"/>
      <c r="AM192" s="1028"/>
      <c r="AN192" s="1029"/>
      <c r="AO192" s="1028"/>
      <c r="AP192" s="1028"/>
      <c r="AQ192" s="1028"/>
      <c r="AR192" s="1028"/>
      <c r="AS192" s="1028"/>
      <c r="AT192" s="1028"/>
      <c r="AU192" s="1028"/>
      <c r="AV192" s="1028"/>
      <c r="AW192" s="1028"/>
      <c r="AX192" s="1028"/>
      <c r="AY192" s="1028"/>
      <c r="AZ192" s="1049"/>
    </row>
    <row r="193" spans="1:52" ht="15" customHeight="1" x14ac:dyDescent="0.25">
      <c r="A193" s="1015"/>
      <c r="B193" s="1004"/>
      <c r="C193" s="1017"/>
      <c r="D193" s="388" t="s">
        <v>154</v>
      </c>
      <c r="E193" s="386"/>
      <c r="F193" s="404"/>
      <c r="G193" s="405"/>
      <c r="H193" s="405"/>
      <c r="I193" s="405"/>
      <c r="J193" s="405"/>
      <c r="K193" s="405"/>
      <c r="L193" s="405"/>
      <c r="M193" s="413"/>
      <c r="N193" s="405"/>
      <c r="O193" s="405"/>
      <c r="P193" s="405"/>
      <c r="Q193" s="406"/>
      <c r="R193" s="412"/>
      <c r="S193" s="893"/>
      <c r="T193" s="407"/>
      <c r="U193" s="407"/>
      <c r="V193" s="407"/>
      <c r="W193" s="407"/>
      <c r="X193" s="407"/>
      <c r="Y193" s="407"/>
      <c r="Z193" s="413"/>
      <c r="AA193" s="409"/>
      <c r="AB193" s="409"/>
      <c r="AC193" s="409"/>
      <c r="AD193" s="406"/>
      <c r="AE193" s="410"/>
      <c r="AF193" s="893"/>
      <c r="AG193" s="896"/>
      <c r="AH193" s="883"/>
      <c r="AI193" s="1028"/>
      <c r="AJ193" s="1028"/>
      <c r="AK193" s="1029"/>
      <c r="AL193" s="1028"/>
      <c r="AM193" s="1028"/>
      <c r="AN193" s="1029"/>
      <c r="AO193" s="1028"/>
      <c r="AP193" s="1028"/>
      <c r="AQ193" s="1028"/>
      <c r="AR193" s="1028"/>
      <c r="AS193" s="1028"/>
      <c r="AT193" s="1028"/>
      <c r="AU193" s="1028"/>
      <c r="AV193" s="1028"/>
      <c r="AW193" s="1028"/>
      <c r="AX193" s="1028"/>
      <c r="AY193" s="1028"/>
      <c r="AZ193" s="1049"/>
    </row>
    <row r="194" spans="1:52" ht="15" customHeight="1" x14ac:dyDescent="0.25">
      <c r="A194" s="1015"/>
      <c r="B194" s="1004"/>
      <c r="C194" s="1017"/>
      <c r="D194" s="394" t="s">
        <v>155</v>
      </c>
      <c r="E194" s="386"/>
      <c r="F194" s="404"/>
      <c r="G194" s="405"/>
      <c r="H194" s="405"/>
      <c r="I194" s="405"/>
      <c r="J194" s="405"/>
      <c r="K194" s="405"/>
      <c r="L194" s="405"/>
      <c r="M194" s="413"/>
      <c r="N194" s="405"/>
      <c r="O194" s="405"/>
      <c r="P194" s="405"/>
      <c r="Q194" s="406"/>
      <c r="R194" s="412"/>
      <c r="S194" s="893"/>
      <c r="T194" s="407"/>
      <c r="U194" s="407"/>
      <c r="V194" s="407"/>
      <c r="W194" s="407"/>
      <c r="X194" s="407"/>
      <c r="Y194" s="407"/>
      <c r="Z194" s="413"/>
      <c r="AA194" s="409"/>
      <c r="AB194" s="409"/>
      <c r="AC194" s="409"/>
      <c r="AD194" s="406"/>
      <c r="AE194" s="410"/>
      <c r="AF194" s="893"/>
      <c r="AG194" s="896"/>
      <c r="AH194" s="883"/>
      <c r="AI194" s="1028"/>
      <c r="AJ194" s="1028"/>
      <c r="AK194" s="1029"/>
      <c r="AL194" s="1028"/>
      <c r="AM194" s="1028"/>
      <c r="AN194" s="1029"/>
      <c r="AO194" s="1028"/>
      <c r="AP194" s="1028"/>
      <c r="AQ194" s="1028"/>
      <c r="AR194" s="1028"/>
      <c r="AS194" s="1028"/>
      <c r="AT194" s="1028"/>
      <c r="AU194" s="1028"/>
      <c r="AV194" s="1028"/>
      <c r="AW194" s="1028"/>
      <c r="AX194" s="1028"/>
      <c r="AY194" s="1028"/>
      <c r="AZ194" s="1049"/>
    </row>
    <row r="195" spans="1:52" ht="15" customHeight="1" thickBot="1" x14ac:dyDescent="0.3">
      <c r="A195" s="1015"/>
      <c r="B195" s="1004"/>
      <c r="C195" s="1018"/>
      <c r="D195" s="403" t="s">
        <v>156</v>
      </c>
      <c r="E195" s="386"/>
      <c r="F195" s="404"/>
      <c r="G195" s="405"/>
      <c r="H195" s="405"/>
      <c r="I195" s="405"/>
      <c r="J195" s="405"/>
      <c r="K195" s="405"/>
      <c r="L195" s="405"/>
      <c r="M195" s="413"/>
      <c r="N195" s="405"/>
      <c r="O195" s="405"/>
      <c r="P195" s="405"/>
      <c r="Q195" s="406"/>
      <c r="R195" s="412"/>
      <c r="S195" s="894"/>
      <c r="T195" s="407"/>
      <c r="U195" s="407"/>
      <c r="V195" s="407"/>
      <c r="W195" s="407"/>
      <c r="X195" s="407"/>
      <c r="Y195" s="407"/>
      <c r="Z195" s="413"/>
      <c r="AA195" s="409"/>
      <c r="AB195" s="409"/>
      <c r="AC195" s="409"/>
      <c r="AD195" s="406"/>
      <c r="AE195" s="410"/>
      <c r="AF195" s="894"/>
      <c r="AG195" s="898"/>
      <c r="AH195" s="884"/>
      <c r="AI195" s="1028"/>
      <c r="AJ195" s="1028"/>
      <c r="AK195" s="1029"/>
      <c r="AL195" s="1028"/>
      <c r="AM195" s="1028"/>
      <c r="AN195" s="1029"/>
      <c r="AO195" s="1028"/>
      <c r="AP195" s="1028"/>
      <c r="AQ195" s="1028"/>
      <c r="AR195" s="1028"/>
      <c r="AS195" s="1028"/>
      <c r="AT195" s="1028"/>
      <c r="AU195" s="1028"/>
      <c r="AV195" s="1028"/>
      <c r="AW195" s="1028"/>
      <c r="AX195" s="1028"/>
      <c r="AY195" s="1028"/>
      <c r="AZ195" s="1049"/>
    </row>
    <row r="196" spans="1:52" ht="15" customHeight="1" x14ac:dyDescent="0.25">
      <c r="A196" s="1015"/>
      <c r="B196" s="1004"/>
      <c r="C196" s="1016" t="s">
        <v>281</v>
      </c>
      <c r="D196" s="379" t="s">
        <v>149</v>
      </c>
      <c r="E196" s="386"/>
      <c r="F196" s="414"/>
      <c r="G196" s="405"/>
      <c r="H196" s="405"/>
      <c r="I196" s="405"/>
      <c r="J196" s="405"/>
      <c r="K196" s="405"/>
      <c r="L196" s="405"/>
      <c r="M196" s="413"/>
      <c r="N196" s="405"/>
      <c r="O196" s="405"/>
      <c r="P196" s="405"/>
      <c r="Q196" s="406"/>
      <c r="R196" s="408">
        <f>0.01305*1</f>
        <v>1.3050000000000001E-2</v>
      </c>
      <c r="S196" s="892" t="s">
        <v>608</v>
      </c>
      <c r="T196" s="407"/>
      <c r="U196" s="407"/>
      <c r="V196" s="407">
        <v>1</v>
      </c>
      <c r="W196" s="407">
        <v>1</v>
      </c>
      <c r="X196" s="407">
        <v>1</v>
      </c>
      <c r="Y196" s="407"/>
      <c r="Z196" s="413"/>
      <c r="AA196" s="409"/>
      <c r="AB196" s="409"/>
      <c r="AC196" s="409"/>
      <c r="AD196" s="406"/>
      <c r="AE196" s="410">
        <f>0.013*1</f>
        <v>1.2999999999999999E-2</v>
      </c>
      <c r="AF196" s="892" t="s">
        <v>608</v>
      </c>
      <c r="AG196" s="895"/>
      <c r="AH196" s="882" t="s">
        <v>281</v>
      </c>
      <c r="AI196" s="1025"/>
      <c r="AJ196" s="1025" t="s">
        <v>282</v>
      </c>
      <c r="AK196" s="1029"/>
      <c r="AL196" s="1025" t="s">
        <v>283</v>
      </c>
      <c r="AM196" s="1025" t="s">
        <v>90</v>
      </c>
      <c r="AN196" s="1029"/>
      <c r="AO196" s="1025">
        <v>406574.31283195899</v>
      </c>
      <c r="AP196" s="1025">
        <v>196556.91202693101</v>
      </c>
      <c r="AQ196" s="1025">
        <v>210017.40080502801</v>
      </c>
      <c r="AR196" s="1025" t="s">
        <v>269</v>
      </c>
      <c r="AS196" s="1025" t="s">
        <v>269</v>
      </c>
      <c r="AT196" s="1025" t="s">
        <v>269</v>
      </c>
      <c r="AU196" s="1025" t="s">
        <v>269</v>
      </c>
      <c r="AV196" s="1025" t="s">
        <v>269</v>
      </c>
      <c r="AW196" s="1025" t="s">
        <v>269</v>
      </c>
      <c r="AX196" s="1025" t="s">
        <v>269</v>
      </c>
      <c r="AY196" s="1025" t="s">
        <v>269</v>
      </c>
      <c r="AZ196" s="1049"/>
    </row>
    <row r="197" spans="1:52" ht="15" customHeight="1" x14ac:dyDescent="0.25">
      <c r="A197" s="1015"/>
      <c r="B197" s="1004"/>
      <c r="C197" s="1017"/>
      <c r="D197" s="388" t="s">
        <v>151</v>
      </c>
      <c r="E197" s="386"/>
      <c r="F197" s="411"/>
      <c r="G197" s="405"/>
      <c r="H197" s="405"/>
      <c r="I197" s="405"/>
      <c r="J197" s="405"/>
      <c r="K197" s="405"/>
      <c r="L197" s="405"/>
      <c r="M197" s="413"/>
      <c r="N197" s="405"/>
      <c r="O197" s="405"/>
      <c r="P197" s="405"/>
      <c r="Q197" s="406"/>
      <c r="R197" s="411">
        <f>1035240*1</f>
        <v>1035240</v>
      </c>
      <c r="S197" s="893"/>
      <c r="T197" s="407"/>
      <c r="U197" s="407"/>
      <c r="V197" s="407"/>
      <c r="W197" s="407"/>
      <c r="X197" s="407"/>
      <c r="Y197" s="407"/>
      <c r="Z197" s="413"/>
      <c r="AA197" s="409"/>
      <c r="AB197" s="409"/>
      <c r="AC197" s="409"/>
      <c r="AD197" s="406"/>
      <c r="AE197" s="390">
        <f>1005724*1</f>
        <v>1005724</v>
      </c>
      <c r="AF197" s="893"/>
      <c r="AG197" s="896"/>
      <c r="AH197" s="883"/>
      <c r="AI197" s="1028"/>
      <c r="AJ197" s="1028"/>
      <c r="AK197" s="1029"/>
      <c r="AL197" s="1028"/>
      <c r="AM197" s="1028"/>
      <c r="AN197" s="1029"/>
      <c r="AO197" s="1028"/>
      <c r="AP197" s="1028"/>
      <c r="AQ197" s="1028"/>
      <c r="AR197" s="1028"/>
      <c r="AS197" s="1028"/>
      <c r="AT197" s="1028"/>
      <c r="AU197" s="1028"/>
      <c r="AV197" s="1028"/>
      <c r="AW197" s="1028"/>
      <c r="AX197" s="1028"/>
      <c r="AY197" s="1028"/>
      <c r="AZ197" s="1049"/>
    </row>
    <row r="198" spans="1:52" ht="15" customHeight="1" x14ac:dyDescent="0.25">
      <c r="A198" s="1015"/>
      <c r="B198" s="1004"/>
      <c r="C198" s="1017"/>
      <c r="D198" s="394" t="s">
        <v>153</v>
      </c>
      <c r="E198" s="386"/>
      <c r="F198" s="404"/>
      <c r="G198" s="405"/>
      <c r="H198" s="405"/>
      <c r="I198" s="405"/>
      <c r="J198" s="405"/>
      <c r="K198" s="405"/>
      <c r="L198" s="405"/>
      <c r="M198" s="413"/>
      <c r="N198" s="405"/>
      <c r="O198" s="405"/>
      <c r="P198" s="405"/>
      <c r="Q198" s="406"/>
      <c r="R198" s="412"/>
      <c r="S198" s="893"/>
      <c r="T198" s="407"/>
      <c r="U198" s="407"/>
      <c r="V198" s="407"/>
      <c r="W198" s="407"/>
      <c r="X198" s="407"/>
      <c r="Y198" s="407"/>
      <c r="Z198" s="413"/>
      <c r="AA198" s="409"/>
      <c r="AB198" s="409"/>
      <c r="AC198" s="409"/>
      <c r="AD198" s="406"/>
      <c r="AE198" s="410"/>
      <c r="AF198" s="893"/>
      <c r="AG198" s="896"/>
      <c r="AH198" s="883"/>
      <c r="AI198" s="1028"/>
      <c r="AJ198" s="1028"/>
      <c r="AK198" s="1029"/>
      <c r="AL198" s="1028"/>
      <c r="AM198" s="1028"/>
      <c r="AN198" s="1029"/>
      <c r="AO198" s="1028"/>
      <c r="AP198" s="1028"/>
      <c r="AQ198" s="1028"/>
      <c r="AR198" s="1028"/>
      <c r="AS198" s="1028"/>
      <c r="AT198" s="1028"/>
      <c r="AU198" s="1028"/>
      <c r="AV198" s="1028"/>
      <c r="AW198" s="1028"/>
      <c r="AX198" s="1028"/>
      <c r="AY198" s="1028"/>
      <c r="AZ198" s="1049"/>
    </row>
    <row r="199" spans="1:52" ht="15" customHeight="1" x14ac:dyDescent="0.25">
      <c r="A199" s="1015"/>
      <c r="B199" s="1004"/>
      <c r="C199" s="1017"/>
      <c r="D199" s="388" t="s">
        <v>154</v>
      </c>
      <c r="E199" s="386"/>
      <c r="F199" s="404"/>
      <c r="G199" s="405"/>
      <c r="H199" s="405"/>
      <c r="I199" s="405"/>
      <c r="J199" s="405"/>
      <c r="K199" s="405"/>
      <c r="L199" s="405"/>
      <c r="M199" s="413"/>
      <c r="N199" s="405"/>
      <c r="O199" s="405"/>
      <c r="P199" s="405"/>
      <c r="Q199" s="406"/>
      <c r="R199" s="412"/>
      <c r="S199" s="893"/>
      <c r="T199" s="407"/>
      <c r="U199" s="407"/>
      <c r="V199" s="407"/>
      <c r="W199" s="407"/>
      <c r="X199" s="407"/>
      <c r="Y199" s="407"/>
      <c r="Z199" s="413"/>
      <c r="AA199" s="409"/>
      <c r="AB199" s="409"/>
      <c r="AC199" s="409"/>
      <c r="AD199" s="406"/>
      <c r="AE199" s="410"/>
      <c r="AF199" s="893"/>
      <c r="AG199" s="896"/>
      <c r="AH199" s="883"/>
      <c r="AI199" s="1028"/>
      <c r="AJ199" s="1028"/>
      <c r="AK199" s="1029"/>
      <c r="AL199" s="1028"/>
      <c r="AM199" s="1028"/>
      <c r="AN199" s="1029"/>
      <c r="AO199" s="1028"/>
      <c r="AP199" s="1028"/>
      <c r="AQ199" s="1028"/>
      <c r="AR199" s="1028"/>
      <c r="AS199" s="1028"/>
      <c r="AT199" s="1028"/>
      <c r="AU199" s="1028"/>
      <c r="AV199" s="1028"/>
      <c r="AW199" s="1028"/>
      <c r="AX199" s="1028"/>
      <c r="AY199" s="1028"/>
      <c r="AZ199" s="1049"/>
    </row>
    <row r="200" spans="1:52" ht="15" customHeight="1" x14ac:dyDescent="0.25">
      <c r="A200" s="1015"/>
      <c r="B200" s="1004"/>
      <c r="C200" s="1017"/>
      <c r="D200" s="394" t="s">
        <v>155</v>
      </c>
      <c r="E200" s="386"/>
      <c r="F200" s="415"/>
      <c r="G200" s="405"/>
      <c r="H200" s="405"/>
      <c r="I200" s="405"/>
      <c r="J200" s="405"/>
      <c r="K200" s="405"/>
      <c r="L200" s="405"/>
      <c r="M200" s="413"/>
      <c r="N200" s="405"/>
      <c r="O200" s="405"/>
      <c r="P200" s="405"/>
      <c r="Q200" s="406"/>
      <c r="R200" s="412"/>
      <c r="S200" s="893"/>
      <c r="T200" s="407"/>
      <c r="U200" s="407"/>
      <c r="V200" s="407"/>
      <c r="W200" s="407"/>
      <c r="X200" s="407"/>
      <c r="Y200" s="407"/>
      <c r="Z200" s="413"/>
      <c r="AA200" s="409"/>
      <c r="AB200" s="409"/>
      <c r="AC200" s="409"/>
      <c r="AD200" s="406"/>
      <c r="AE200" s="410"/>
      <c r="AF200" s="893"/>
      <c r="AG200" s="896"/>
      <c r="AH200" s="883"/>
      <c r="AI200" s="1028"/>
      <c r="AJ200" s="1028"/>
      <c r="AK200" s="1029"/>
      <c r="AL200" s="1028"/>
      <c r="AM200" s="1028"/>
      <c r="AN200" s="1029"/>
      <c r="AO200" s="1028"/>
      <c r="AP200" s="1028"/>
      <c r="AQ200" s="1028"/>
      <c r="AR200" s="1028"/>
      <c r="AS200" s="1028"/>
      <c r="AT200" s="1028"/>
      <c r="AU200" s="1028"/>
      <c r="AV200" s="1028"/>
      <c r="AW200" s="1028"/>
      <c r="AX200" s="1028"/>
      <c r="AY200" s="1028"/>
      <c r="AZ200" s="1049"/>
    </row>
    <row r="201" spans="1:52" ht="15" customHeight="1" thickBot="1" x14ac:dyDescent="0.3">
      <c r="A201" s="1015"/>
      <c r="B201" s="1004"/>
      <c r="C201" s="1018"/>
      <c r="D201" s="403" t="s">
        <v>156</v>
      </c>
      <c r="E201" s="386"/>
      <c r="F201" s="404"/>
      <c r="G201" s="405"/>
      <c r="H201" s="405"/>
      <c r="I201" s="405"/>
      <c r="J201" s="405"/>
      <c r="K201" s="405"/>
      <c r="L201" s="405"/>
      <c r="M201" s="413"/>
      <c r="N201" s="405"/>
      <c r="O201" s="405"/>
      <c r="P201" s="405"/>
      <c r="Q201" s="406"/>
      <c r="R201" s="412"/>
      <c r="S201" s="894"/>
      <c r="T201" s="407"/>
      <c r="U201" s="407"/>
      <c r="V201" s="407"/>
      <c r="W201" s="407"/>
      <c r="X201" s="407"/>
      <c r="Y201" s="407"/>
      <c r="Z201" s="413"/>
      <c r="AA201" s="409"/>
      <c r="AB201" s="409"/>
      <c r="AC201" s="409"/>
      <c r="AD201" s="406"/>
      <c r="AE201" s="410"/>
      <c r="AF201" s="894"/>
      <c r="AG201" s="898"/>
      <c r="AH201" s="884"/>
      <c r="AI201" s="1028"/>
      <c r="AJ201" s="1028"/>
      <c r="AK201" s="1029"/>
      <c r="AL201" s="1028"/>
      <c r="AM201" s="1028"/>
      <c r="AN201" s="1029"/>
      <c r="AO201" s="1028"/>
      <c r="AP201" s="1028"/>
      <c r="AQ201" s="1028"/>
      <c r="AR201" s="1028"/>
      <c r="AS201" s="1028"/>
      <c r="AT201" s="1028"/>
      <c r="AU201" s="1028"/>
      <c r="AV201" s="1028"/>
      <c r="AW201" s="1028"/>
      <c r="AX201" s="1028"/>
      <c r="AY201" s="1028"/>
      <c r="AZ201" s="1049"/>
    </row>
    <row r="202" spans="1:52" ht="15" customHeight="1" x14ac:dyDescent="0.25">
      <c r="A202" s="1015"/>
      <c r="B202" s="1004"/>
      <c r="C202" s="1016" t="s">
        <v>284</v>
      </c>
      <c r="D202" s="379" t="s">
        <v>149</v>
      </c>
      <c r="E202" s="386"/>
      <c r="F202" s="414"/>
      <c r="G202" s="405"/>
      <c r="H202" s="405"/>
      <c r="I202" s="405"/>
      <c r="J202" s="405"/>
      <c r="K202" s="405"/>
      <c r="L202" s="405"/>
      <c r="M202" s="413"/>
      <c r="N202" s="405"/>
      <c r="O202" s="405"/>
      <c r="P202" s="405"/>
      <c r="Q202" s="406"/>
      <c r="R202" s="408">
        <f>0.01305*9</f>
        <v>0.11745000000000001</v>
      </c>
      <c r="S202" s="892" t="s">
        <v>606</v>
      </c>
      <c r="T202" s="407"/>
      <c r="U202" s="407"/>
      <c r="V202" s="407">
        <v>1</v>
      </c>
      <c r="W202" s="407">
        <v>4</v>
      </c>
      <c r="X202" s="407">
        <v>4</v>
      </c>
      <c r="Y202" s="407"/>
      <c r="Z202" s="413"/>
      <c r="AA202" s="409"/>
      <c r="AB202" s="409"/>
      <c r="AC202" s="409"/>
      <c r="AD202" s="406"/>
      <c r="AE202" s="410">
        <f>0.013*9</f>
        <v>0.11699999999999999</v>
      </c>
      <c r="AF202" s="892" t="s">
        <v>621</v>
      </c>
      <c r="AG202" s="895"/>
      <c r="AH202" s="882" t="s">
        <v>284</v>
      </c>
      <c r="AI202" s="1025" t="s">
        <v>700</v>
      </c>
      <c r="AJ202" s="1025" t="s">
        <v>701</v>
      </c>
      <c r="AK202" s="1029"/>
      <c r="AL202" s="1025" t="s">
        <v>702</v>
      </c>
      <c r="AM202" s="1025" t="s">
        <v>703</v>
      </c>
      <c r="AN202" s="1029"/>
      <c r="AO202" s="1025">
        <v>107787.777303494</v>
      </c>
      <c r="AP202" s="1025">
        <v>53687.302981756999</v>
      </c>
      <c r="AQ202" s="1025">
        <v>54100.474321736801</v>
      </c>
      <c r="AR202" s="1025" t="s">
        <v>269</v>
      </c>
      <c r="AS202" s="1025" t="s">
        <v>269</v>
      </c>
      <c r="AT202" s="1025" t="s">
        <v>269</v>
      </c>
      <c r="AU202" s="1025" t="s">
        <v>269</v>
      </c>
      <c r="AV202" s="1025" t="s">
        <v>269</v>
      </c>
      <c r="AW202" s="1025" t="s">
        <v>269</v>
      </c>
      <c r="AX202" s="1025" t="s">
        <v>269</v>
      </c>
      <c r="AY202" s="1025" t="s">
        <v>269</v>
      </c>
      <c r="AZ202" s="1049"/>
    </row>
    <row r="203" spans="1:52" ht="15" customHeight="1" x14ac:dyDescent="0.25">
      <c r="A203" s="1015"/>
      <c r="B203" s="1004"/>
      <c r="C203" s="1017"/>
      <c r="D203" s="388" t="s">
        <v>151</v>
      </c>
      <c r="E203" s="386"/>
      <c r="F203" s="411"/>
      <c r="G203" s="405"/>
      <c r="H203" s="405"/>
      <c r="I203" s="405"/>
      <c r="J203" s="405"/>
      <c r="K203" s="405"/>
      <c r="L203" s="405"/>
      <c r="M203" s="413"/>
      <c r="N203" s="405"/>
      <c r="O203" s="405"/>
      <c r="P203" s="405"/>
      <c r="Q203" s="406"/>
      <c r="R203" s="411">
        <f>1035240*9</f>
        <v>9317160</v>
      </c>
      <c r="S203" s="893"/>
      <c r="T203" s="407"/>
      <c r="U203" s="407"/>
      <c r="V203" s="407"/>
      <c r="W203" s="407"/>
      <c r="X203" s="407"/>
      <c r="Y203" s="407"/>
      <c r="Z203" s="413"/>
      <c r="AA203" s="409"/>
      <c r="AB203" s="409"/>
      <c r="AC203" s="409"/>
      <c r="AD203" s="406"/>
      <c r="AE203" s="390">
        <f>1005724*9</f>
        <v>9051516</v>
      </c>
      <c r="AF203" s="893"/>
      <c r="AG203" s="896"/>
      <c r="AH203" s="883"/>
      <c r="AI203" s="1028"/>
      <c r="AJ203" s="1028"/>
      <c r="AK203" s="1029"/>
      <c r="AL203" s="1028"/>
      <c r="AM203" s="1028"/>
      <c r="AN203" s="1029"/>
      <c r="AO203" s="1028"/>
      <c r="AP203" s="1028"/>
      <c r="AQ203" s="1028"/>
      <c r="AR203" s="1028"/>
      <c r="AS203" s="1028"/>
      <c r="AT203" s="1028"/>
      <c r="AU203" s="1028"/>
      <c r="AV203" s="1028"/>
      <c r="AW203" s="1028"/>
      <c r="AX203" s="1028"/>
      <c r="AY203" s="1028"/>
      <c r="AZ203" s="1049"/>
    </row>
    <row r="204" spans="1:52" ht="15" customHeight="1" x14ac:dyDescent="0.25">
      <c r="A204" s="1015"/>
      <c r="B204" s="1004"/>
      <c r="C204" s="1017"/>
      <c r="D204" s="394" t="s">
        <v>153</v>
      </c>
      <c r="E204" s="386"/>
      <c r="F204" s="404"/>
      <c r="G204" s="405"/>
      <c r="H204" s="405"/>
      <c r="I204" s="405"/>
      <c r="J204" s="405"/>
      <c r="K204" s="405"/>
      <c r="L204" s="405"/>
      <c r="M204" s="413"/>
      <c r="N204" s="405"/>
      <c r="O204" s="405"/>
      <c r="P204" s="405"/>
      <c r="Q204" s="406"/>
      <c r="R204" s="412"/>
      <c r="S204" s="893"/>
      <c r="T204" s="407"/>
      <c r="U204" s="407"/>
      <c r="V204" s="407"/>
      <c r="W204" s="407"/>
      <c r="X204" s="407"/>
      <c r="Y204" s="407"/>
      <c r="Z204" s="413"/>
      <c r="AA204" s="409"/>
      <c r="AB204" s="409"/>
      <c r="AC204" s="409"/>
      <c r="AD204" s="406"/>
      <c r="AE204" s="410"/>
      <c r="AF204" s="893"/>
      <c r="AG204" s="896"/>
      <c r="AH204" s="883"/>
      <c r="AI204" s="1028"/>
      <c r="AJ204" s="1028"/>
      <c r="AK204" s="1029"/>
      <c r="AL204" s="1028"/>
      <c r="AM204" s="1028"/>
      <c r="AN204" s="1029"/>
      <c r="AO204" s="1028"/>
      <c r="AP204" s="1028"/>
      <c r="AQ204" s="1028"/>
      <c r="AR204" s="1028"/>
      <c r="AS204" s="1028"/>
      <c r="AT204" s="1028"/>
      <c r="AU204" s="1028"/>
      <c r="AV204" s="1028"/>
      <c r="AW204" s="1028"/>
      <c r="AX204" s="1028"/>
      <c r="AY204" s="1028"/>
      <c r="AZ204" s="1049"/>
    </row>
    <row r="205" spans="1:52" ht="15" customHeight="1" x14ac:dyDescent="0.25">
      <c r="A205" s="1015"/>
      <c r="B205" s="1004"/>
      <c r="C205" s="1017"/>
      <c r="D205" s="388" t="s">
        <v>154</v>
      </c>
      <c r="E205" s="386"/>
      <c r="F205" s="404"/>
      <c r="G205" s="405"/>
      <c r="H205" s="405"/>
      <c r="I205" s="405"/>
      <c r="J205" s="405"/>
      <c r="K205" s="405"/>
      <c r="L205" s="405"/>
      <c r="M205" s="413"/>
      <c r="N205" s="405"/>
      <c r="O205" s="405"/>
      <c r="P205" s="405"/>
      <c r="Q205" s="406"/>
      <c r="R205" s="412"/>
      <c r="S205" s="893"/>
      <c r="T205" s="407"/>
      <c r="U205" s="407"/>
      <c r="V205" s="407"/>
      <c r="W205" s="407"/>
      <c r="X205" s="407"/>
      <c r="Y205" s="407"/>
      <c r="Z205" s="413"/>
      <c r="AA205" s="409"/>
      <c r="AB205" s="409"/>
      <c r="AC205" s="409"/>
      <c r="AD205" s="406"/>
      <c r="AE205" s="410"/>
      <c r="AF205" s="893"/>
      <c r="AG205" s="896"/>
      <c r="AH205" s="883"/>
      <c r="AI205" s="1028"/>
      <c r="AJ205" s="1028"/>
      <c r="AK205" s="1029"/>
      <c r="AL205" s="1028"/>
      <c r="AM205" s="1028"/>
      <c r="AN205" s="1029"/>
      <c r="AO205" s="1028"/>
      <c r="AP205" s="1028"/>
      <c r="AQ205" s="1028"/>
      <c r="AR205" s="1028"/>
      <c r="AS205" s="1028"/>
      <c r="AT205" s="1028"/>
      <c r="AU205" s="1028"/>
      <c r="AV205" s="1028"/>
      <c r="AW205" s="1028"/>
      <c r="AX205" s="1028"/>
      <c r="AY205" s="1028"/>
      <c r="AZ205" s="1049"/>
    </row>
    <row r="206" spans="1:52" ht="15" customHeight="1" x14ac:dyDescent="0.25">
      <c r="A206" s="1015"/>
      <c r="B206" s="1004"/>
      <c r="C206" s="1017"/>
      <c r="D206" s="394" t="s">
        <v>155</v>
      </c>
      <c r="E206" s="386"/>
      <c r="F206" s="415"/>
      <c r="G206" s="405"/>
      <c r="H206" s="405"/>
      <c r="I206" s="405"/>
      <c r="J206" s="405"/>
      <c r="K206" s="405"/>
      <c r="L206" s="405"/>
      <c r="M206" s="413"/>
      <c r="N206" s="405"/>
      <c r="O206" s="405"/>
      <c r="P206" s="405"/>
      <c r="Q206" s="406"/>
      <c r="R206" s="412"/>
      <c r="S206" s="893"/>
      <c r="T206" s="407"/>
      <c r="U206" s="407"/>
      <c r="V206" s="407"/>
      <c r="W206" s="407"/>
      <c r="X206" s="407"/>
      <c r="Y206" s="407"/>
      <c r="Z206" s="413"/>
      <c r="AA206" s="409"/>
      <c r="AB206" s="409"/>
      <c r="AC206" s="409"/>
      <c r="AD206" s="406"/>
      <c r="AE206" s="410"/>
      <c r="AF206" s="893"/>
      <c r="AG206" s="896"/>
      <c r="AH206" s="883"/>
      <c r="AI206" s="1028"/>
      <c r="AJ206" s="1028"/>
      <c r="AK206" s="1029"/>
      <c r="AL206" s="1028"/>
      <c r="AM206" s="1028"/>
      <c r="AN206" s="1029"/>
      <c r="AO206" s="1028"/>
      <c r="AP206" s="1028"/>
      <c r="AQ206" s="1028"/>
      <c r="AR206" s="1028"/>
      <c r="AS206" s="1028"/>
      <c r="AT206" s="1028"/>
      <c r="AU206" s="1028"/>
      <c r="AV206" s="1028"/>
      <c r="AW206" s="1028"/>
      <c r="AX206" s="1028"/>
      <c r="AY206" s="1028"/>
      <c r="AZ206" s="1049"/>
    </row>
    <row r="207" spans="1:52" ht="15" customHeight="1" thickBot="1" x14ac:dyDescent="0.3">
      <c r="A207" s="1015"/>
      <c r="B207" s="1004"/>
      <c r="C207" s="1018"/>
      <c r="D207" s="403" t="s">
        <v>156</v>
      </c>
      <c r="E207" s="386"/>
      <c r="F207" s="404"/>
      <c r="G207" s="405"/>
      <c r="H207" s="405"/>
      <c r="I207" s="405"/>
      <c r="J207" s="405"/>
      <c r="K207" s="405"/>
      <c r="L207" s="405"/>
      <c r="M207" s="413"/>
      <c r="N207" s="405"/>
      <c r="O207" s="405"/>
      <c r="P207" s="405"/>
      <c r="Q207" s="406"/>
      <c r="R207" s="412"/>
      <c r="S207" s="894"/>
      <c r="T207" s="407"/>
      <c r="U207" s="407"/>
      <c r="V207" s="407"/>
      <c r="W207" s="407"/>
      <c r="X207" s="407"/>
      <c r="Y207" s="407"/>
      <c r="Z207" s="413"/>
      <c r="AA207" s="409"/>
      <c r="AB207" s="409"/>
      <c r="AC207" s="409"/>
      <c r="AD207" s="406"/>
      <c r="AE207" s="410"/>
      <c r="AF207" s="894"/>
      <c r="AG207" s="898"/>
      <c r="AH207" s="884"/>
      <c r="AI207" s="1028"/>
      <c r="AJ207" s="1028"/>
      <c r="AK207" s="1029"/>
      <c r="AL207" s="1028"/>
      <c r="AM207" s="1028"/>
      <c r="AN207" s="1029"/>
      <c r="AO207" s="1028"/>
      <c r="AP207" s="1028"/>
      <c r="AQ207" s="1028"/>
      <c r="AR207" s="1028"/>
      <c r="AS207" s="1028"/>
      <c r="AT207" s="1028"/>
      <c r="AU207" s="1028"/>
      <c r="AV207" s="1028"/>
      <c r="AW207" s="1028"/>
      <c r="AX207" s="1028"/>
      <c r="AY207" s="1028"/>
      <c r="AZ207" s="1049"/>
    </row>
    <row r="208" spans="1:52" ht="15" customHeight="1" x14ac:dyDescent="0.25">
      <c r="A208" s="1015"/>
      <c r="B208" s="1004"/>
      <c r="C208" s="1016" t="s">
        <v>285</v>
      </c>
      <c r="D208" s="379" t="s">
        <v>149</v>
      </c>
      <c r="E208" s="386"/>
      <c r="F208" s="408"/>
      <c r="G208" s="405"/>
      <c r="H208" s="405"/>
      <c r="I208" s="405"/>
      <c r="J208" s="405"/>
      <c r="K208" s="405"/>
      <c r="L208" s="405"/>
      <c r="M208" s="413"/>
      <c r="N208" s="405"/>
      <c r="O208" s="405"/>
      <c r="P208" s="405"/>
      <c r="Q208" s="406"/>
      <c r="R208" s="408">
        <f>0.01305*805</f>
        <v>10.50525</v>
      </c>
      <c r="S208" s="892" t="s">
        <v>609</v>
      </c>
      <c r="T208" s="407"/>
      <c r="U208" s="407"/>
      <c r="V208" s="407">
        <v>53</v>
      </c>
      <c r="W208" s="407">
        <v>138</v>
      </c>
      <c r="X208" s="407">
        <v>239</v>
      </c>
      <c r="Y208" s="407"/>
      <c r="Z208" s="413"/>
      <c r="AA208" s="409"/>
      <c r="AB208" s="409"/>
      <c r="AC208" s="409"/>
      <c r="AD208" s="406"/>
      <c r="AE208" s="410">
        <f>0.013*805</f>
        <v>10.465</v>
      </c>
      <c r="AF208" s="892" t="s">
        <v>623</v>
      </c>
      <c r="AG208" s="895"/>
      <c r="AH208" s="882" t="s">
        <v>285</v>
      </c>
      <c r="AI208" s="1025" t="s">
        <v>704</v>
      </c>
      <c r="AJ208" s="1025" t="s">
        <v>705</v>
      </c>
      <c r="AK208" s="1029"/>
      <c r="AL208" s="1025" t="s">
        <v>706</v>
      </c>
      <c r="AM208" s="1025" t="s">
        <v>707</v>
      </c>
      <c r="AN208" s="1029"/>
      <c r="AO208" s="1025">
        <v>1229902.46920737</v>
      </c>
      <c r="AP208" s="1025">
        <v>579045.68833276897</v>
      </c>
      <c r="AQ208" s="1025">
        <v>650856.78087460296</v>
      </c>
      <c r="AR208" s="1025" t="s">
        <v>269</v>
      </c>
      <c r="AS208" s="1025" t="s">
        <v>269</v>
      </c>
      <c r="AT208" s="1025" t="s">
        <v>269</v>
      </c>
      <c r="AU208" s="1025" t="s">
        <v>269</v>
      </c>
      <c r="AV208" s="1025" t="s">
        <v>269</v>
      </c>
      <c r="AW208" s="1025" t="s">
        <v>269</v>
      </c>
      <c r="AX208" s="1025" t="s">
        <v>269</v>
      </c>
      <c r="AY208" s="1025" t="s">
        <v>269</v>
      </c>
      <c r="AZ208" s="1049"/>
    </row>
    <row r="209" spans="1:52" ht="15" customHeight="1" x14ac:dyDescent="0.25">
      <c r="A209" s="1015"/>
      <c r="B209" s="1004"/>
      <c r="C209" s="1017"/>
      <c r="D209" s="388" t="s">
        <v>151</v>
      </c>
      <c r="E209" s="386"/>
      <c r="F209" s="411"/>
      <c r="G209" s="405"/>
      <c r="H209" s="405"/>
      <c r="I209" s="405"/>
      <c r="J209" s="405"/>
      <c r="K209" s="405"/>
      <c r="L209" s="405"/>
      <c r="M209" s="413"/>
      <c r="N209" s="405"/>
      <c r="O209" s="405"/>
      <c r="P209" s="405"/>
      <c r="Q209" s="406"/>
      <c r="R209" s="411">
        <f>1035240*805</f>
        <v>833368200</v>
      </c>
      <c r="S209" s="893"/>
      <c r="T209" s="407"/>
      <c r="U209" s="407"/>
      <c r="V209" s="407"/>
      <c r="W209" s="407"/>
      <c r="X209" s="407"/>
      <c r="Y209" s="407"/>
      <c r="Z209" s="413"/>
      <c r="AA209" s="409"/>
      <c r="AB209" s="409"/>
      <c r="AC209" s="409"/>
      <c r="AD209" s="406"/>
      <c r="AE209" s="390">
        <f>1005724*805</f>
        <v>809607820</v>
      </c>
      <c r="AF209" s="893"/>
      <c r="AG209" s="896"/>
      <c r="AH209" s="883"/>
      <c r="AI209" s="1028"/>
      <c r="AJ209" s="1028"/>
      <c r="AK209" s="1029"/>
      <c r="AL209" s="1028"/>
      <c r="AM209" s="1028"/>
      <c r="AN209" s="1029"/>
      <c r="AO209" s="1028"/>
      <c r="AP209" s="1028"/>
      <c r="AQ209" s="1028"/>
      <c r="AR209" s="1028"/>
      <c r="AS209" s="1028"/>
      <c r="AT209" s="1028"/>
      <c r="AU209" s="1028"/>
      <c r="AV209" s="1028"/>
      <c r="AW209" s="1028"/>
      <c r="AX209" s="1028"/>
      <c r="AY209" s="1028"/>
      <c r="AZ209" s="1049"/>
    </row>
    <row r="210" spans="1:52" ht="15" customHeight="1" x14ac:dyDescent="0.25">
      <c r="A210" s="1015"/>
      <c r="B210" s="1004"/>
      <c r="C210" s="1017"/>
      <c r="D210" s="394" t="s">
        <v>153</v>
      </c>
      <c r="E210" s="386"/>
      <c r="F210" s="404"/>
      <c r="G210" s="405"/>
      <c r="H210" s="405"/>
      <c r="I210" s="405"/>
      <c r="J210" s="405"/>
      <c r="K210" s="405"/>
      <c r="L210" s="405"/>
      <c r="M210" s="413"/>
      <c r="N210" s="405"/>
      <c r="O210" s="405"/>
      <c r="P210" s="405"/>
      <c r="Q210" s="406"/>
      <c r="R210" s="412"/>
      <c r="S210" s="893"/>
      <c r="T210" s="407"/>
      <c r="U210" s="407"/>
      <c r="V210" s="407"/>
      <c r="W210" s="407"/>
      <c r="X210" s="407"/>
      <c r="Y210" s="407"/>
      <c r="Z210" s="413"/>
      <c r="AA210" s="409"/>
      <c r="AB210" s="409"/>
      <c r="AC210" s="409"/>
      <c r="AD210" s="406"/>
      <c r="AE210" s="410"/>
      <c r="AF210" s="893"/>
      <c r="AG210" s="896"/>
      <c r="AH210" s="883"/>
      <c r="AI210" s="1028"/>
      <c r="AJ210" s="1028"/>
      <c r="AK210" s="1029"/>
      <c r="AL210" s="1028"/>
      <c r="AM210" s="1028"/>
      <c r="AN210" s="1029"/>
      <c r="AO210" s="1028"/>
      <c r="AP210" s="1028"/>
      <c r="AQ210" s="1028"/>
      <c r="AR210" s="1028"/>
      <c r="AS210" s="1028"/>
      <c r="AT210" s="1028"/>
      <c r="AU210" s="1028"/>
      <c r="AV210" s="1028"/>
      <c r="AW210" s="1028"/>
      <c r="AX210" s="1028"/>
      <c r="AY210" s="1028"/>
      <c r="AZ210" s="1049"/>
    </row>
    <row r="211" spans="1:52" ht="15" customHeight="1" x14ac:dyDescent="0.25">
      <c r="A211" s="1015"/>
      <c r="B211" s="1004"/>
      <c r="C211" s="1017"/>
      <c r="D211" s="388" t="s">
        <v>154</v>
      </c>
      <c r="E211" s="386"/>
      <c r="F211" s="404"/>
      <c r="G211" s="405"/>
      <c r="H211" s="405"/>
      <c r="I211" s="405"/>
      <c r="J211" s="405"/>
      <c r="K211" s="405"/>
      <c r="L211" s="405"/>
      <c r="M211" s="413"/>
      <c r="N211" s="405"/>
      <c r="O211" s="405"/>
      <c r="P211" s="405"/>
      <c r="Q211" s="406"/>
      <c r="R211" s="412"/>
      <c r="S211" s="893"/>
      <c r="T211" s="407"/>
      <c r="U211" s="407"/>
      <c r="V211" s="407"/>
      <c r="W211" s="407"/>
      <c r="X211" s="407"/>
      <c r="Y211" s="407"/>
      <c r="Z211" s="413"/>
      <c r="AA211" s="409"/>
      <c r="AB211" s="409"/>
      <c r="AC211" s="409"/>
      <c r="AD211" s="406"/>
      <c r="AE211" s="410"/>
      <c r="AF211" s="893"/>
      <c r="AG211" s="896"/>
      <c r="AH211" s="883"/>
      <c r="AI211" s="1028"/>
      <c r="AJ211" s="1028"/>
      <c r="AK211" s="1029"/>
      <c r="AL211" s="1028"/>
      <c r="AM211" s="1028"/>
      <c r="AN211" s="1029"/>
      <c r="AO211" s="1028"/>
      <c r="AP211" s="1028"/>
      <c r="AQ211" s="1028"/>
      <c r="AR211" s="1028"/>
      <c r="AS211" s="1028"/>
      <c r="AT211" s="1028"/>
      <c r="AU211" s="1028"/>
      <c r="AV211" s="1028"/>
      <c r="AW211" s="1028"/>
      <c r="AX211" s="1028"/>
      <c r="AY211" s="1028"/>
      <c r="AZ211" s="1049"/>
    </row>
    <row r="212" spans="1:52" ht="15" customHeight="1" x14ac:dyDescent="0.25">
      <c r="A212" s="1015"/>
      <c r="B212" s="1004"/>
      <c r="C212" s="1017"/>
      <c r="D212" s="394" t="s">
        <v>155</v>
      </c>
      <c r="E212" s="386"/>
      <c r="F212" s="412"/>
      <c r="G212" s="405"/>
      <c r="H212" s="405"/>
      <c r="I212" s="405"/>
      <c r="J212" s="405"/>
      <c r="K212" s="405"/>
      <c r="L212" s="405"/>
      <c r="M212" s="413"/>
      <c r="N212" s="405"/>
      <c r="O212" s="405"/>
      <c r="P212" s="405"/>
      <c r="Q212" s="406"/>
      <c r="R212" s="412"/>
      <c r="S212" s="893"/>
      <c r="T212" s="407"/>
      <c r="U212" s="407"/>
      <c r="V212" s="407"/>
      <c r="W212" s="407"/>
      <c r="X212" s="407"/>
      <c r="Y212" s="407"/>
      <c r="Z212" s="413"/>
      <c r="AA212" s="409"/>
      <c r="AB212" s="409"/>
      <c r="AC212" s="409"/>
      <c r="AD212" s="406"/>
      <c r="AE212" s="410"/>
      <c r="AF212" s="893"/>
      <c r="AG212" s="896"/>
      <c r="AH212" s="883"/>
      <c r="AI212" s="1028"/>
      <c r="AJ212" s="1028"/>
      <c r="AK212" s="1029"/>
      <c r="AL212" s="1028"/>
      <c r="AM212" s="1028"/>
      <c r="AN212" s="1029"/>
      <c r="AO212" s="1028"/>
      <c r="AP212" s="1028"/>
      <c r="AQ212" s="1028"/>
      <c r="AR212" s="1028"/>
      <c r="AS212" s="1028"/>
      <c r="AT212" s="1028"/>
      <c r="AU212" s="1028"/>
      <c r="AV212" s="1028"/>
      <c r="AW212" s="1028"/>
      <c r="AX212" s="1028"/>
      <c r="AY212" s="1028"/>
      <c r="AZ212" s="1049"/>
    </row>
    <row r="213" spans="1:52" ht="15" customHeight="1" thickBot="1" x14ac:dyDescent="0.3">
      <c r="A213" s="1015"/>
      <c r="B213" s="1004"/>
      <c r="C213" s="1018"/>
      <c r="D213" s="403" t="s">
        <v>156</v>
      </c>
      <c r="E213" s="386"/>
      <c r="F213" s="404"/>
      <c r="G213" s="405"/>
      <c r="H213" s="405"/>
      <c r="I213" s="405"/>
      <c r="J213" s="405"/>
      <c r="K213" s="405"/>
      <c r="L213" s="405"/>
      <c r="M213" s="413"/>
      <c r="N213" s="405"/>
      <c r="O213" s="405"/>
      <c r="P213" s="405"/>
      <c r="Q213" s="406"/>
      <c r="R213" s="412"/>
      <c r="S213" s="894"/>
      <c r="T213" s="407"/>
      <c r="U213" s="407"/>
      <c r="V213" s="407"/>
      <c r="W213" s="407"/>
      <c r="X213" s="407"/>
      <c r="Y213" s="407"/>
      <c r="Z213" s="413"/>
      <c r="AA213" s="409"/>
      <c r="AB213" s="409"/>
      <c r="AC213" s="409"/>
      <c r="AD213" s="406"/>
      <c r="AE213" s="410"/>
      <c r="AF213" s="894"/>
      <c r="AG213" s="898"/>
      <c r="AH213" s="884"/>
      <c r="AI213" s="1028"/>
      <c r="AJ213" s="1028"/>
      <c r="AK213" s="1029"/>
      <c r="AL213" s="1028"/>
      <c r="AM213" s="1028"/>
      <c r="AN213" s="1029"/>
      <c r="AO213" s="1028"/>
      <c r="AP213" s="1028"/>
      <c r="AQ213" s="1028"/>
      <c r="AR213" s="1028"/>
      <c r="AS213" s="1028"/>
      <c r="AT213" s="1028"/>
      <c r="AU213" s="1028"/>
      <c r="AV213" s="1028"/>
      <c r="AW213" s="1028"/>
      <c r="AX213" s="1028"/>
      <c r="AY213" s="1028"/>
      <c r="AZ213" s="1049"/>
    </row>
    <row r="214" spans="1:52" ht="15" customHeight="1" x14ac:dyDescent="0.25">
      <c r="A214" s="1015"/>
      <c r="B214" s="1004"/>
      <c r="C214" s="1016" t="s">
        <v>286</v>
      </c>
      <c r="D214" s="379" t="s">
        <v>149</v>
      </c>
      <c r="E214" s="386"/>
      <c r="F214" s="408"/>
      <c r="G214" s="405"/>
      <c r="H214" s="405"/>
      <c r="I214" s="405"/>
      <c r="J214" s="405"/>
      <c r="K214" s="405"/>
      <c r="L214" s="405"/>
      <c r="M214" s="413"/>
      <c r="N214" s="405"/>
      <c r="O214" s="405"/>
      <c r="P214" s="405"/>
      <c r="Q214" s="406"/>
      <c r="R214" s="408">
        <f>0.01305*28</f>
        <v>0.3654</v>
      </c>
      <c r="S214" s="892" t="s">
        <v>610</v>
      </c>
      <c r="T214" s="407"/>
      <c r="U214" s="407"/>
      <c r="V214" s="407">
        <v>6</v>
      </c>
      <c r="W214" s="407">
        <v>9</v>
      </c>
      <c r="X214" s="407">
        <v>11</v>
      </c>
      <c r="Y214" s="407"/>
      <c r="Z214" s="413"/>
      <c r="AA214" s="409"/>
      <c r="AB214" s="409"/>
      <c r="AC214" s="409"/>
      <c r="AD214" s="406"/>
      <c r="AE214" s="410">
        <f>0.013*28</f>
        <v>0.36399999999999999</v>
      </c>
      <c r="AF214" s="892" t="s">
        <v>624</v>
      </c>
      <c r="AG214" s="895"/>
      <c r="AH214" s="882" t="s">
        <v>286</v>
      </c>
      <c r="AI214" s="1025" t="s">
        <v>525</v>
      </c>
      <c r="AJ214" s="1025" t="s">
        <v>708</v>
      </c>
      <c r="AK214" s="1029"/>
      <c r="AL214" s="1025" t="s">
        <v>709</v>
      </c>
      <c r="AM214" s="1025" t="s">
        <v>90</v>
      </c>
      <c r="AN214" s="1029"/>
      <c r="AO214" s="1025">
        <v>153161.841338011</v>
      </c>
      <c r="AP214" s="1025">
        <v>71660.553014322693</v>
      </c>
      <c r="AQ214" s="1025">
        <v>81501.288323687899</v>
      </c>
      <c r="AR214" s="1025" t="s">
        <v>269</v>
      </c>
      <c r="AS214" s="1025" t="s">
        <v>269</v>
      </c>
      <c r="AT214" s="1025" t="s">
        <v>269</v>
      </c>
      <c r="AU214" s="1025" t="s">
        <v>269</v>
      </c>
      <c r="AV214" s="1025" t="s">
        <v>269</v>
      </c>
      <c r="AW214" s="1025" t="s">
        <v>269</v>
      </c>
      <c r="AX214" s="1025" t="s">
        <v>269</v>
      </c>
      <c r="AY214" s="1025" t="s">
        <v>269</v>
      </c>
      <c r="AZ214" s="1049"/>
    </row>
    <row r="215" spans="1:52" ht="15" customHeight="1" x14ac:dyDescent="0.25">
      <c r="A215" s="1015"/>
      <c r="B215" s="1004"/>
      <c r="C215" s="1017"/>
      <c r="D215" s="388" t="s">
        <v>151</v>
      </c>
      <c r="E215" s="386"/>
      <c r="F215" s="411"/>
      <c r="G215" s="405"/>
      <c r="H215" s="405"/>
      <c r="I215" s="405"/>
      <c r="J215" s="405"/>
      <c r="K215" s="405"/>
      <c r="L215" s="405"/>
      <c r="M215" s="413"/>
      <c r="N215" s="405"/>
      <c r="O215" s="405"/>
      <c r="P215" s="405"/>
      <c r="Q215" s="406"/>
      <c r="R215" s="411">
        <f>1035240*28</f>
        <v>28986720</v>
      </c>
      <c r="S215" s="893"/>
      <c r="T215" s="407"/>
      <c r="U215" s="407"/>
      <c r="V215" s="407"/>
      <c r="W215" s="407"/>
      <c r="X215" s="407"/>
      <c r="Y215" s="407"/>
      <c r="Z215" s="413"/>
      <c r="AA215" s="409"/>
      <c r="AB215" s="409"/>
      <c r="AC215" s="409"/>
      <c r="AD215" s="406"/>
      <c r="AE215" s="390">
        <f>1005724*28</f>
        <v>28160272</v>
      </c>
      <c r="AF215" s="893"/>
      <c r="AG215" s="896"/>
      <c r="AH215" s="883"/>
      <c r="AI215" s="1028"/>
      <c r="AJ215" s="1028"/>
      <c r="AK215" s="1029"/>
      <c r="AL215" s="1028"/>
      <c r="AM215" s="1028"/>
      <c r="AN215" s="1029"/>
      <c r="AO215" s="1028"/>
      <c r="AP215" s="1028"/>
      <c r="AQ215" s="1028"/>
      <c r="AR215" s="1028"/>
      <c r="AS215" s="1028"/>
      <c r="AT215" s="1028"/>
      <c r="AU215" s="1028"/>
      <c r="AV215" s="1028"/>
      <c r="AW215" s="1028"/>
      <c r="AX215" s="1028"/>
      <c r="AY215" s="1028"/>
      <c r="AZ215" s="1049"/>
    </row>
    <row r="216" spans="1:52" ht="15" customHeight="1" x14ac:dyDescent="0.25">
      <c r="A216" s="1015"/>
      <c r="B216" s="1004"/>
      <c r="C216" s="1017"/>
      <c r="D216" s="394" t="s">
        <v>153</v>
      </c>
      <c r="E216" s="386"/>
      <c r="F216" s="404"/>
      <c r="G216" s="405"/>
      <c r="H216" s="405"/>
      <c r="I216" s="405"/>
      <c r="J216" s="405"/>
      <c r="K216" s="405"/>
      <c r="L216" s="405"/>
      <c r="M216" s="413"/>
      <c r="N216" s="405"/>
      <c r="O216" s="405"/>
      <c r="P216" s="405"/>
      <c r="Q216" s="406"/>
      <c r="R216" s="412"/>
      <c r="S216" s="893"/>
      <c r="T216" s="407"/>
      <c r="U216" s="407"/>
      <c r="V216" s="407"/>
      <c r="W216" s="407"/>
      <c r="X216" s="407"/>
      <c r="Y216" s="407"/>
      <c r="Z216" s="413"/>
      <c r="AA216" s="409"/>
      <c r="AB216" s="409"/>
      <c r="AC216" s="409"/>
      <c r="AD216" s="406"/>
      <c r="AE216" s="410"/>
      <c r="AF216" s="893"/>
      <c r="AG216" s="896"/>
      <c r="AH216" s="883"/>
      <c r="AI216" s="1028"/>
      <c r="AJ216" s="1028"/>
      <c r="AK216" s="1029"/>
      <c r="AL216" s="1028"/>
      <c r="AM216" s="1028"/>
      <c r="AN216" s="1029"/>
      <c r="AO216" s="1028"/>
      <c r="AP216" s="1028"/>
      <c r="AQ216" s="1028"/>
      <c r="AR216" s="1028"/>
      <c r="AS216" s="1028"/>
      <c r="AT216" s="1028"/>
      <c r="AU216" s="1028"/>
      <c r="AV216" s="1028"/>
      <c r="AW216" s="1028"/>
      <c r="AX216" s="1028"/>
      <c r="AY216" s="1028"/>
      <c r="AZ216" s="1049"/>
    </row>
    <row r="217" spans="1:52" ht="15" customHeight="1" x14ac:dyDescent="0.25">
      <c r="A217" s="1015"/>
      <c r="B217" s="1004"/>
      <c r="C217" s="1017"/>
      <c r="D217" s="388" t="s">
        <v>154</v>
      </c>
      <c r="E217" s="386"/>
      <c r="F217" s="404"/>
      <c r="G217" s="405"/>
      <c r="H217" s="405"/>
      <c r="I217" s="405"/>
      <c r="J217" s="405"/>
      <c r="K217" s="405"/>
      <c r="L217" s="405"/>
      <c r="M217" s="413"/>
      <c r="N217" s="405"/>
      <c r="O217" s="405"/>
      <c r="P217" s="405"/>
      <c r="Q217" s="406"/>
      <c r="R217" s="412"/>
      <c r="S217" s="893"/>
      <c r="T217" s="407"/>
      <c r="U217" s="407"/>
      <c r="V217" s="407"/>
      <c r="W217" s="407"/>
      <c r="X217" s="407"/>
      <c r="Y217" s="407"/>
      <c r="Z217" s="413"/>
      <c r="AA217" s="409"/>
      <c r="AB217" s="409"/>
      <c r="AC217" s="409"/>
      <c r="AD217" s="406"/>
      <c r="AE217" s="410"/>
      <c r="AF217" s="893"/>
      <c r="AG217" s="896"/>
      <c r="AH217" s="883"/>
      <c r="AI217" s="1028"/>
      <c r="AJ217" s="1028"/>
      <c r="AK217" s="1029"/>
      <c r="AL217" s="1028"/>
      <c r="AM217" s="1028"/>
      <c r="AN217" s="1029"/>
      <c r="AO217" s="1028"/>
      <c r="AP217" s="1028"/>
      <c r="AQ217" s="1028"/>
      <c r="AR217" s="1028"/>
      <c r="AS217" s="1028"/>
      <c r="AT217" s="1028"/>
      <c r="AU217" s="1028"/>
      <c r="AV217" s="1028"/>
      <c r="AW217" s="1028"/>
      <c r="AX217" s="1028"/>
      <c r="AY217" s="1028"/>
      <c r="AZ217" s="1049"/>
    </row>
    <row r="218" spans="1:52" ht="15" customHeight="1" x14ac:dyDescent="0.25">
      <c r="A218" s="1015"/>
      <c r="B218" s="1004"/>
      <c r="C218" s="1017"/>
      <c r="D218" s="394" t="s">
        <v>155</v>
      </c>
      <c r="E218" s="386"/>
      <c r="F218" s="412"/>
      <c r="G218" s="405"/>
      <c r="H218" s="405"/>
      <c r="I218" s="405"/>
      <c r="J218" s="405"/>
      <c r="K218" s="405"/>
      <c r="L218" s="405"/>
      <c r="M218" s="413"/>
      <c r="N218" s="405"/>
      <c r="O218" s="405"/>
      <c r="P218" s="405"/>
      <c r="Q218" s="406"/>
      <c r="R218" s="412"/>
      <c r="S218" s="893"/>
      <c r="T218" s="407"/>
      <c r="U218" s="407"/>
      <c r="V218" s="407"/>
      <c r="W218" s="407"/>
      <c r="X218" s="407"/>
      <c r="Y218" s="407"/>
      <c r="Z218" s="413"/>
      <c r="AA218" s="409"/>
      <c r="AB218" s="409"/>
      <c r="AC218" s="409"/>
      <c r="AD218" s="406"/>
      <c r="AE218" s="410"/>
      <c r="AF218" s="893"/>
      <c r="AG218" s="896"/>
      <c r="AH218" s="883"/>
      <c r="AI218" s="1028"/>
      <c r="AJ218" s="1028"/>
      <c r="AK218" s="1029"/>
      <c r="AL218" s="1028"/>
      <c r="AM218" s="1028"/>
      <c r="AN218" s="1029"/>
      <c r="AO218" s="1028"/>
      <c r="AP218" s="1028"/>
      <c r="AQ218" s="1028"/>
      <c r="AR218" s="1028"/>
      <c r="AS218" s="1028"/>
      <c r="AT218" s="1028"/>
      <c r="AU218" s="1028"/>
      <c r="AV218" s="1028"/>
      <c r="AW218" s="1028"/>
      <c r="AX218" s="1028"/>
      <c r="AY218" s="1028"/>
      <c r="AZ218" s="1049"/>
    </row>
    <row r="219" spans="1:52" ht="15" customHeight="1" thickBot="1" x14ac:dyDescent="0.3">
      <c r="A219" s="1015"/>
      <c r="B219" s="1004"/>
      <c r="C219" s="1018"/>
      <c r="D219" s="403" t="s">
        <v>156</v>
      </c>
      <c r="E219" s="386"/>
      <c r="F219" s="404"/>
      <c r="G219" s="405"/>
      <c r="H219" s="405"/>
      <c r="I219" s="405"/>
      <c r="J219" s="405"/>
      <c r="K219" s="405"/>
      <c r="L219" s="405"/>
      <c r="M219" s="413"/>
      <c r="N219" s="405"/>
      <c r="O219" s="405"/>
      <c r="P219" s="405"/>
      <c r="Q219" s="406"/>
      <c r="R219" s="412"/>
      <c r="S219" s="894"/>
      <c r="T219" s="407"/>
      <c r="U219" s="407"/>
      <c r="V219" s="407"/>
      <c r="W219" s="407"/>
      <c r="X219" s="407"/>
      <c r="Y219" s="407"/>
      <c r="Z219" s="413"/>
      <c r="AA219" s="409"/>
      <c r="AB219" s="409"/>
      <c r="AC219" s="409"/>
      <c r="AD219" s="406"/>
      <c r="AE219" s="410"/>
      <c r="AF219" s="894"/>
      <c r="AG219" s="898"/>
      <c r="AH219" s="884"/>
      <c r="AI219" s="1028"/>
      <c r="AJ219" s="1028"/>
      <c r="AK219" s="1029"/>
      <c r="AL219" s="1028"/>
      <c r="AM219" s="1028"/>
      <c r="AN219" s="1029"/>
      <c r="AO219" s="1028"/>
      <c r="AP219" s="1028"/>
      <c r="AQ219" s="1028"/>
      <c r="AR219" s="1028"/>
      <c r="AS219" s="1028"/>
      <c r="AT219" s="1028"/>
      <c r="AU219" s="1028"/>
      <c r="AV219" s="1028"/>
      <c r="AW219" s="1028"/>
      <c r="AX219" s="1028"/>
      <c r="AY219" s="1028"/>
      <c r="AZ219" s="1049"/>
    </row>
    <row r="220" spans="1:52" ht="15" customHeight="1" x14ac:dyDescent="0.25">
      <c r="A220" s="1015"/>
      <c r="B220" s="1004"/>
      <c r="C220" s="1016" t="s">
        <v>287</v>
      </c>
      <c r="D220" s="379" t="s">
        <v>149</v>
      </c>
      <c r="E220" s="386"/>
      <c r="F220" s="408"/>
      <c r="G220" s="405"/>
      <c r="H220" s="405"/>
      <c r="I220" s="405"/>
      <c r="J220" s="405"/>
      <c r="K220" s="405"/>
      <c r="L220" s="405"/>
      <c r="M220" s="413"/>
      <c r="N220" s="405"/>
      <c r="O220" s="405"/>
      <c r="P220" s="405"/>
      <c r="Q220" s="406"/>
      <c r="R220" s="408">
        <f>0.01305*30</f>
        <v>0.39150000000000001</v>
      </c>
      <c r="S220" s="892" t="s">
        <v>611</v>
      </c>
      <c r="T220" s="407"/>
      <c r="U220" s="407"/>
      <c r="V220" s="407">
        <v>5</v>
      </c>
      <c r="W220" s="407">
        <v>7</v>
      </c>
      <c r="X220" s="407">
        <v>13</v>
      </c>
      <c r="Y220" s="407"/>
      <c r="Z220" s="413"/>
      <c r="AA220" s="409"/>
      <c r="AB220" s="409"/>
      <c r="AC220" s="409"/>
      <c r="AD220" s="406"/>
      <c r="AE220" s="410">
        <f>0.013*30</f>
        <v>0.38999999999999996</v>
      </c>
      <c r="AF220" s="892" t="s">
        <v>625</v>
      </c>
      <c r="AG220" s="895"/>
      <c r="AH220" s="882" t="s">
        <v>287</v>
      </c>
      <c r="AI220" s="1025" t="s">
        <v>511</v>
      </c>
      <c r="AJ220" s="1025" t="s">
        <v>710</v>
      </c>
      <c r="AK220" s="1029"/>
      <c r="AL220" s="1025" t="s">
        <v>711</v>
      </c>
      <c r="AM220" s="1025" t="s">
        <v>287</v>
      </c>
      <c r="AN220" s="1029"/>
      <c r="AO220" s="1025">
        <v>181169.79249708299</v>
      </c>
      <c r="AP220" s="1025">
        <v>87610.385289610305</v>
      </c>
      <c r="AQ220" s="1025">
        <v>93559.407207472599</v>
      </c>
      <c r="AR220" s="1025" t="s">
        <v>269</v>
      </c>
      <c r="AS220" s="1025" t="s">
        <v>269</v>
      </c>
      <c r="AT220" s="1025" t="s">
        <v>269</v>
      </c>
      <c r="AU220" s="1025" t="s">
        <v>269</v>
      </c>
      <c r="AV220" s="1025" t="s">
        <v>269</v>
      </c>
      <c r="AW220" s="1025" t="s">
        <v>269</v>
      </c>
      <c r="AX220" s="1025" t="s">
        <v>269</v>
      </c>
      <c r="AY220" s="1025" t="s">
        <v>269</v>
      </c>
      <c r="AZ220" s="1049"/>
    </row>
    <row r="221" spans="1:52" ht="15" customHeight="1" x14ac:dyDescent="0.25">
      <c r="A221" s="1015"/>
      <c r="B221" s="1004"/>
      <c r="C221" s="1017"/>
      <c r="D221" s="388" t="s">
        <v>151</v>
      </c>
      <c r="E221" s="386"/>
      <c r="F221" s="411"/>
      <c r="G221" s="405"/>
      <c r="H221" s="405"/>
      <c r="I221" s="405"/>
      <c r="J221" s="405"/>
      <c r="K221" s="405"/>
      <c r="L221" s="405"/>
      <c r="M221" s="413"/>
      <c r="N221" s="405"/>
      <c r="O221" s="405"/>
      <c r="P221" s="405"/>
      <c r="Q221" s="406"/>
      <c r="R221" s="411">
        <f>1035240*30</f>
        <v>31057200</v>
      </c>
      <c r="S221" s="893"/>
      <c r="T221" s="407"/>
      <c r="U221" s="407"/>
      <c r="V221" s="407"/>
      <c r="W221" s="407"/>
      <c r="X221" s="407"/>
      <c r="Y221" s="407"/>
      <c r="Z221" s="413"/>
      <c r="AA221" s="409"/>
      <c r="AB221" s="409"/>
      <c r="AC221" s="409"/>
      <c r="AD221" s="406"/>
      <c r="AE221" s="390">
        <f>1005724*30</f>
        <v>30171720</v>
      </c>
      <c r="AF221" s="893"/>
      <c r="AG221" s="896"/>
      <c r="AH221" s="883"/>
      <c r="AI221" s="1028"/>
      <c r="AJ221" s="1028"/>
      <c r="AK221" s="1029"/>
      <c r="AL221" s="1028"/>
      <c r="AM221" s="1028"/>
      <c r="AN221" s="1029"/>
      <c r="AO221" s="1028"/>
      <c r="AP221" s="1028"/>
      <c r="AQ221" s="1028"/>
      <c r="AR221" s="1028"/>
      <c r="AS221" s="1028"/>
      <c r="AT221" s="1028"/>
      <c r="AU221" s="1028"/>
      <c r="AV221" s="1028"/>
      <c r="AW221" s="1028"/>
      <c r="AX221" s="1028"/>
      <c r="AY221" s="1028"/>
      <c r="AZ221" s="1049"/>
    </row>
    <row r="222" spans="1:52" ht="15" customHeight="1" x14ac:dyDescent="0.25">
      <c r="A222" s="1015"/>
      <c r="B222" s="1004"/>
      <c r="C222" s="1017"/>
      <c r="D222" s="394" t="s">
        <v>153</v>
      </c>
      <c r="E222" s="386"/>
      <c r="F222" s="404"/>
      <c r="G222" s="405"/>
      <c r="H222" s="405"/>
      <c r="I222" s="405"/>
      <c r="J222" s="405"/>
      <c r="K222" s="405"/>
      <c r="L222" s="405"/>
      <c r="M222" s="413"/>
      <c r="N222" s="405"/>
      <c r="O222" s="405"/>
      <c r="P222" s="405"/>
      <c r="Q222" s="406"/>
      <c r="R222" s="412"/>
      <c r="S222" s="893"/>
      <c r="T222" s="407"/>
      <c r="U222" s="407"/>
      <c r="V222" s="407"/>
      <c r="W222" s="407"/>
      <c r="X222" s="407"/>
      <c r="Y222" s="407"/>
      <c r="Z222" s="413"/>
      <c r="AA222" s="409"/>
      <c r="AB222" s="409"/>
      <c r="AC222" s="409"/>
      <c r="AD222" s="406"/>
      <c r="AE222" s="410"/>
      <c r="AF222" s="893"/>
      <c r="AG222" s="896"/>
      <c r="AH222" s="883"/>
      <c r="AI222" s="1028"/>
      <c r="AJ222" s="1028"/>
      <c r="AK222" s="1029"/>
      <c r="AL222" s="1028"/>
      <c r="AM222" s="1028"/>
      <c r="AN222" s="1029"/>
      <c r="AO222" s="1028"/>
      <c r="AP222" s="1028"/>
      <c r="AQ222" s="1028"/>
      <c r="AR222" s="1028"/>
      <c r="AS222" s="1028"/>
      <c r="AT222" s="1028"/>
      <c r="AU222" s="1028"/>
      <c r="AV222" s="1028"/>
      <c r="AW222" s="1028"/>
      <c r="AX222" s="1028"/>
      <c r="AY222" s="1028"/>
      <c r="AZ222" s="1049"/>
    </row>
    <row r="223" spans="1:52" ht="15" customHeight="1" x14ac:dyDescent="0.25">
      <c r="A223" s="1015"/>
      <c r="B223" s="1004"/>
      <c r="C223" s="1017"/>
      <c r="D223" s="388" t="s">
        <v>154</v>
      </c>
      <c r="E223" s="386"/>
      <c r="F223" s="404"/>
      <c r="G223" s="405"/>
      <c r="H223" s="405"/>
      <c r="I223" s="405"/>
      <c r="J223" s="405"/>
      <c r="K223" s="405"/>
      <c r="L223" s="405"/>
      <c r="M223" s="413"/>
      <c r="N223" s="405"/>
      <c r="O223" s="405"/>
      <c r="P223" s="405"/>
      <c r="Q223" s="406"/>
      <c r="R223" s="412"/>
      <c r="S223" s="893"/>
      <c r="T223" s="407"/>
      <c r="U223" s="407"/>
      <c r="V223" s="407"/>
      <c r="W223" s="407"/>
      <c r="X223" s="407"/>
      <c r="Y223" s="407"/>
      <c r="Z223" s="413"/>
      <c r="AA223" s="409"/>
      <c r="AB223" s="409"/>
      <c r="AC223" s="409"/>
      <c r="AD223" s="406"/>
      <c r="AE223" s="410"/>
      <c r="AF223" s="893"/>
      <c r="AG223" s="896"/>
      <c r="AH223" s="883"/>
      <c r="AI223" s="1028"/>
      <c r="AJ223" s="1028"/>
      <c r="AK223" s="1029"/>
      <c r="AL223" s="1028"/>
      <c r="AM223" s="1028"/>
      <c r="AN223" s="1029"/>
      <c r="AO223" s="1028"/>
      <c r="AP223" s="1028"/>
      <c r="AQ223" s="1028"/>
      <c r="AR223" s="1028"/>
      <c r="AS223" s="1028"/>
      <c r="AT223" s="1028"/>
      <c r="AU223" s="1028"/>
      <c r="AV223" s="1028"/>
      <c r="AW223" s="1028"/>
      <c r="AX223" s="1028"/>
      <c r="AY223" s="1028"/>
      <c r="AZ223" s="1049"/>
    </row>
    <row r="224" spans="1:52" ht="15" customHeight="1" x14ac:dyDescent="0.25">
      <c r="A224" s="1015"/>
      <c r="B224" s="1004"/>
      <c r="C224" s="1017"/>
      <c r="D224" s="394" t="s">
        <v>155</v>
      </c>
      <c r="E224" s="386"/>
      <c r="F224" s="412"/>
      <c r="G224" s="405"/>
      <c r="H224" s="405"/>
      <c r="I224" s="405"/>
      <c r="J224" s="405"/>
      <c r="K224" s="405"/>
      <c r="L224" s="405"/>
      <c r="M224" s="413"/>
      <c r="N224" s="405"/>
      <c r="O224" s="405"/>
      <c r="P224" s="405"/>
      <c r="Q224" s="406"/>
      <c r="R224" s="412"/>
      <c r="S224" s="893"/>
      <c r="T224" s="407"/>
      <c r="U224" s="407"/>
      <c r="V224" s="407"/>
      <c r="W224" s="407"/>
      <c r="X224" s="407"/>
      <c r="Y224" s="407"/>
      <c r="Z224" s="413"/>
      <c r="AA224" s="409"/>
      <c r="AB224" s="409"/>
      <c r="AC224" s="409"/>
      <c r="AD224" s="406"/>
      <c r="AE224" s="410"/>
      <c r="AF224" s="893"/>
      <c r="AG224" s="896"/>
      <c r="AH224" s="883"/>
      <c r="AI224" s="1028"/>
      <c r="AJ224" s="1028"/>
      <c r="AK224" s="1029"/>
      <c r="AL224" s="1028"/>
      <c r="AM224" s="1028"/>
      <c r="AN224" s="1029"/>
      <c r="AO224" s="1028"/>
      <c r="AP224" s="1028"/>
      <c r="AQ224" s="1028"/>
      <c r="AR224" s="1028"/>
      <c r="AS224" s="1028"/>
      <c r="AT224" s="1028"/>
      <c r="AU224" s="1028"/>
      <c r="AV224" s="1028"/>
      <c r="AW224" s="1028"/>
      <c r="AX224" s="1028"/>
      <c r="AY224" s="1028"/>
      <c r="AZ224" s="1049"/>
    </row>
    <row r="225" spans="1:52" ht="15" customHeight="1" thickBot="1" x14ac:dyDescent="0.3">
      <c r="A225" s="1015"/>
      <c r="B225" s="1004"/>
      <c r="C225" s="1018"/>
      <c r="D225" s="403" t="s">
        <v>156</v>
      </c>
      <c r="E225" s="386"/>
      <c r="F225" s="404"/>
      <c r="G225" s="405"/>
      <c r="H225" s="405"/>
      <c r="I225" s="405"/>
      <c r="J225" s="405"/>
      <c r="K225" s="405"/>
      <c r="L225" s="405"/>
      <c r="M225" s="413"/>
      <c r="N225" s="405"/>
      <c r="O225" s="405"/>
      <c r="P225" s="405"/>
      <c r="Q225" s="406"/>
      <c r="R225" s="412"/>
      <c r="S225" s="894"/>
      <c r="T225" s="407"/>
      <c r="U225" s="407"/>
      <c r="V225" s="407"/>
      <c r="W225" s="407"/>
      <c r="X225" s="407"/>
      <c r="Y225" s="407"/>
      <c r="Z225" s="413"/>
      <c r="AA225" s="409"/>
      <c r="AB225" s="409"/>
      <c r="AC225" s="409"/>
      <c r="AD225" s="406"/>
      <c r="AE225" s="410"/>
      <c r="AF225" s="894"/>
      <c r="AG225" s="898"/>
      <c r="AH225" s="884"/>
      <c r="AI225" s="1028"/>
      <c r="AJ225" s="1028"/>
      <c r="AK225" s="1029"/>
      <c r="AL225" s="1028"/>
      <c r="AM225" s="1028"/>
      <c r="AN225" s="1029"/>
      <c r="AO225" s="1028"/>
      <c r="AP225" s="1028"/>
      <c r="AQ225" s="1028"/>
      <c r="AR225" s="1028"/>
      <c r="AS225" s="1028"/>
      <c r="AT225" s="1028"/>
      <c r="AU225" s="1028"/>
      <c r="AV225" s="1028"/>
      <c r="AW225" s="1028"/>
      <c r="AX225" s="1028"/>
      <c r="AY225" s="1028"/>
      <c r="AZ225" s="1049"/>
    </row>
    <row r="226" spans="1:52" ht="15" customHeight="1" x14ac:dyDescent="0.25">
      <c r="A226" s="1015"/>
      <c r="B226" s="1004"/>
      <c r="C226" s="1016" t="s">
        <v>288</v>
      </c>
      <c r="D226" s="379" t="s">
        <v>149</v>
      </c>
      <c r="E226" s="386"/>
      <c r="F226" s="408"/>
      <c r="G226" s="405"/>
      <c r="H226" s="405"/>
      <c r="I226" s="405"/>
      <c r="J226" s="405"/>
      <c r="K226" s="405"/>
      <c r="L226" s="405"/>
      <c r="M226" s="413"/>
      <c r="N226" s="405"/>
      <c r="O226" s="405"/>
      <c r="P226" s="405"/>
      <c r="Q226" s="406"/>
      <c r="R226" s="408">
        <f>0.01305*124</f>
        <v>1.6182000000000001</v>
      </c>
      <c r="S226" s="892" t="s">
        <v>612</v>
      </c>
      <c r="T226" s="407"/>
      <c r="U226" s="407"/>
      <c r="V226" s="407">
        <v>10</v>
      </c>
      <c r="W226" s="407">
        <v>15</v>
      </c>
      <c r="X226" s="407">
        <v>26</v>
      </c>
      <c r="Y226" s="407"/>
      <c r="Z226" s="413"/>
      <c r="AA226" s="409"/>
      <c r="AB226" s="409"/>
      <c r="AC226" s="409"/>
      <c r="AD226" s="406"/>
      <c r="AE226" s="410">
        <f>0.013*124</f>
        <v>1.6119999999999999</v>
      </c>
      <c r="AF226" s="892" t="s">
        <v>626</v>
      </c>
      <c r="AG226" s="895"/>
      <c r="AH226" s="882" t="s">
        <v>288</v>
      </c>
      <c r="AI226" s="1052" t="s">
        <v>533</v>
      </c>
      <c r="AJ226" s="1052" t="s">
        <v>712</v>
      </c>
      <c r="AK226" s="1029"/>
      <c r="AL226" s="1025" t="s">
        <v>713</v>
      </c>
      <c r="AM226" s="1025" t="s">
        <v>526</v>
      </c>
      <c r="AN226" s="1029"/>
      <c r="AO226" s="1025">
        <v>563172.78652489395</v>
      </c>
      <c r="AP226" s="1025">
        <v>258860.18234553499</v>
      </c>
      <c r="AQ226" s="1025">
        <v>304312.60417935997</v>
      </c>
      <c r="AR226" s="1025" t="s">
        <v>269</v>
      </c>
      <c r="AS226" s="1025" t="s">
        <v>269</v>
      </c>
      <c r="AT226" s="1025" t="s">
        <v>269</v>
      </c>
      <c r="AU226" s="1025" t="s">
        <v>269</v>
      </c>
      <c r="AV226" s="1025" t="s">
        <v>269</v>
      </c>
      <c r="AW226" s="1025" t="s">
        <v>269</v>
      </c>
      <c r="AX226" s="1025" t="s">
        <v>269</v>
      </c>
      <c r="AY226" s="1025" t="s">
        <v>269</v>
      </c>
      <c r="AZ226" s="1049"/>
    </row>
    <row r="227" spans="1:52" ht="15" customHeight="1" x14ac:dyDescent="0.25">
      <c r="A227" s="1015"/>
      <c r="B227" s="1004"/>
      <c r="C227" s="1017"/>
      <c r="D227" s="388" t="s">
        <v>151</v>
      </c>
      <c r="E227" s="386"/>
      <c r="F227" s="411"/>
      <c r="G227" s="405"/>
      <c r="H227" s="405"/>
      <c r="I227" s="405"/>
      <c r="J227" s="405"/>
      <c r="K227" s="405"/>
      <c r="L227" s="405"/>
      <c r="M227" s="413"/>
      <c r="N227" s="405"/>
      <c r="O227" s="405"/>
      <c r="P227" s="405"/>
      <c r="Q227" s="406"/>
      <c r="R227" s="411">
        <f>1035240*124</f>
        <v>128369760</v>
      </c>
      <c r="S227" s="893"/>
      <c r="T227" s="407"/>
      <c r="U227" s="407"/>
      <c r="V227" s="407"/>
      <c r="W227" s="407"/>
      <c r="X227" s="407"/>
      <c r="Y227" s="407"/>
      <c r="Z227" s="413"/>
      <c r="AA227" s="409"/>
      <c r="AB227" s="409"/>
      <c r="AC227" s="409"/>
      <c r="AD227" s="406"/>
      <c r="AE227" s="390">
        <f>1005724*124</f>
        <v>124709776</v>
      </c>
      <c r="AF227" s="893"/>
      <c r="AG227" s="896"/>
      <c r="AH227" s="883"/>
      <c r="AI227" s="1053"/>
      <c r="AJ227" s="1053"/>
      <c r="AK227" s="1029"/>
      <c r="AL227" s="1028"/>
      <c r="AM227" s="1028"/>
      <c r="AN227" s="1029"/>
      <c r="AO227" s="1028"/>
      <c r="AP227" s="1028"/>
      <c r="AQ227" s="1028"/>
      <c r="AR227" s="1028"/>
      <c r="AS227" s="1028"/>
      <c r="AT227" s="1028"/>
      <c r="AU227" s="1028"/>
      <c r="AV227" s="1028"/>
      <c r="AW227" s="1028"/>
      <c r="AX227" s="1028"/>
      <c r="AY227" s="1028"/>
      <c r="AZ227" s="1049"/>
    </row>
    <row r="228" spans="1:52" ht="15" customHeight="1" x14ac:dyDescent="0.25">
      <c r="A228" s="1015"/>
      <c r="B228" s="1004"/>
      <c r="C228" s="1017"/>
      <c r="D228" s="394" t="s">
        <v>153</v>
      </c>
      <c r="E228" s="386"/>
      <c r="F228" s="404"/>
      <c r="G228" s="405"/>
      <c r="H228" s="405"/>
      <c r="I228" s="405"/>
      <c r="J228" s="405"/>
      <c r="K228" s="405"/>
      <c r="L228" s="405"/>
      <c r="M228" s="413"/>
      <c r="N228" s="405"/>
      <c r="O228" s="405"/>
      <c r="P228" s="405"/>
      <c r="Q228" s="406"/>
      <c r="R228" s="412"/>
      <c r="S228" s="893"/>
      <c r="T228" s="407"/>
      <c r="U228" s="407"/>
      <c r="V228" s="407"/>
      <c r="W228" s="407"/>
      <c r="X228" s="407"/>
      <c r="Y228" s="407"/>
      <c r="Z228" s="413"/>
      <c r="AA228" s="409"/>
      <c r="AB228" s="409"/>
      <c r="AC228" s="409"/>
      <c r="AD228" s="406"/>
      <c r="AE228" s="410"/>
      <c r="AF228" s="893"/>
      <c r="AG228" s="896"/>
      <c r="AH228" s="883"/>
      <c r="AI228" s="1053"/>
      <c r="AJ228" s="1053"/>
      <c r="AK228" s="1029"/>
      <c r="AL228" s="1028"/>
      <c r="AM228" s="1028"/>
      <c r="AN228" s="1029"/>
      <c r="AO228" s="1028"/>
      <c r="AP228" s="1028"/>
      <c r="AQ228" s="1028"/>
      <c r="AR228" s="1028"/>
      <c r="AS228" s="1028"/>
      <c r="AT228" s="1028"/>
      <c r="AU228" s="1028"/>
      <c r="AV228" s="1028"/>
      <c r="AW228" s="1028"/>
      <c r="AX228" s="1028"/>
      <c r="AY228" s="1028"/>
      <c r="AZ228" s="1049"/>
    </row>
    <row r="229" spans="1:52" ht="15" customHeight="1" x14ac:dyDescent="0.25">
      <c r="A229" s="1015"/>
      <c r="B229" s="1004"/>
      <c r="C229" s="1017"/>
      <c r="D229" s="388" t="s">
        <v>154</v>
      </c>
      <c r="E229" s="386"/>
      <c r="F229" s="404"/>
      <c r="G229" s="405"/>
      <c r="H229" s="405"/>
      <c r="I229" s="405"/>
      <c r="J229" s="405"/>
      <c r="K229" s="405"/>
      <c r="L229" s="405"/>
      <c r="M229" s="413"/>
      <c r="N229" s="405"/>
      <c r="O229" s="405"/>
      <c r="P229" s="405"/>
      <c r="Q229" s="406"/>
      <c r="R229" s="412"/>
      <c r="S229" s="893"/>
      <c r="T229" s="407"/>
      <c r="U229" s="407"/>
      <c r="V229" s="407"/>
      <c r="W229" s="407"/>
      <c r="X229" s="407"/>
      <c r="Y229" s="407"/>
      <c r="Z229" s="413"/>
      <c r="AA229" s="409"/>
      <c r="AB229" s="409"/>
      <c r="AC229" s="409"/>
      <c r="AD229" s="406"/>
      <c r="AE229" s="410"/>
      <c r="AF229" s="893"/>
      <c r="AG229" s="896"/>
      <c r="AH229" s="883"/>
      <c r="AI229" s="1053"/>
      <c r="AJ229" s="1053"/>
      <c r="AK229" s="1029"/>
      <c r="AL229" s="1028"/>
      <c r="AM229" s="1028"/>
      <c r="AN229" s="1029"/>
      <c r="AO229" s="1028"/>
      <c r="AP229" s="1028"/>
      <c r="AQ229" s="1028"/>
      <c r="AR229" s="1028"/>
      <c r="AS229" s="1028"/>
      <c r="AT229" s="1028"/>
      <c r="AU229" s="1028"/>
      <c r="AV229" s="1028"/>
      <c r="AW229" s="1028"/>
      <c r="AX229" s="1028"/>
      <c r="AY229" s="1028"/>
      <c r="AZ229" s="1049"/>
    </row>
    <row r="230" spans="1:52" ht="15" customHeight="1" x14ac:dyDescent="0.25">
      <c r="A230" s="1015"/>
      <c r="B230" s="1004"/>
      <c r="C230" s="1017"/>
      <c r="D230" s="394" t="s">
        <v>155</v>
      </c>
      <c r="E230" s="386"/>
      <c r="F230" s="412"/>
      <c r="G230" s="405"/>
      <c r="H230" s="405"/>
      <c r="I230" s="405"/>
      <c r="J230" s="405"/>
      <c r="K230" s="405"/>
      <c r="L230" s="405"/>
      <c r="M230" s="413"/>
      <c r="N230" s="405"/>
      <c r="O230" s="405"/>
      <c r="P230" s="405"/>
      <c r="Q230" s="406"/>
      <c r="R230" s="412"/>
      <c r="S230" s="893"/>
      <c r="T230" s="407"/>
      <c r="U230" s="407"/>
      <c r="V230" s="407"/>
      <c r="W230" s="407"/>
      <c r="X230" s="407"/>
      <c r="Y230" s="407"/>
      <c r="Z230" s="413"/>
      <c r="AA230" s="409"/>
      <c r="AB230" s="409"/>
      <c r="AC230" s="409"/>
      <c r="AD230" s="406"/>
      <c r="AE230" s="410"/>
      <c r="AF230" s="893"/>
      <c r="AG230" s="896"/>
      <c r="AH230" s="883"/>
      <c r="AI230" s="1053"/>
      <c r="AJ230" s="1053"/>
      <c r="AK230" s="1029"/>
      <c r="AL230" s="1028"/>
      <c r="AM230" s="1028"/>
      <c r="AN230" s="1029"/>
      <c r="AO230" s="1028"/>
      <c r="AP230" s="1028"/>
      <c r="AQ230" s="1028"/>
      <c r="AR230" s="1028"/>
      <c r="AS230" s="1028"/>
      <c r="AT230" s="1028"/>
      <c r="AU230" s="1028"/>
      <c r="AV230" s="1028"/>
      <c r="AW230" s="1028"/>
      <c r="AX230" s="1028"/>
      <c r="AY230" s="1028"/>
      <c r="AZ230" s="1049"/>
    </row>
    <row r="231" spans="1:52" ht="15" customHeight="1" thickBot="1" x14ac:dyDescent="0.3">
      <c r="A231" s="1015"/>
      <c r="B231" s="1004"/>
      <c r="C231" s="1018"/>
      <c r="D231" s="403" t="s">
        <v>156</v>
      </c>
      <c r="E231" s="386"/>
      <c r="F231" s="404"/>
      <c r="G231" s="405"/>
      <c r="H231" s="405"/>
      <c r="I231" s="405"/>
      <c r="J231" s="405"/>
      <c r="K231" s="405"/>
      <c r="L231" s="405"/>
      <c r="M231" s="413"/>
      <c r="N231" s="405"/>
      <c r="O231" s="405"/>
      <c r="P231" s="405"/>
      <c r="Q231" s="406"/>
      <c r="R231" s="412"/>
      <c r="S231" s="894"/>
      <c r="T231" s="407"/>
      <c r="U231" s="407"/>
      <c r="V231" s="407"/>
      <c r="W231" s="407"/>
      <c r="X231" s="407"/>
      <c r="Y231" s="407"/>
      <c r="Z231" s="413"/>
      <c r="AA231" s="409"/>
      <c r="AB231" s="409"/>
      <c r="AC231" s="409"/>
      <c r="AD231" s="406"/>
      <c r="AE231" s="410"/>
      <c r="AF231" s="894"/>
      <c r="AG231" s="898"/>
      <c r="AH231" s="884"/>
      <c r="AI231" s="1053"/>
      <c r="AJ231" s="1053"/>
      <c r="AK231" s="1029"/>
      <c r="AL231" s="1028"/>
      <c r="AM231" s="1028"/>
      <c r="AN231" s="1029"/>
      <c r="AO231" s="1028"/>
      <c r="AP231" s="1028"/>
      <c r="AQ231" s="1028"/>
      <c r="AR231" s="1028"/>
      <c r="AS231" s="1028"/>
      <c r="AT231" s="1028"/>
      <c r="AU231" s="1028"/>
      <c r="AV231" s="1028"/>
      <c r="AW231" s="1028"/>
      <c r="AX231" s="1028"/>
      <c r="AY231" s="1028"/>
      <c r="AZ231" s="1049"/>
    </row>
    <row r="232" spans="1:52" ht="15" customHeight="1" x14ac:dyDescent="0.25">
      <c r="A232" s="1015"/>
      <c r="B232" s="1004"/>
      <c r="C232" s="1016" t="s">
        <v>289</v>
      </c>
      <c r="D232" s="379" t="s">
        <v>149</v>
      </c>
      <c r="E232" s="386"/>
      <c r="F232" s="408"/>
      <c r="G232" s="405"/>
      <c r="H232" s="405"/>
      <c r="I232" s="405"/>
      <c r="J232" s="405"/>
      <c r="K232" s="405"/>
      <c r="L232" s="405"/>
      <c r="M232" s="413"/>
      <c r="N232" s="405"/>
      <c r="O232" s="405"/>
      <c r="P232" s="405"/>
      <c r="Q232" s="799"/>
      <c r="R232" s="408">
        <f>0.01305*47</f>
        <v>0.61335000000000006</v>
      </c>
      <c r="S232" s="892" t="s">
        <v>613</v>
      </c>
      <c r="T232" s="407"/>
      <c r="U232" s="407"/>
      <c r="V232" s="407">
        <v>4</v>
      </c>
      <c r="W232" s="407">
        <v>13</v>
      </c>
      <c r="X232" s="407">
        <v>15</v>
      </c>
      <c r="Y232" s="407"/>
      <c r="Z232" s="413"/>
      <c r="AA232" s="409"/>
      <c r="AB232" s="409"/>
      <c r="AC232" s="409"/>
      <c r="AD232" s="406"/>
      <c r="AE232" s="410">
        <f>0.013*47</f>
        <v>0.61099999999999999</v>
      </c>
      <c r="AF232" s="892" t="s">
        <v>627</v>
      </c>
      <c r="AG232" s="895"/>
      <c r="AH232" s="882" t="s">
        <v>289</v>
      </c>
      <c r="AI232" s="1025" t="s">
        <v>714</v>
      </c>
      <c r="AJ232" s="1025" t="s">
        <v>715</v>
      </c>
      <c r="AK232" s="1029"/>
      <c r="AL232" s="1025" t="s">
        <v>716</v>
      </c>
      <c r="AM232" s="1025" t="s">
        <v>717</v>
      </c>
      <c r="AN232" s="1029"/>
      <c r="AO232" s="1025">
        <v>376894.604907309</v>
      </c>
      <c r="AP232" s="1025">
        <v>183453.26481399301</v>
      </c>
      <c r="AQ232" s="1025">
        <v>193441.34009331701</v>
      </c>
      <c r="AR232" s="1025" t="s">
        <v>269</v>
      </c>
      <c r="AS232" s="1025" t="s">
        <v>269</v>
      </c>
      <c r="AT232" s="1025" t="s">
        <v>269</v>
      </c>
      <c r="AU232" s="1025" t="s">
        <v>269</v>
      </c>
      <c r="AV232" s="1025" t="s">
        <v>269</v>
      </c>
      <c r="AW232" s="1025" t="s">
        <v>269</v>
      </c>
      <c r="AX232" s="1025" t="s">
        <v>269</v>
      </c>
      <c r="AY232" s="1025" t="s">
        <v>269</v>
      </c>
      <c r="AZ232" s="1049"/>
    </row>
    <row r="233" spans="1:52" ht="15" customHeight="1" x14ac:dyDescent="0.25">
      <c r="A233" s="1015"/>
      <c r="B233" s="1004"/>
      <c r="C233" s="1017"/>
      <c r="D233" s="388" t="s">
        <v>151</v>
      </c>
      <c r="E233" s="386"/>
      <c r="F233" s="411"/>
      <c r="G233" s="405"/>
      <c r="H233" s="405"/>
      <c r="I233" s="405"/>
      <c r="J233" s="405"/>
      <c r="K233" s="405"/>
      <c r="L233" s="405"/>
      <c r="M233" s="409"/>
      <c r="N233" s="405"/>
      <c r="O233" s="405"/>
      <c r="P233" s="405"/>
      <c r="Q233" s="790"/>
      <c r="R233" s="411">
        <f>1035240*47</f>
        <v>48656280</v>
      </c>
      <c r="S233" s="893"/>
      <c r="T233" s="407"/>
      <c r="U233" s="407"/>
      <c r="V233" s="407"/>
      <c r="W233" s="407"/>
      <c r="X233" s="407"/>
      <c r="Y233" s="407"/>
      <c r="Z233" s="409"/>
      <c r="AA233" s="409"/>
      <c r="AB233" s="409"/>
      <c r="AC233" s="409"/>
      <c r="AD233" s="406"/>
      <c r="AE233" s="390">
        <f>1005724*47</f>
        <v>47269028</v>
      </c>
      <c r="AF233" s="893"/>
      <c r="AG233" s="896"/>
      <c r="AH233" s="883"/>
      <c r="AI233" s="1028"/>
      <c r="AJ233" s="1028"/>
      <c r="AK233" s="1029"/>
      <c r="AL233" s="1028"/>
      <c r="AM233" s="1028"/>
      <c r="AN233" s="1029"/>
      <c r="AO233" s="1028"/>
      <c r="AP233" s="1028"/>
      <c r="AQ233" s="1028"/>
      <c r="AR233" s="1028"/>
      <c r="AS233" s="1028"/>
      <c r="AT233" s="1028"/>
      <c r="AU233" s="1028"/>
      <c r="AV233" s="1028"/>
      <c r="AW233" s="1028"/>
      <c r="AX233" s="1028"/>
      <c r="AY233" s="1028"/>
      <c r="AZ233" s="1049"/>
    </row>
    <row r="234" spans="1:52" ht="15" customHeight="1" x14ac:dyDescent="0.25">
      <c r="A234" s="1015"/>
      <c r="B234" s="1004"/>
      <c r="C234" s="1017"/>
      <c r="D234" s="394" t="s">
        <v>153</v>
      </c>
      <c r="E234" s="386"/>
      <c r="F234" s="404"/>
      <c r="G234" s="405"/>
      <c r="H234" s="405"/>
      <c r="I234" s="405"/>
      <c r="J234" s="405"/>
      <c r="K234" s="405"/>
      <c r="L234" s="405"/>
      <c r="M234" s="409"/>
      <c r="N234" s="405"/>
      <c r="O234" s="405"/>
      <c r="P234" s="402"/>
      <c r="Q234" s="800"/>
      <c r="R234" s="412"/>
      <c r="S234" s="893"/>
      <c r="T234" s="407"/>
      <c r="U234" s="407"/>
      <c r="V234" s="407"/>
      <c r="W234" s="407"/>
      <c r="X234" s="407"/>
      <c r="Y234" s="407"/>
      <c r="Z234" s="409"/>
      <c r="AA234" s="409"/>
      <c r="AB234" s="409"/>
      <c r="AC234" s="409"/>
      <c r="AD234" s="406"/>
      <c r="AE234" s="410"/>
      <c r="AF234" s="893"/>
      <c r="AG234" s="896"/>
      <c r="AH234" s="883"/>
      <c r="AI234" s="1028"/>
      <c r="AJ234" s="1028"/>
      <c r="AK234" s="1029"/>
      <c r="AL234" s="1028"/>
      <c r="AM234" s="1028"/>
      <c r="AN234" s="1029"/>
      <c r="AO234" s="1028"/>
      <c r="AP234" s="1028"/>
      <c r="AQ234" s="1028"/>
      <c r="AR234" s="1028"/>
      <c r="AS234" s="1028"/>
      <c r="AT234" s="1028"/>
      <c r="AU234" s="1028"/>
      <c r="AV234" s="1028"/>
      <c r="AW234" s="1028"/>
      <c r="AX234" s="1028"/>
      <c r="AY234" s="1028"/>
      <c r="AZ234" s="1049"/>
    </row>
    <row r="235" spans="1:52" ht="15" customHeight="1" x14ac:dyDescent="0.25">
      <c r="A235" s="1015"/>
      <c r="B235" s="1004"/>
      <c r="C235" s="1017"/>
      <c r="D235" s="388" t="s">
        <v>154</v>
      </c>
      <c r="E235" s="386"/>
      <c r="F235" s="404"/>
      <c r="G235" s="405"/>
      <c r="H235" s="405"/>
      <c r="I235" s="405"/>
      <c r="J235" s="405"/>
      <c r="K235" s="405"/>
      <c r="L235" s="405"/>
      <c r="M235" s="409"/>
      <c r="N235" s="405"/>
      <c r="O235" s="405"/>
      <c r="P235" s="801"/>
      <c r="Q235" s="802"/>
      <c r="R235" s="412"/>
      <c r="S235" s="893"/>
      <c r="T235" s="407"/>
      <c r="U235" s="407"/>
      <c r="V235" s="407"/>
      <c r="W235" s="407"/>
      <c r="X235" s="407"/>
      <c r="Y235" s="407"/>
      <c r="Z235" s="409"/>
      <c r="AA235" s="409"/>
      <c r="AB235" s="409"/>
      <c r="AC235" s="409"/>
      <c r="AD235" s="406"/>
      <c r="AE235" s="410"/>
      <c r="AF235" s="893"/>
      <c r="AG235" s="896"/>
      <c r="AH235" s="883"/>
      <c r="AI235" s="1028"/>
      <c r="AJ235" s="1028"/>
      <c r="AK235" s="1029"/>
      <c r="AL235" s="1028"/>
      <c r="AM235" s="1028"/>
      <c r="AN235" s="1029"/>
      <c r="AO235" s="1028"/>
      <c r="AP235" s="1028"/>
      <c r="AQ235" s="1028"/>
      <c r="AR235" s="1028"/>
      <c r="AS235" s="1028"/>
      <c r="AT235" s="1028"/>
      <c r="AU235" s="1028"/>
      <c r="AV235" s="1028"/>
      <c r="AW235" s="1028"/>
      <c r="AX235" s="1028"/>
      <c r="AY235" s="1028"/>
      <c r="AZ235" s="1049"/>
    </row>
    <row r="236" spans="1:52" ht="15" customHeight="1" x14ac:dyDescent="0.25">
      <c r="A236" s="1015"/>
      <c r="B236" s="1004"/>
      <c r="C236" s="1017"/>
      <c r="D236" s="394" t="s">
        <v>155</v>
      </c>
      <c r="E236" s="386"/>
      <c r="F236" s="412"/>
      <c r="G236" s="405"/>
      <c r="H236" s="405"/>
      <c r="I236" s="405"/>
      <c r="J236" s="405"/>
      <c r="K236" s="405"/>
      <c r="L236" s="405"/>
      <c r="M236" s="409"/>
      <c r="N236" s="405"/>
      <c r="O236" s="405"/>
      <c r="P236" s="396"/>
      <c r="Q236" s="798"/>
      <c r="R236" s="412"/>
      <c r="S236" s="893"/>
      <c r="T236" s="407"/>
      <c r="U236" s="407"/>
      <c r="V236" s="407"/>
      <c r="W236" s="407"/>
      <c r="X236" s="407"/>
      <c r="Y236" s="407"/>
      <c r="Z236" s="409"/>
      <c r="AA236" s="409"/>
      <c r="AB236" s="409"/>
      <c r="AC236" s="409"/>
      <c r="AD236" s="406"/>
      <c r="AE236" s="410"/>
      <c r="AF236" s="893"/>
      <c r="AG236" s="896"/>
      <c r="AH236" s="883"/>
      <c r="AI236" s="1028"/>
      <c r="AJ236" s="1028"/>
      <c r="AK236" s="1029"/>
      <c r="AL236" s="1028"/>
      <c r="AM236" s="1028"/>
      <c r="AN236" s="1029"/>
      <c r="AO236" s="1028"/>
      <c r="AP236" s="1028"/>
      <c r="AQ236" s="1028"/>
      <c r="AR236" s="1028"/>
      <c r="AS236" s="1028"/>
      <c r="AT236" s="1028"/>
      <c r="AU236" s="1028"/>
      <c r="AV236" s="1028"/>
      <c r="AW236" s="1028"/>
      <c r="AX236" s="1028"/>
      <c r="AY236" s="1028"/>
      <c r="AZ236" s="1049"/>
    </row>
    <row r="237" spans="1:52" ht="15" customHeight="1" thickBot="1" x14ac:dyDescent="0.3">
      <c r="A237" s="1015"/>
      <c r="B237" s="1004"/>
      <c r="C237" s="1018"/>
      <c r="D237" s="403" t="s">
        <v>156</v>
      </c>
      <c r="E237" s="433"/>
      <c r="F237" s="416"/>
      <c r="G237" s="417"/>
      <c r="H237" s="405"/>
      <c r="I237" s="405"/>
      <c r="J237" s="405"/>
      <c r="K237" s="405"/>
      <c r="L237" s="405"/>
      <c r="M237" s="409"/>
      <c r="N237" s="405"/>
      <c r="O237" s="405"/>
      <c r="P237" s="405"/>
      <c r="Q237" s="798"/>
      <c r="R237" s="412"/>
      <c r="S237" s="894"/>
      <c r="T237" s="418"/>
      <c r="U237" s="418"/>
      <c r="V237" s="418"/>
      <c r="W237" s="418"/>
      <c r="X237" s="407">
        <v>242</v>
      </c>
      <c r="Y237" s="407"/>
      <c r="Z237" s="409"/>
      <c r="AA237" s="409"/>
      <c r="AB237" s="409"/>
      <c r="AC237" s="409"/>
      <c r="AD237" s="406"/>
      <c r="AE237" s="410"/>
      <c r="AF237" s="894"/>
      <c r="AG237" s="897"/>
      <c r="AH237" s="884"/>
      <c r="AI237" s="1028"/>
      <c r="AJ237" s="1028"/>
      <c r="AK237" s="1035"/>
      <c r="AL237" s="1028"/>
      <c r="AM237" s="1028"/>
      <c r="AN237" s="1035"/>
      <c r="AO237" s="1028"/>
      <c r="AP237" s="1028"/>
      <c r="AQ237" s="1028"/>
      <c r="AR237" s="1028"/>
      <c r="AS237" s="1028"/>
      <c r="AT237" s="1028"/>
      <c r="AU237" s="1028"/>
      <c r="AV237" s="1028"/>
      <c r="AW237" s="1028"/>
      <c r="AX237" s="1028"/>
      <c r="AY237" s="1028"/>
      <c r="AZ237" s="1051"/>
    </row>
    <row r="238" spans="1:52" ht="15" customHeight="1" x14ac:dyDescent="0.25">
      <c r="A238" s="1015"/>
      <c r="B238" s="1004"/>
      <c r="C238" s="1019" t="s">
        <v>290</v>
      </c>
      <c r="D238" s="379" t="s">
        <v>149</v>
      </c>
      <c r="E238" s="420">
        <v>25</v>
      </c>
      <c r="F238" s="420">
        <v>25</v>
      </c>
      <c r="G238" s="420">
        <v>0</v>
      </c>
      <c r="H238" s="420">
        <v>25</v>
      </c>
      <c r="I238" s="420">
        <v>25</v>
      </c>
      <c r="J238" s="420">
        <v>25</v>
      </c>
      <c r="K238" s="420">
        <v>25</v>
      </c>
      <c r="L238" s="390">
        <v>25</v>
      </c>
      <c r="M238" s="390">
        <v>25</v>
      </c>
      <c r="N238" s="390">
        <v>25</v>
      </c>
      <c r="O238" s="390">
        <v>25</v>
      </c>
      <c r="P238" s="390">
        <v>25</v>
      </c>
      <c r="Q238" s="390">
        <v>25</v>
      </c>
      <c r="R238" s="408">
        <f>0.01303*536+0.007</f>
        <v>6.9910799999999993</v>
      </c>
      <c r="S238" s="1054" t="s">
        <v>629</v>
      </c>
      <c r="T238" s="420">
        <v>0</v>
      </c>
      <c r="U238" s="421">
        <v>2.68</v>
      </c>
      <c r="V238" s="435">
        <v>5</v>
      </c>
      <c r="W238" s="429">
        <v>7.5</v>
      </c>
      <c r="X238" s="429">
        <v>8.8000000000000007</v>
      </c>
      <c r="Y238" s="429">
        <v>11</v>
      </c>
      <c r="Z238" s="423">
        <v>12.8</v>
      </c>
      <c r="AA238" s="423">
        <v>17.100000000000001</v>
      </c>
      <c r="AB238" s="423">
        <v>18.600000000000001</v>
      </c>
      <c r="AC238" s="423">
        <v>18.600000000000001</v>
      </c>
      <c r="AD238" s="423">
        <v>22.6</v>
      </c>
      <c r="AE238" s="410">
        <f>0.013*536+0.042</f>
        <v>7.01</v>
      </c>
      <c r="AF238" s="892" t="s">
        <v>628</v>
      </c>
      <c r="AG238" s="892"/>
      <c r="AH238" s="1055" t="s">
        <v>290</v>
      </c>
      <c r="AI238" s="1025" t="s">
        <v>290</v>
      </c>
      <c r="AJ238" s="1025" t="s">
        <v>90</v>
      </c>
      <c r="AK238" s="1025" t="s">
        <v>90</v>
      </c>
      <c r="AL238" s="1025" t="s">
        <v>90</v>
      </c>
      <c r="AM238" s="1034" t="s">
        <v>90</v>
      </c>
      <c r="AN238" s="1034" t="s">
        <v>90</v>
      </c>
      <c r="AO238" s="1040">
        <v>7804660</v>
      </c>
      <c r="AP238" s="1056">
        <v>3721767</v>
      </c>
      <c r="AQ238" s="1041">
        <v>4082893</v>
      </c>
      <c r="AR238" s="1041" t="s">
        <v>90</v>
      </c>
      <c r="AS238" s="1041" t="s">
        <v>90</v>
      </c>
      <c r="AT238" s="1039" t="s">
        <v>90</v>
      </c>
      <c r="AU238" s="1039" t="s">
        <v>90</v>
      </c>
      <c r="AV238" s="1039" t="s">
        <v>90</v>
      </c>
      <c r="AW238" s="1039" t="s">
        <v>90</v>
      </c>
      <c r="AX238" s="1039" t="s">
        <v>90</v>
      </c>
      <c r="AY238" s="1039" t="s">
        <v>90</v>
      </c>
      <c r="AZ238" s="1004" t="s">
        <v>90</v>
      </c>
    </row>
    <row r="239" spans="1:52" ht="15" customHeight="1" x14ac:dyDescent="0.25">
      <c r="A239" s="1015"/>
      <c r="B239" s="1004"/>
      <c r="C239" s="1020"/>
      <c r="D239" s="388" t="s">
        <v>151</v>
      </c>
      <c r="E239" s="392">
        <v>1647133000</v>
      </c>
      <c r="F239" s="392">
        <v>1647133000</v>
      </c>
      <c r="G239" s="392">
        <v>0</v>
      </c>
      <c r="H239" s="392">
        <v>1647133000</v>
      </c>
      <c r="I239" s="392">
        <v>1853329000</v>
      </c>
      <c r="J239" s="392">
        <v>1853329000</v>
      </c>
      <c r="K239" s="392">
        <v>1853329000</v>
      </c>
      <c r="L239" s="390">
        <v>2064989000</v>
      </c>
      <c r="M239" s="390">
        <v>2064989000</v>
      </c>
      <c r="N239" s="390">
        <v>1949316000</v>
      </c>
      <c r="O239" s="390">
        <v>1970789466</v>
      </c>
      <c r="P239" s="390">
        <v>1970789466</v>
      </c>
      <c r="Q239" s="390">
        <v>1970789466</v>
      </c>
      <c r="R239" s="411">
        <f>1035240*538-854</f>
        <v>556958266</v>
      </c>
      <c r="S239" s="1057"/>
      <c r="T239" s="392">
        <v>3583000</v>
      </c>
      <c r="U239" s="392">
        <v>640406000</v>
      </c>
      <c r="V239" s="436">
        <v>1373114000</v>
      </c>
      <c r="W239" s="392">
        <v>1399052000</v>
      </c>
      <c r="X239" s="392">
        <v>1492055000</v>
      </c>
      <c r="Y239" s="392">
        <v>1638492900</v>
      </c>
      <c r="Z239" s="413">
        <v>1697632900</v>
      </c>
      <c r="AA239" s="413">
        <v>1703892900</v>
      </c>
      <c r="AB239" s="413">
        <v>1715718900</v>
      </c>
      <c r="AC239" s="413">
        <v>1750400900</v>
      </c>
      <c r="AD239" s="413">
        <v>1819263200</v>
      </c>
      <c r="AE239" s="390">
        <f>1002502*536+1726874</f>
        <v>539067946</v>
      </c>
      <c r="AF239" s="893"/>
      <c r="AG239" s="893"/>
      <c r="AH239" s="1058"/>
      <c r="AI239" s="1028"/>
      <c r="AJ239" s="1028"/>
      <c r="AK239" s="1028"/>
      <c r="AL239" s="1028"/>
      <c r="AM239" s="1029"/>
      <c r="AN239" s="1029"/>
      <c r="AO239" s="1043"/>
      <c r="AP239" s="1059"/>
      <c r="AQ239" s="1043"/>
      <c r="AR239" s="1043"/>
      <c r="AS239" s="1043"/>
      <c r="AT239" s="1042"/>
      <c r="AU239" s="1042"/>
      <c r="AV239" s="1042"/>
      <c r="AW239" s="1042"/>
      <c r="AX239" s="1042"/>
      <c r="AY239" s="1042"/>
      <c r="AZ239" s="1004"/>
    </row>
    <row r="240" spans="1:52" ht="15" customHeight="1" x14ac:dyDescent="0.25">
      <c r="A240" s="1015"/>
      <c r="B240" s="1004"/>
      <c r="C240" s="1020"/>
      <c r="D240" s="394" t="s">
        <v>153</v>
      </c>
      <c r="E240" s="424">
        <v>0.87</v>
      </c>
      <c r="F240" s="424">
        <v>0.87</v>
      </c>
      <c r="G240" s="424">
        <v>0.83</v>
      </c>
      <c r="H240" s="424">
        <v>0.87</v>
      </c>
      <c r="I240" s="424">
        <v>0.87</v>
      </c>
      <c r="J240" s="424">
        <v>0.87</v>
      </c>
      <c r="K240" s="424">
        <v>0.87</v>
      </c>
      <c r="L240" s="398">
        <v>0.87</v>
      </c>
      <c r="M240" s="398">
        <v>0.87</v>
      </c>
      <c r="N240" s="398">
        <v>0.87</v>
      </c>
      <c r="O240" s="398">
        <v>0.87</v>
      </c>
      <c r="P240" s="398">
        <v>0.87</v>
      </c>
      <c r="Q240" s="398">
        <v>0.87</v>
      </c>
      <c r="R240" s="408">
        <v>0.87</v>
      </c>
      <c r="S240" s="1057"/>
      <c r="T240" s="424">
        <v>0.83</v>
      </c>
      <c r="U240" s="424">
        <v>0.85</v>
      </c>
      <c r="V240" s="437">
        <v>0.85</v>
      </c>
      <c r="W240" s="424">
        <v>0.85</v>
      </c>
      <c r="X240" s="424">
        <v>0.85</v>
      </c>
      <c r="Y240" s="424">
        <v>0.85</v>
      </c>
      <c r="Z240" s="423">
        <v>0.85</v>
      </c>
      <c r="AA240" s="423">
        <v>0.87</v>
      </c>
      <c r="AB240" s="423">
        <v>0.87</v>
      </c>
      <c r="AC240" s="423">
        <v>0.87</v>
      </c>
      <c r="AD240" s="423">
        <v>0.87</v>
      </c>
      <c r="AE240" s="398">
        <v>0.87</v>
      </c>
      <c r="AF240" s="893"/>
      <c r="AG240" s="893"/>
      <c r="AH240" s="1058"/>
      <c r="AI240" s="1028"/>
      <c r="AJ240" s="1028"/>
      <c r="AK240" s="1028"/>
      <c r="AL240" s="1028"/>
      <c r="AM240" s="1029"/>
      <c r="AN240" s="1029"/>
      <c r="AO240" s="1043"/>
      <c r="AP240" s="1059"/>
      <c r="AQ240" s="1043"/>
      <c r="AR240" s="1043"/>
      <c r="AS240" s="1043"/>
      <c r="AT240" s="1042"/>
      <c r="AU240" s="1042"/>
      <c r="AV240" s="1042"/>
      <c r="AW240" s="1042"/>
      <c r="AX240" s="1042"/>
      <c r="AY240" s="1042"/>
      <c r="AZ240" s="1004"/>
    </row>
    <row r="241" spans="1:52" ht="15" customHeight="1" x14ac:dyDescent="0.25">
      <c r="A241" s="1015"/>
      <c r="B241" s="1004"/>
      <c r="C241" s="1020"/>
      <c r="D241" s="388" t="s">
        <v>154</v>
      </c>
      <c r="E241" s="392">
        <v>425470766</v>
      </c>
      <c r="F241" s="392">
        <v>425470766</v>
      </c>
      <c r="G241" s="392">
        <v>64094000</v>
      </c>
      <c r="H241" s="425">
        <v>425470766</v>
      </c>
      <c r="I241" s="425">
        <v>425470766</v>
      </c>
      <c r="J241" s="425">
        <v>425470766</v>
      </c>
      <c r="K241" s="425">
        <v>425470766</v>
      </c>
      <c r="L241" s="390">
        <v>425470766</v>
      </c>
      <c r="M241" s="390">
        <v>425470766</v>
      </c>
      <c r="N241" s="390">
        <v>425470766</v>
      </c>
      <c r="O241" s="390">
        <v>425470766</v>
      </c>
      <c r="P241" s="390">
        <v>425470766</v>
      </c>
      <c r="Q241" s="390">
        <v>425470766</v>
      </c>
      <c r="R241" s="411">
        <v>425470766</v>
      </c>
      <c r="S241" s="1057"/>
      <c r="T241" s="392">
        <v>64094000</v>
      </c>
      <c r="U241" s="425">
        <v>191373101</v>
      </c>
      <c r="V241" s="438">
        <v>362103213</v>
      </c>
      <c r="W241" s="425">
        <v>389657912</v>
      </c>
      <c r="X241" s="425">
        <v>403689072</v>
      </c>
      <c r="Y241" s="425">
        <v>403689072</v>
      </c>
      <c r="Z241" s="413">
        <v>403689072</v>
      </c>
      <c r="AA241" s="413">
        <v>422720340</v>
      </c>
      <c r="AB241" s="413">
        <v>422720340</v>
      </c>
      <c r="AC241" s="413">
        <v>422720340</v>
      </c>
      <c r="AD241" s="413">
        <v>422720340</v>
      </c>
      <c r="AE241" s="390">
        <v>422720340</v>
      </c>
      <c r="AF241" s="893"/>
      <c r="AG241" s="893"/>
      <c r="AH241" s="1058"/>
      <c r="AI241" s="1028"/>
      <c r="AJ241" s="1028"/>
      <c r="AK241" s="1028"/>
      <c r="AL241" s="1028"/>
      <c r="AM241" s="1029"/>
      <c r="AN241" s="1029"/>
      <c r="AO241" s="1043"/>
      <c r="AP241" s="1059"/>
      <c r="AQ241" s="1043"/>
      <c r="AR241" s="1043"/>
      <c r="AS241" s="1043"/>
      <c r="AT241" s="1042"/>
      <c r="AU241" s="1042"/>
      <c r="AV241" s="1042"/>
      <c r="AW241" s="1042"/>
      <c r="AX241" s="1042"/>
      <c r="AY241" s="1042"/>
      <c r="AZ241" s="1004"/>
    </row>
    <row r="242" spans="1:52" ht="15" customHeight="1" x14ac:dyDescent="0.25">
      <c r="A242" s="1015"/>
      <c r="B242" s="1004"/>
      <c r="C242" s="1020"/>
      <c r="D242" s="394" t="s">
        <v>155</v>
      </c>
      <c r="E242" s="426">
        <f t="shared" ref="E242:G243" si="28">E238+E240</f>
        <v>25.87</v>
      </c>
      <c r="F242" s="426">
        <f t="shared" si="28"/>
        <v>25.87</v>
      </c>
      <c r="G242" s="426">
        <f t="shared" si="28"/>
        <v>0.83</v>
      </c>
      <c r="H242" s="426">
        <f>H238+H240</f>
        <v>25.87</v>
      </c>
      <c r="I242" s="426">
        <f t="shared" ref="I242:O242" si="29">I238+I240</f>
        <v>25.87</v>
      </c>
      <c r="J242" s="426">
        <f t="shared" si="29"/>
        <v>25.87</v>
      </c>
      <c r="K242" s="426">
        <f t="shared" si="29"/>
        <v>25.87</v>
      </c>
      <c r="L242" s="426">
        <f t="shared" si="29"/>
        <v>25.87</v>
      </c>
      <c r="M242" s="426">
        <f t="shared" si="29"/>
        <v>25.87</v>
      </c>
      <c r="N242" s="426">
        <f t="shared" si="29"/>
        <v>25.87</v>
      </c>
      <c r="O242" s="426">
        <f t="shared" si="29"/>
        <v>25.87</v>
      </c>
      <c r="P242" s="426">
        <f t="shared" ref="P242:Q242" si="30">P238+P240</f>
        <v>25.87</v>
      </c>
      <c r="Q242" s="426">
        <f t="shared" si="30"/>
        <v>25.87</v>
      </c>
      <c r="R242" s="408">
        <f>R238+R240</f>
        <v>7.8610799999999994</v>
      </c>
      <c r="S242" s="1057"/>
      <c r="T242" s="426">
        <f t="shared" ref="T242:V243" si="31">T238+T240</f>
        <v>0.83</v>
      </c>
      <c r="U242" s="427">
        <f t="shared" si="31"/>
        <v>3.5300000000000002</v>
      </c>
      <c r="V242" s="439">
        <f t="shared" si="31"/>
        <v>5.85</v>
      </c>
      <c r="W242" s="426">
        <f>W238+W240</f>
        <v>8.35</v>
      </c>
      <c r="X242" s="426">
        <v>9.65</v>
      </c>
      <c r="Y242" s="426">
        <v>11.850000000000001</v>
      </c>
      <c r="Z242" s="428">
        <f>Z238+Z240</f>
        <v>13.65</v>
      </c>
      <c r="AA242" s="428">
        <f>AA238+AA240</f>
        <v>17.970000000000002</v>
      </c>
      <c r="AB242" s="428">
        <v>19.470000000000002</v>
      </c>
      <c r="AC242" s="428">
        <v>19.470000000000002</v>
      </c>
      <c r="AD242" s="423">
        <v>23.470000000000002</v>
      </c>
      <c r="AE242" s="408">
        <f>AE238+AE240</f>
        <v>7.88</v>
      </c>
      <c r="AF242" s="893"/>
      <c r="AG242" s="893"/>
      <c r="AH242" s="1058"/>
      <c r="AI242" s="1028"/>
      <c r="AJ242" s="1028"/>
      <c r="AK242" s="1028"/>
      <c r="AL242" s="1028"/>
      <c r="AM242" s="1029"/>
      <c r="AN242" s="1029"/>
      <c r="AO242" s="1043"/>
      <c r="AP242" s="1059"/>
      <c r="AQ242" s="1043"/>
      <c r="AR242" s="1043"/>
      <c r="AS242" s="1043"/>
      <c r="AT242" s="1042"/>
      <c r="AU242" s="1042"/>
      <c r="AV242" s="1042"/>
      <c r="AW242" s="1042"/>
      <c r="AX242" s="1042"/>
      <c r="AY242" s="1042"/>
      <c r="AZ242" s="1004"/>
    </row>
    <row r="243" spans="1:52" ht="15" customHeight="1" thickBot="1" x14ac:dyDescent="0.3">
      <c r="A243" s="1015"/>
      <c r="B243" s="1004"/>
      <c r="C243" s="1021"/>
      <c r="D243" s="403" t="s">
        <v>156</v>
      </c>
      <c r="E243" s="406">
        <f t="shared" si="28"/>
        <v>2072603766</v>
      </c>
      <c r="F243" s="406">
        <f t="shared" si="28"/>
        <v>2072603766</v>
      </c>
      <c r="G243" s="406">
        <f t="shared" si="28"/>
        <v>64094000</v>
      </c>
      <c r="H243" s="406">
        <f>H239+H241</f>
        <v>2072603766</v>
      </c>
      <c r="I243" s="406">
        <f t="shared" ref="I243:O243" si="32">I239+I241</f>
        <v>2278799766</v>
      </c>
      <c r="J243" s="406">
        <f t="shared" si="32"/>
        <v>2278799766</v>
      </c>
      <c r="K243" s="406">
        <f t="shared" si="32"/>
        <v>2278799766</v>
      </c>
      <c r="L243" s="406">
        <f t="shared" si="32"/>
        <v>2490459766</v>
      </c>
      <c r="M243" s="406">
        <f t="shared" si="32"/>
        <v>2490459766</v>
      </c>
      <c r="N243" s="406">
        <f t="shared" si="32"/>
        <v>2374786766</v>
      </c>
      <c r="O243" s="406">
        <f t="shared" si="32"/>
        <v>2396260232</v>
      </c>
      <c r="P243" s="406">
        <f t="shared" ref="P243:Q243" si="33">P239+P241</f>
        <v>2396260232</v>
      </c>
      <c r="Q243" s="406">
        <f t="shared" si="33"/>
        <v>2396260232</v>
      </c>
      <c r="R243" s="411">
        <f>R239+R241</f>
        <v>982429032</v>
      </c>
      <c r="S243" s="1060"/>
      <c r="T243" s="406">
        <f t="shared" si="31"/>
        <v>67677000</v>
      </c>
      <c r="U243" s="406">
        <f t="shared" si="31"/>
        <v>831779101</v>
      </c>
      <c r="V243" s="440">
        <f t="shared" si="31"/>
        <v>1735217213</v>
      </c>
      <c r="W243" s="406">
        <f>W239+W241</f>
        <v>1788709912</v>
      </c>
      <c r="X243" s="406">
        <v>1895744072</v>
      </c>
      <c r="Y243" s="406">
        <v>2042181972</v>
      </c>
      <c r="Z243" s="409">
        <f>Z239+Z241</f>
        <v>2101321972</v>
      </c>
      <c r="AA243" s="409">
        <f>AA239+AA241</f>
        <v>2126613240</v>
      </c>
      <c r="AB243" s="409">
        <f t="shared" ref="AB243:AC243" si="34">AB239+AB241</f>
        <v>2138439240</v>
      </c>
      <c r="AC243" s="409">
        <f t="shared" si="34"/>
        <v>2173121240</v>
      </c>
      <c r="AD243" s="413">
        <v>2241983540</v>
      </c>
      <c r="AE243" s="390">
        <f>AE239+AE241</f>
        <v>961788286</v>
      </c>
      <c r="AF243" s="894"/>
      <c r="AG243" s="894"/>
      <c r="AH243" s="1061"/>
      <c r="AI243" s="1028"/>
      <c r="AJ243" s="1028"/>
      <c r="AK243" s="1028"/>
      <c r="AL243" s="1028"/>
      <c r="AM243" s="1035"/>
      <c r="AN243" s="1035"/>
      <c r="AO243" s="1045"/>
      <c r="AP243" s="1062"/>
      <c r="AQ243" s="1045"/>
      <c r="AR243" s="1045"/>
      <c r="AS243" s="1045"/>
      <c r="AT243" s="1044"/>
      <c r="AU243" s="1044"/>
      <c r="AV243" s="1044"/>
      <c r="AW243" s="1044"/>
      <c r="AX243" s="1044"/>
      <c r="AY243" s="1044"/>
      <c r="AZ243" s="1004"/>
    </row>
    <row r="244" spans="1:52" ht="15" customHeight="1" x14ac:dyDescent="0.25">
      <c r="A244" s="1009"/>
      <c r="B244" s="1010"/>
      <c r="C244" s="1007" t="s">
        <v>291</v>
      </c>
      <c r="D244" s="379" t="s">
        <v>149</v>
      </c>
      <c r="E244" s="420">
        <v>25</v>
      </c>
      <c r="F244" s="420">
        <v>25</v>
      </c>
      <c r="G244" s="441">
        <v>0</v>
      </c>
      <c r="H244" s="421">
        <v>25</v>
      </c>
      <c r="I244" s="421">
        <v>25</v>
      </c>
      <c r="J244" s="421">
        <v>25</v>
      </c>
      <c r="K244" s="421">
        <v>25</v>
      </c>
      <c r="L244" s="434">
        <v>25</v>
      </c>
      <c r="M244" s="398">
        <v>25</v>
      </c>
      <c r="N244" s="398">
        <v>25</v>
      </c>
      <c r="O244" s="390">
        <v>25</v>
      </c>
      <c r="P244" s="390">
        <v>25</v>
      </c>
      <c r="Q244" s="390">
        <v>25</v>
      </c>
      <c r="R244" s="412">
        <f>R238+R232+R226+R220+R214+R208+R202+R196+R190+R184+R178+R172+R166+R160+R154+R148+R142+R136+R130</f>
        <v>25.000080000000004</v>
      </c>
      <c r="S244" s="808"/>
      <c r="T244" s="420">
        <v>0</v>
      </c>
      <c r="U244" s="421">
        <v>2.68</v>
      </c>
      <c r="V244" s="435">
        <v>5</v>
      </c>
      <c r="W244" s="429">
        <v>7.5</v>
      </c>
      <c r="X244" s="429">
        <v>8.8000000000000007</v>
      </c>
      <c r="Y244" s="429">
        <v>11</v>
      </c>
      <c r="Z244" s="423">
        <v>12.8</v>
      </c>
      <c r="AA244" s="423">
        <v>17.100000000000001</v>
      </c>
      <c r="AB244" s="423">
        <v>18.600000000000001</v>
      </c>
      <c r="AC244" s="423">
        <v>18.600000000000001</v>
      </c>
      <c r="AD244" s="428">
        <v>22.6</v>
      </c>
      <c r="AE244" s="1063">
        <f>AE238+AE232+AE226+AE220+AE214+AE208+AE202+AE196+AE190+AE184+AE178+AE172+AE166+AE160+AE154+AE148+AE136+AE130+AE142</f>
        <v>24.95</v>
      </c>
      <c r="AF244" s="882"/>
      <c r="AG244" s="889"/>
      <c r="AH244" s="1007" t="s">
        <v>291</v>
      </c>
      <c r="AI244" s="1025"/>
      <c r="AJ244" s="1025"/>
      <c r="AK244" s="1034"/>
      <c r="AL244" s="1034"/>
      <c r="AM244" s="1034"/>
      <c r="AN244" s="1034"/>
      <c r="AO244" s="1040"/>
      <c r="AP244" s="1056"/>
      <c r="AQ244" s="1041"/>
      <c r="AR244" s="1041"/>
      <c r="AS244" s="1041"/>
      <c r="AT244" s="1039"/>
      <c r="AU244" s="1039"/>
      <c r="AV244" s="1039"/>
      <c r="AW244" s="1039"/>
      <c r="AX244" s="1039"/>
      <c r="AY244" s="1039"/>
      <c r="AZ244" s="1004"/>
    </row>
    <row r="245" spans="1:52" ht="15" customHeight="1" x14ac:dyDescent="0.25">
      <c r="A245" s="1011"/>
      <c r="B245" s="1012"/>
      <c r="C245" s="1007"/>
      <c r="D245" s="388" t="s">
        <v>151</v>
      </c>
      <c r="E245" s="392">
        <v>1647133000</v>
      </c>
      <c r="F245" s="392">
        <v>1647133000</v>
      </c>
      <c r="G245" s="436">
        <v>0</v>
      </c>
      <c r="H245" s="392">
        <v>1647133000</v>
      </c>
      <c r="I245" s="392">
        <v>1853329000</v>
      </c>
      <c r="J245" s="392">
        <v>1853329000</v>
      </c>
      <c r="K245" s="392">
        <v>1853329000</v>
      </c>
      <c r="L245" s="390">
        <v>2064989000</v>
      </c>
      <c r="M245" s="398">
        <v>2064989000</v>
      </c>
      <c r="N245" s="398">
        <v>1949316000</v>
      </c>
      <c r="O245" s="390">
        <v>1970789466</v>
      </c>
      <c r="P245" s="390">
        <v>1970789466</v>
      </c>
      <c r="Q245" s="390">
        <v>1970789466</v>
      </c>
      <c r="R245" s="404">
        <f>R239+R233+R227+R221+R215+R209+R203+R197+R191+R185+R179+R173+R167+R161+R155+R149+R143+R137+R131</f>
        <v>1985589466</v>
      </c>
      <c r="S245" s="808"/>
      <c r="T245" s="392">
        <v>3583000</v>
      </c>
      <c r="U245" s="392">
        <v>640406000</v>
      </c>
      <c r="V245" s="436">
        <v>1373114000</v>
      </c>
      <c r="W245" s="392">
        <v>1399052000</v>
      </c>
      <c r="X245" s="392">
        <v>1492055000</v>
      </c>
      <c r="Y245" s="392">
        <v>1638492900</v>
      </c>
      <c r="Z245" s="413">
        <v>1697632900</v>
      </c>
      <c r="AA245" s="413">
        <v>1703892900</v>
      </c>
      <c r="AB245" s="413">
        <v>1715718900</v>
      </c>
      <c r="AC245" s="413">
        <v>1750400900</v>
      </c>
      <c r="AD245" s="409">
        <v>1819263200</v>
      </c>
      <c r="AE245" s="1064">
        <f>AE239+AE233+AE227+AE221+AE215+AE209+AE203+AE197+AE191+AE185+AE179+AE173+AE167+AE161+AE155+AE149+AE143+AE137+AE131</f>
        <v>1926967066</v>
      </c>
      <c r="AF245" s="883"/>
      <c r="AG245" s="890"/>
      <c r="AH245" s="1007"/>
      <c r="AI245" s="1028"/>
      <c r="AJ245" s="1028"/>
      <c r="AK245" s="1029"/>
      <c r="AL245" s="1029"/>
      <c r="AM245" s="1029"/>
      <c r="AN245" s="1029"/>
      <c r="AO245" s="1043"/>
      <c r="AP245" s="1059"/>
      <c r="AQ245" s="1043"/>
      <c r="AR245" s="1043"/>
      <c r="AS245" s="1043"/>
      <c r="AT245" s="1042"/>
      <c r="AU245" s="1042"/>
      <c r="AV245" s="1042"/>
      <c r="AW245" s="1042"/>
      <c r="AX245" s="1042"/>
      <c r="AY245" s="1042"/>
      <c r="AZ245" s="1004"/>
    </row>
    <row r="246" spans="1:52" ht="15" customHeight="1" x14ac:dyDescent="0.25">
      <c r="A246" s="1011"/>
      <c r="B246" s="1012"/>
      <c r="C246" s="1007"/>
      <c r="D246" s="394" t="s">
        <v>153</v>
      </c>
      <c r="E246" s="424">
        <v>0.87</v>
      </c>
      <c r="F246" s="424">
        <v>0.87</v>
      </c>
      <c r="G246" s="437">
        <v>0.83</v>
      </c>
      <c r="H246" s="424">
        <v>0.87</v>
      </c>
      <c r="I246" s="424">
        <v>0.87</v>
      </c>
      <c r="J246" s="424">
        <v>0.87</v>
      </c>
      <c r="K246" s="424">
        <v>0.87</v>
      </c>
      <c r="L246" s="398">
        <v>0.87</v>
      </c>
      <c r="M246" s="398">
        <v>0.87</v>
      </c>
      <c r="N246" s="398">
        <v>0.87</v>
      </c>
      <c r="O246" s="398">
        <v>0.87</v>
      </c>
      <c r="P246" s="398">
        <v>0.87</v>
      </c>
      <c r="Q246" s="398">
        <v>0.87</v>
      </c>
      <c r="R246" s="412">
        <v>0.87</v>
      </c>
      <c r="S246" s="806"/>
      <c r="T246" s="424">
        <v>0.83</v>
      </c>
      <c r="U246" s="424">
        <v>0.85</v>
      </c>
      <c r="V246" s="437">
        <v>0.85</v>
      </c>
      <c r="W246" s="424">
        <v>0.85</v>
      </c>
      <c r="X246" s="424">
        <v>0.85</v>
      </c>
      <c r="Y246" s="424">
        <v>0.85</v>
      </c>
      <c r="Z246" s="423">
        <v>0.85</v>
      </c>
      <c r="AA246" s="423">
        <v>0.87</v>
      </c>
      <c r="AB246" s="423">
        <v>0.87</v>
      </c>
      <c r="AC246" s="423">
        <v>0.87</v>
      </c>
      <c r="AD246" s="428">
        <v>0.87</v>
      </c>
      <c r="AE246" s="1065">
        <v>0.87</v>
      </c>
      <c r="AF246" s="883"/>
      <c r="AG246" s="890"/>
      <c r="AH246" s="1007"/>
      <c r="AI246" s="1028"/>
      <c r="AJ246" s="1028"/>
      <c r="AK246" s="1029"/>
      <c r="AL246" s="1029"/>
      <c r="AM246" s="1029"/>
      <c r="AN246" s="1029"/>
      <c r="AO246" s="1043"/>
      <c r="AP246" s="1059"/>
      <c r="AQ246" s="1043"/>
      <c r="AR246" s="1043"/>
      <c r="AS246" s="1043"/>
      <c r="AT246" s="1042"/>
      <c r="AU246" s="1042"/>
      <c r="AV246" s="1042"/>
      <c r="AW246" s="1042"/>
      <c r="AX246" s="1042"/>
      <c r="AY246" s="1042"/>
      <c r="AZ246" s="1004"/>
    </row>
    <row r="247" spans="1:52" ht="15" customHeight="1" x14ac:dyDescent="0.25">
      <c r="A247" s="1011"/>
      <c r="B247" s="1012"/>
      <c r="C247" s="1007"/>
      <c r="D247" s="388" t="s">
        <v>154</v>
      </c>
      <c r="E247" s="392">
        <v>425470766</v>
      </c>
      <c r="F247" s="392">
        <v>425470766</v>
      </c>
      <c r="G247" s="436">
        <v>64094000</v>
      </c>
      <c r="H247" s="425">
        <v>425470766</v>
      </c>
      <c r="I247" s="425">
        <v>425470766</v>
      </c>
      <c r="J247" s="425">
        <v>425470766</v>
      </c>
      <c r="K247" s="425">
        <v>425470766</v>
      </c>
      <c r="L247" s="390">
        <v>425470766</v>
      </c>
      <c r="M247" s="398">
        <v>425470766</v>
      </c>
      <c r="N247" s="398">
        <v>425470766</v>
      </c>
      <c r="O247" s="390">
        <v>425470766</v>
      </c>
      <c r="P247" s="390">
        <v>425470766</v>
      </c>
      <c r="Q247" s="390">
        <v>425470766</v>
      </c>
      <c r="R247" s="404">
        <v>425470766</v>
      </c>
      <c r="S247" s="806"/>
      <c r="T247" s="392">
        <v>64094000</v>
      </c>
      <c r="U247" s="425">
        <v>191373101</v>
      </c>
      <c r="V247" s="438">
        <v>362103213</v>
      </c>
      <c r="W247" s="425">
        <v>389657912</v>
      </c>
      <c r="X247" s="425">
        <v>403689072</v>
      </c>
      <c r="Y247" s="425">
        <v>403689072</v>
      </c>
      <c r="Z247" s="510">
        <v>403689072</v>
      </c>
      <c r="AA247" s="413">
        <v>422720340</v>
      </c>
      <c r="AB247" s="413">
        <v>422720340</v>
      </c>
      <c r="AC247" s="413">
        <v>422720340</v>
      </c>
      <c r="AD247" s="409">
        <v>422720340</v>
      </c>
      <c r="AE247" s="1064">
        <v>422720340</v>
      </c>
      <c r="AF247" s="883"/>
      <c r="AG247" s="890"/>
      <c r="AH247" s="1007"/>
      <c r="AI247" s="1028"/>
      <c r="AJ247" s="1028"/>
      <c r="AK247" s="1029"/>
      <c r="AL247" s="1029"/>
      <c r="AM247" s="1029"/>
      <c r="AN247" s="1029"/>
      <c r="AO247" s="1043"/>
      <c r="AP247" s="1059"/>
      <c r="AQ247" s="1043"/>
      <c r="AR247" s="1043"/>
      <c r="AS247" s="1043"/>
      <c r="AT247" s="1042"/>
      <c r="AU247" s="1042"/>
      <c r="AV247" s="1042"/>
      <c r="AW247" s="1042"/>
      <c r="AX247" s="1042"/>
      <c r="AY247" s="1042"/>
      <c r="AZ247" s="1004"/>
    </row>
    <row r="248" spans="1:52" ht="15" customHeight="1" x14ac:dyDescent="0.25">
      <c r="A248" s="1011"/>
      <c r="B248" s="1012"/>
      <c r="C248" s="1007"/>
      <c r="D248" s="394" t="s">
        <v>155</v>
      </c>
      <c r="E248" s="426">
        <f t="shared" ref="E248:G249" si="35">E244+E246</f>
        <v>25.87</v>
      </c>
      <c r="F248" s="426">
        <f t="shared" si="35"/>
        <v>25.87</v>
      </c>
      <c r="G248" s="442">
        <f t="shared" si="35"/>
        <v>0.83</v>
      </c>
      <c r="H248" s="427">
        <v>25.87</v>
      </c>
      <c r="I248" s="427">
        <v>25.87</v>
      </c>
      <c r="J248" s="427">
        <v>25.87</v>
      </c>
      <c r="K248" s="427">
        <v>25.87</v>
      </c>
      <c r="L248" s="405">
        <v>25.869999999999997</v>
      </c>
      <c r="M248" s="396">
        <v>25.869999999999997</v>
      </c>
      <c r="N248" s="396">
        <v>25.87</v>
      </c>
      <c r="O248" s="426">
        <f t="shared" ref="O248:P248" si="36">O244+O246</f>
        <v>25.87</v>
      </c>
      <c r="P248" s="426">
        <f t="shared" si="36"/>
        <v>25.87</v>
      </c>
      <c r="Q248" s="426">
        <f t="shared" ref="Q248" si="37">Q244+Q246</f>
        <v>25.87</v>
      </c>
      <c r="R248" s="415">
        <f>R244+R246</f>
        <v>25.870080000000005</v>
      </c>
      <c r="S248" s="806"/>
      <c r="T248" s="426">
        <f t="shared" ref="T248:V249" si="38">T244+T246</f>
        <v>0.83</v>
      </c>
      <c r="U248" s="427">
        <f t="shared" si="38"/>
        <v>3.5300000000000002</v>
      </c>
      <c r="V248" s="439">
        <f t="shared" si="38"/>
        <v>5.85</v>
      </c>
      <c r="W248" s="426">
        <f>W244+W246</f>
        <v>8.35</v>
      </c>
      <c r="X248" s="426">
        <v>9.65</v>
      </c>
      <c r="Y248" s="426">
        <v>11.850000000000001</v>
      </c>
      <c r="Z248" s="428">
        <v>13.650000000000002</v>
      </c>
      <c r="AA248" s="428">
        <f>AA244+AA246</f>
        <v>17.970000000000002</v>
      </c>
      <c r="AB248" s="428">
        <v>19.470000000000002</v>
      </c>
      <c r="AC248" s="428">
        <v>19.470000000000002</v>
      </c>
      <c r="AD248" s="428">
        <v>23.470000000000002</v>
      </c>
      <c r="AE248" s="1064">
        <f>AE244+AE246</f>
        <v>25.82</v>
      </c>
      <c r="AF248" s="883"/>
      <c r="AG248" s="890"/>
      <c r="AH248" s="1007"/>
      <c r="AI248" s="1028"/>
      <c r="AJ248" s="1028"/>
      <c r="AK248" s="1029"/>
      <c r="AL248" s="1029"/>
      <c r="AM248" s="1029"/>
      <c r="AN248" s="1029"/>
      <c r="AO248" s="1043"/>
      <c r="AP248" s="1059"/>
      <c r="AQ248" s="1043"/>
      <c r="AR248" s="1043"/>
      <c r="AS248" s="1043"/>
      <c r="AT248" s="1042"/>
      <c r="AU248" s="1042"/>
      <c r="AV248" s="1042"/>
      <c r="AW248" s="1042"/>
      <c r="AX248" s="1042"/>
      <c r="AY248" s="1042"/>
      <c r="AZ248" s="1004"/>
    </row>
    <row r="249" spans="1:52" ht="15" customHeight="1" thickBot="1" x14ac:dyDescent="0.3">
      <c r="A249" s="1013"/>
      <c r="B249" s="1014"/>
      <c r="C249" s="1007"/>
      <c r="D249" s="403" t="s">
        <v>156</v>
      </c>
      <c r="E249" s="406">
        <f t="shared" si="35"/>
        <v>2072603766</v>
      </c>
      <c r="F249" s="406">
        <f t="shared" si="35"/>
        <v>2072603766</v>
      </c>
      <c r="G249" s="440">
        <f t="shared" si="35"/>
        <v>64094000</v>
      </c>
      <c r="H249" s="406">
        <v>2072603766</v>
      </c>
      <c r="I249" s="406">
        <v>2072603766</v>
      </c>
      <c r="J249" s="406">
        <v>2072603766</v>
      </c>
      <c r="K249" s="406">
        <v>2072603766</v>
      </c>
      <c r="L249" s="405">
        <v>2490459766</v>
      </c>
      <c r="M249" s="405">
        <v>2490459766</v>
      </c>
      <c r="N249" s="405">
        <v>2374786766</v>
      </c>
      <c r="O249" s="406">
        <f t="shared" ref="O249:P249" si="39">O245+O247</f>
        <v>2396260232</v>
      </c>
      <c r="P249" s="406">
        <f t="shared" si="39"/>
        <v>2396260232</v>
      </c>
      <c r="Q249" s="406">
        <f t="shared" ref="Q249" si="40">Q245+Q247</f>
        <v>2396260232</v>
      </c>
      <c r="R249" s="404">
        <f>R245+R247</f>
        <v>2411060232</v>
      </c>
      <c r="S249" s="807"/>
      <c r="T249" s="406">
        <f t="shared" si="38"/>
        <v>67677000</v>
      </c>
      <c r="U249" s="406">
        <f t="shared" si="38"/>
        <v>831779101</v>
      </c>
      <c r="V249" s="440">
        <f t="shared" si="38"/>
        <v>1735217213</v>
      </c>
      <c r="W249" s="406">
        <f>W245+W247</f>
        <v>1788709912</v>
      </c>
      <c r="X249" s="406">
        <v>1895744072</v>
      </c>
      <c r="Y249" s="406">
        <v>2042181972</v>
      </c>
      <c r="Z249" s="409">
        <v>2101321972</v>
      </c>
      <c r="AA249" s="409">
        <f>AA245+AA247</f>
        <v>2126613240</v>
      </c>
      <c r="AB249" s="409">
        <f t="shared" ref="AB249:AC249" si="41">AB245+AB247</f>
        <v>2138439240</v>
      </c>
      <c r="AC249" s="409">
        <f t="shared" si="41"/>
        <v>2173121240</v>
      </c>
      <c r="AD249" s="409">
        <v>2241983540</v>
      </c>
      <c r="AE249" s="1064">
        <f>AE245+AE247</f>
        <v>2349687406</v>
      </c>
      <c r="AF249" s="884"/>
      <c r="AG249" s="891"/>
      <c r="AH249" s="1007"/>
      <c r="AI249" s="1028"/>
      <c r="AJ249" s="1028"/>
      <c r="AK249" s="1035"/>
      <c r="AL249" s="1035"/>
      <c r="AM249" s="1035"/>
      <c r="AN249" s="1035"/>
      <c r="AO249" s="1045"/>
      <c r="AP249" s="1062"/>
      <c r="AQ249" s="1045"/>
      <c r="AR249" s="1045"/>
      <c r="AS249" s="1045"/>
      <c r="AT249" s="1044"/>
      <c r="AU249" s="1044"/>
      <c r="AV249" s="1044"/>
      <c r="AW249" s="1044"/>
      <c r="AX249" s="1044"/>
      <c r="AY249" s="1044"/>
      <c r="AZ249" s="1004"/>
    </row>
    <row r="250" spans="1:52" ht="15" customHeight="1" x14ac:dyDescent="0.25">
      <c r="A250" s="1022">
        <v>3</v>
      </c>
      <c r="B250" s="1004" t="s">
        <v>159</v>
      </c>
      <c r="C250" s="1007" t="s">
        <v>292</v>
      </c>
      <c r="D250" s="379" t="s">
        <v>149</v>
      </c>
      <c r="E250" s="420">
        <v>25</v>
      </c>
      <c r="F250" s="420">
        <v>25</v>
      </c>
      <c r="G250" s="441">
        <v>0</v>
      </c>
      <c r="H250" s="420">
        <v>25</v>
      </c>
      <c r="I250" s="420">
        <v>25</v>
      </c>
      <c r="J250" s="420">
        <v>25</v>
      </c>
      <c r="K250" s="420">
        <v>25</v>
      </c>
      <c r="L250" s="446">
        <v>25</v>
      </c>
      <c r="M250" s="446">
        <v>25</v>
      </c>
      <c r="N250" s="446">
        <v>25</v>
      </c>
      <c r="O250" s="443">
        <v>25</v>
      </c>
      <c r="P250" s="443">
        <v>25</v>
      </c>
      <c r="Q250" s="443">
        <v>25</v>
      </c>
      <c r="R250" s="1066">
        <v>25</v>
      </c>
      <c r="S250" s="882"/>
      <c r="T250" s="420">
        <v>0</v>
      </c>
      <c r="U250" s="421">
        <v>2.2799999999999998</v>
      </c>
      <c r="V250" s="435">
        <v>4.54</v>
      </c>
      <c r="W250" s="421">
        <v>6.81</v>
      </c>
      <c r="X250" s="429">
        <v>9.08</v>
      </c>
      <c r="Y250" s="429">
        <v>11.18</v>
      </c>
      <c r="Z250" s="445">
        <v>13.37</v>
      </c>
      <c r="AA250" s="445">
        <v>15.639999999999999</v>
      </c>
      <c r="AB250" s="445">
        <v>18.059999999999999</v>
      </c>
      <c r="AC250" s="445">
        <v>18.059999999999999</v>
      </c>
      <c r="AD250" s="445">
        <v>22.7</v>
      </c>
      <c r="AE250" s="1067">
        <v>25</v>
      </c>
      <c r="AF250" s="882" t="s">
        <v>290</v>
      </c>
      <c r="AG250" s="882" t="s">
        <v>290</v>
      </c>
      <c r="AH250" s="1025" t="s">
        <v>293</v>
      </c>
      <c r="AI250" s="1025" t="s">
        <v>90</v>
      </c>
      <c r="AJ250" s="1025" t="s">
        <v>90</v>
      </c>
      <c r="AK250" s="1034" t="s">
        <v>90</v>
      </c>
      <c r="AL250" s="1034" t="s">
        <v>90</v>
      </c>
      <c r="AM250" s="1034" t="s">
        <v>90</v>
      </c>
      <c r="AN250" s="1034" t="s">
        <v>90</v>
      </c>
      <c r="AO250" s="1040">
        <v>7804660</v>
      </c>
      <c r="AP250" s="1056">
        <v>3721767</v>
      </c>
      <c r="AQ250" s="1041">
        <v>4082893</v>
      </c>
      <c r="AR250" s="1041" t="s">
        <v>90</v>
      </c>
      <c r="AS250" s="1041" t="s">
        <v>90</v>
      </c>
      <c r="AT250" s="1039" t="s">
        <v>90</v>
      </c>
      <c r="AU250" s="1039" t="s">
        <v>90</v>
      </c>
      <c r="AV250" s="1039" t="s">
        <v>90</v>
      </c>
      <c r="AW250" s="1039" t="s">
        <v>90</v>
      </c>
      <c r="AX250" s="1039" t="s">
        <v>90</v>
      </c>
      <c r="AY250" s="1039" t="s">
        <v>90</v>
      </c>
      <c r="AZ250" s="1004" t="s">
        <v>90</v>
      </c>
    </row>
    <row r="251" spans="1:52" ht="15" customHeight="1" x14ac:dyDescent="0.25">
      <c r="A251" s="1022"/>
      <c r="B251" s="1004"/>
      <c r="C251" s="1007"/>
      <c r="D251" s="388" t="s">
        <v>151</v>
      </c>
      <c r="E251" s="392">
        <v>1585211000</v>
      </c>
      <c r="F251" s="392">
        <v>1585211000</v>
      </c>
      <c r="G251" s="436">
        <v>0</v>
      </c>
      <c r="H251" s="392">
        <v>1585211000</v>
      </c>
      <c r="I251" s="392">
        <v>1585211000</v>
      </c>
      <c r="J251" s="392">
        <v>1585211000</v>
      </c>
      <c r="K251" s="392">
        <v>1585211000</v>
      </c>
      <c r="L251" s="446">
        <v>1585211000</v>
      </c>
      <c r="M251" s="446">
        <v>1585211000</v>
      </c>
      <c r="N251" s="446">
        <v>1650484302</v>
      </c>
      <c r="O251" s="446">
        <v>1650484302</v>
      </c>
      <c r="P251" s="446">
        <v>1650484302</v>
      </c>
      <c r="Q251" s="446">
        <v>1650484302</v>
      </c>
      <c r="R251" s="1068">
        <v>1650484302</v>
      </c>
      <c r="S251" s="883"/>
      <c r="T251" s="392">
        <v>0</v>
      </c>
      <c r="U251" s="392">
        <v>753612000</v>
      </c>
      <c r="V251" s="436">
        <v>1467735000</v>
      </c>
      <c r="W251" s="392">
        <v>1543191000</v>
      </c>
      <c r="X251" s="392">
        <v>1464204400</v>
      </c>
      <c r="Y251" s="392">
        <v>1477044400</v>
      </c>
      <c r="Z251" s="420">
        <v>1523904400</v>
      </c>
      <c r="AA251" s="420">
        <v>1523874400</v>
      </c>
      <c r="AB251" s="420">
        <v>1523874400</v>
      </c>
      <c r="AC251" s="420">
        <v>1595695634</v>
      </c>
      <c r="AD251" s="420">
        <v>1627844634</v>
      </c>
      <c r="AE251" s="409">
        <v>1650086634</v>
      </c>
      <c r="AF251" s="883"/>
      <c r="AG251" s="883"/>
      <c r="AH251" s="1028"/>
      <c r="AI251" s="1028"/>
      <c r="AJ251" s="1028"/>
      <c r="AK251" s="1029"/>
      <c r="AL251" s="1029"/>
      <c r="AM251" s="1029"/>
      <c r="AN251" s="1029"/>
      <c r="AO251" s="1043"/>
      <c r="AP251" s="1059"/>
      <c r="AQ251" s="1043"/>
      <c r="AR251" s="1043"/>
      <c r="AS251" s="1043"/>
      <c r="AT251" s="1042"/>
      <c r="AU251" s="1042"/>
      <c r="AV251" s="1042"/>
      <c r="AW251" s="1042"/>
      <c r="AX251" s="1042"/>
      <c r="AY251" s="1042"/>
      <c r="AZ251" s="1004"/>
    </row>
    <row r="252" spans="1:52" ht="15" customHeight="1" x14ac:dyDescent="0.25">
      <c r="A252" s="1022"/>
      <c r="B252" s="1004"/>
      <c r="C252" s="1007"/>
      <c r="D252" s="394" t="s">
        <v>153</v>
      </c>
      <c r="E252" s="424">
        <v>0.46</v>
      </c>
      <c r="F252" s="424">
        <v>0.46</v>
      </c>
      <c r="G252" s="437">
        <v>0.19</v>
      </c>
      <c r="H252" s="424">
        <v>0.46</v>
      </c>
      <c r="I252" s="424">
        <v>0.46</v>
      </c>
      <c r="J252" s="424">
        <v>0.46</v>
      </c>
      <c r="K252" s="424">
        <v>0.46</v>
      </c>
      <c r="L252" s="398">
        <v>0.46</v>
      </c>
      <c r="M252" s="398">
        <v>0.46</v>
      </c>
      <c r="N252" s="398">
        <v>0.46</v>
      </c>
      <c r="O252" s="398">
        <v>0.46</v>
      </c>
      <c r="P252" s="398">
        <v>0.46</v>
      </c>
      <c r="Q252" s="398">
        <v>0.46</v>
      </c>
      <c r="R252" s="1069">
        <v>0.46</v>
      </c>
      <c r="S252" s="883"/>
      <c r="T252" s="424">
        <v>0.19</v>
      </c>
      <c r="U252" s="424">
        <v>0.46</v>
      </c>
      <c r="V252" s="437">
        <v>0.46</v>
      </c>
      <c r="W252" s="424">
        <v>0.46</v>
      </c>
      <c r="X252" s="424">
        <v>0.46</v>
      </c>
      <c r="Y252" s="424">
        <v>0.46</v>
      </c>
      <c r="Z252" s="423">
        <v>0.46</v>
      </c>
      <c r="AA252" s="423">
        <v>0.46</v>
      </c>
      <c r="AB252" s="423">
        <v>0.46</v>
      </c>
      <c r="AC252" s="423">
        <v>0.46</v>
      </c>
      <c r="AD252" s="423">
        <v>0.46</v>
      </c>
      <c r="AE252" s="428">
        <v>0.46</v>
      </c>
      <c r="AF252" s="883"/>
      <c r="AG252" s="883"/>
      <c r="AH252" s="1028"/>
      <c r="AI252" s="1028"/>
      <c r="AJ252" s="1028"/>
      <c r="AK252" s="1029"/>
      <c r="AL252" s="1029"/>
      <c r="AM252" s="1029"/>
      <c r="AN252" s="1029"/>
      <c r="AO252" s="1043"/>
      <c r="AP252" s="1059"/>
      <c r="AQ252" s="1043"/>
      <c r="AR252" s="1043"/>
      <c r="AS252" s="1043"/>
      <c r="AT252" s="1042"/>
      <c r="AU252" s="1042"/>
      <c r="AV252" s="1042"/>
      <c r="AW252" s="1042"/>
      <c r="AX252" s="1042"/>
      <c r="AY252" s="1042"/>
      <c r="AZ252" s="1004"/>
    </row>
    <row r="253" spans="1:52" ht="15" customHeight="1" x14ac:dyDescent="0.25">
      <c r="A253" s="1022"/>
      <c r="B253" s="1004"/>
      <c r="C253" s="1007"/>
      <c r="D253" s="388" t="s">
        <v>154</v>
      </c>
      <c r="E253" s="392">
        <v>179966166</v>
      </c>
      <c r="F253" s="392">
        <v>179966166</v>
      </c>
      <c r="G253" s="436">
        <v>45206600</v>
      </c>
      <c r="H253" s="425">
        <v>179966166</v>
      </c>
      <c r="I253" s="425">
        <v>169458166</v>
      </c>
      <c r="J253" s="425">
        <v>169458166</v>
      </c>
      <c r="K253" s="425">
        <v>169458166</v>
      </c>
      <c r="L253" s="390">
        <v>169458166</v>
      </c>
      <c r="M253" s="398">
        <v>169458166</v>
      </c>
      <c r="N253" s="398">
        <v>169458166</v>
      </c>
      <c r="O253" s="398">
        <v>169458166</v>
      </c>
      <c r="P253" s="398">
        <v>169458166</v>
      </c>
      <c r="Q253" s="398">
        <v>169458166</v>
      </c>
      <c r="R253" s="1069">
        <v>169458166</v>
      </c>
      <c r="S253" s="883"/>
      <c r="T253" s="392">
        <v>45206600</v>
      </c>
      <c r="U253" s="425">
        <v>122770800</v>
      </c>
      <c r="V253" s="438">
        <v>154728033</v>
      </c>
      <c r="W253" s="425">
        <v>169458166</v>
      </c>
      <c r="X253" s="425">
        <v>169458166</v>
      </c>
      <c r="Y253" s="425">
        <v>169458166</v>
      </c>
      <c r="Z253" s="423">
        <v>169458166</v>
      </c>
      <c r="AA253" s="423">
        <v>169458166</v>
      </c>
      <c r="AB253" s="423">
        <v>169458166</v>
      </c>
      <c r="AC253" s="423">
        <v>169458166</v>
      </c>
      <c r="AD253" s="423">
        <v>169458166</v>
      </c>
      <c r="AE253" s="409">
        <v>169458166</v>
      </c>
      <c r="AF253" s="883"/>
      <c r="AG253" s="883"/>
      <c r="AH253" s="1028"/>
      <c r="AI253" s="1028"/>
      <c r="AJ253" s="1028"/>
      <c r="AK253" s="1029"/>
      <c r="AL253" s="1029"/>
      <c r="AM253" s="1029"/>
      <c r="AN253" s="1029"/>
      <c r="AO253" s="1043"/>
      <c r="AP253" s="1059"/>
      <c r="AQ253" s="1043"/>
      <c r="AR253" s="1043"/>
      <c r="AS253" s="1043"/>
      <c r="AT253" s="1042"/>
      <c r="AU253" s="1042"/>
      <c r="AV253" s="1042"/>
      <c r="AW253" s="1042"/>
      <c r="AX253" s="1042"/>
      <c r="AY253" s="1042"/>
      <c r="AZ253" s="1004"/>
    </row>
    <row r="254" spans="1:52" ht="15" customHeight="1" x14ac:dyDescent="0.25">
      <c r="A254" s="1022"/>
      <c r="B254" s="1004"/>
      <c r="C254" s="1007"/>
      <c r="D254" s="394" t="s">
        <v>155</v>
      </c>
      <c r="E254" s="426">
        <f t="shared" ref="E254:G255" si="42">E250+E252</f>
        <v>25.46</v>
      </c>
      <c r="F254" s="426">
        <f t="shared" si="42"/>
        <v>25.46</v>
      </c>
      <c r="G254" s="442">
        <f t="shared" si="42"/>
        <v>0.19</v>
      </c>
      <c r="H254" s="427">
        <v>25.46</v>
      </c>
      <c r="I254" s="427">
        <v>25.46</v>
      </c>
      <c r="J254" s="427">
        <v>25.46</v>
      </c>
      <c r="K254" s="427">
        <v>25.46</v>
      </c>
      <c r="L254" s="447">
        <v>25.459999999999997</v>
      </c>
      <c r="M254" s="396">
        <v>25.459999999999997</v>
      </c>
      <c r="N254" s="396">
        <f t="shared" ref="N254:P255" si="43">N250+N252</f>
        <v>25.46</v>
      </c>
      <c r="O254" s="396">
        <f t="shared" si="43"/>
        <v>25.46</v>
      </c>
      <c r="P254" s="396">
        <f t="shared" si="43"/>
        <v>25.46</v>
      </c>
      <c r="Q254" s="396">
        <f t="shared" ref="Q254" si="44">Q250+Q252</f>
        <v>25.46</v>
      </c>
      <c r="R254" s="1069">
        <v>25.46</v>
      </c>
      <c r="S254" s="883"/>
      <c r="T254" s="426">
        <f>T250+T252</f>
        <v>0.19</v>
      </c>
      <c r="U254" s="427">
        <f>U250+U252</f>
        <v>2.7399999999999998</v>
      </c>
      <c r="V254" s="439">
        <v>5</v>
      </c>
      <c r="W254" s="427">
        <f>W250+W252</f>
        <v>7.27</v>
      </c>
      <c r="X254" s="426">
        <v>9.5399999999999991</v>
      </c>
      <c r="Y254" s="426">
        <v>11.639999999999999</v>
      </c>
      <c r="Z254" s="428">
        <v>13.829999999999998</v>
      </c>
      <c r="AA254" s="428">
        <f>AA250+AA252</f>
        <v>16.099999999999998</v>
      </c>
      <c r="AB254" s="428">
        <v>18.519999999999996</v>
      </c>
      <c r="AC254" s="428">
        <v>18.519999999999996</v>
      </c>
      <c r="AD254" s="428">
        <v>23.159999999999997</v>
      </c>
      <c r="AE254" s="428">
        <v>25.459999999999997</v>
      </c>
      <c r="AF254" s="883"/>
      <c r="AG254" s="883"/>
      <c r="AH254" s="1028"/>
      <c r="AI254" s="1028"/>
      <c r="AJ254" s="1028"/>
      <c r="AK254" s="1029"/>
      <c r="AL254" s="1029"/>
      <c r="AM254" s="1029"/>
      <c r="AN254" s="1029"/>
      <c r="AO254" s="1043"/>
      <c r="AP254" s="1059"/>
      <c r="AQ254" s="1043"/>
      <c r="AR254" s="1043"/>
      <c r="AS254" s="1043"/>
      <c r="AT254" s="1042"/>
      <c r="AU254" s="1042"/>
      <c r="AV254" s="1042"/>
      <c r="AW254" s="1042"/>
      <c r="AX254" s="1042"/>
      <c r="AY254" s="1042"/>
      <c r="AZ254" s="1004"/>
    </row>
    <row r="255" spans="1:52" ht="15" customHeight="1" thickBot="1" x14ac:dyDescent="0.3">
      <c r="A255" s="1022"/>
      <c r="B255" s="1004"/>
      <c r="C255" s="1007"/>
      <c r="D255" s="448" t="s">
        <v>156</v>
      </c>
      <c r="E255" s="449">
        <f t="shared" si="42"/>
        <v>1765177166</v>
      </c>
      <c r="F255" s="449">
        <f t="shared" si="42"/>
        <v>1765177166</v>
      </c>
      <c r="G255" s="440">
        <f t="shared" si="42"/>
        <v>45206600</v>
      </c>
      <c r="H255" s="406">
        <v>1765177166</v>
      </c>
      <c r="I255" s="406">
        <v>1765177166</v>
      </c>
      <c r="J255" s="406">
        <v>1765177166</v>
      </c>
      <c r="K255" s="406">
        <v>1765177166</v>
      </c>
      <c r="L255" s="405">
        <v>1754669166</v>
      </c>
      <c r="M255" s="450">
        <v>1754669166</v>
      </c>
      <c r="N255" s="450">
        <f t="shared" si="43"/>
        <v>1819942468</v>
      </c>
      <c r="O255" s="450">
        <f t="shared" si="43"/>
        <v>1819942468</v>
      </c>
      <c r="P255" s="450">
        <f t="shared" si="43"/>
        <v>1819942468</v>
      </c>
      <c r="Q255" s="450">
        <f t="shared" ref="Q255" si="45">Q251+Q253</f>
        <v>1819942468</v>
      </c>
      <c r="R255" s="1070">
        <v>1819942468</v>
      </c>
      <c r="S255" s="884"/>
      <c r="T255" s="406">
        <f>T251+T253</f>
        <v>45206600</v>
      </c>
      <c r="U255" s="406">
        <f>U251+U253</f>
        <v>876382800</v>
      </c>
      <c r="V255" s="440">
        <f>V251+V253</f>
        <v>1622463033</v>
      </c>
      <c r="W255" s="406">
        <f>W253+W251</f>
        <v>1712649166</v>
      </c>
      <c r="X255" s="406">
        <v>1633662566</v>
      </c>
      <c r="Y255" s="406">
        <v>1646502566</v>
      </c>
      <c r="Z255" s="451">
        <v>1693362566</v>
      </c>
      <c r="AA255" s="451">
        <f>AA251+AA253</f>
        <v>1693332566</v>
      </c>
      <c r="AB255" s="451">
        <f t="shared" ref="AB255:AC255" si="46">AB251+AB253</f>
        <v>1693332566</v>
      </c>
      <c r="AC255" s="451">
        <f t="shared" si="46"/>
        <v>1765153800</v>
      </c>
      <c r="AD255" s="451">
        <v>1797302800</v>
      </c>
      <c r="AE255" s="1071">
        <f>AE251+AE253</f>
        <v>1819544800</v>
      </c>
      <c r="AF255" s="884"/>
      <c r="AG255" s="884"/>
      <c r="AH255" s="1028"/>
      <c r="AI255" s="1028"/>
      <c r="AJ255" s="1028"/>
      <c r="AK255" s="1035"/>
      <c r="AL255" s="1035"/>
      <c r="AM255" s="1035"/>
      <c r="AN255" s="1035"/>
      <c r="AO255" s="1045"/>
      <c r="AP255" s="1062"/>
      <c r="AQ255" s="1045"/>
      <c r="AR255" s="1045"/>
      <c r="AS255" s="1045"/>
      <c r="AT255" s="1044"/>
      <c r="AU255" s="1044"/>
      <c r="AV255" s="1044"/>
      <c r="AW255" s="1044"/>
      <c r="AX255" s="1044"/>
      <c r="AY255" s="1044"/>
      <c r="AZ255" s="1004"/>
    </row>
    <row r="256" spans="1:52" ht="15" customHeight="1" x14ac:dyDescent="0.25">
      <c r="A256" s="1022">
        <v>4</v>
      </c>
      <c r="B256" s="1004" t="s">
        <v>294</v>
      </c>
      <c r="C256" s="1007" t="s">
        <v>295</v>
      </c>
      <c r="D256" s="379" t="s">
        <v>149</v>
      </c>
      <c r="E256" s="429">
        <v>0.25</v>
      </c>
      <c r="F256" s="429">
        <v>0.25</v>
      </c>
      <c r="G256" s="441">
        <v>0</v>
      </c>
      <c r="H256" s="429">
        <v>0.25</v>
      </c>
      <c r="I256" s="429">
        <v>0.25</v>
      </c>
      <c r="J256" s="429">
        <v>0.25</v>
      </c>
      <c r="K256" s="429">
        <v>0.25</v>
      </c>
      <c r="L256" s="429">
        <v>0.254</v>
      </c>
      <c r="M256" s="429">
        <v>0.254</v>
      </c>
      <c r="N256" s="429">
        <v>0.25</v>
      </c>
      <c r="O256" s="398">
        <v>0.254</v>
      </c>
      <c r="P256" s="398">
        <v>0.254</v>
      </c>
      <c r="Q256" s="398">
        <v>0.254</v>
      </c>
      <c r="R256" s="396">
        <v>0.254</v>
      </c>
      <c r="S256" s="882"/>
      <c r="T256" s="420">
        <v>0</v>
      </c>
      <c r="U256" s="429">
        <v>1.4E-2</v>
      </c>
      <c r="V256" s="444">
        <v>2.1999999999999999E-2</v>
      </c>
      <c r="W256" s="429">
        <v>0.04</v>
      </c>
      <c r="X256" s="429">
        <f>[2]INVERSIÓN!AC31+[2]INVERSIÓN!AE31+[2]INVERSIÓN!AG31+[2]INVERSIÓN!AI31+[2]INVERSIÓN!AK31</f>
        <v>5.3999999999999999E-2</v>
      </c>
      <c r="Y256" s="429">
        <v>6.4000000000000001E-2</v>
      </c>
      <c r="Z256" s="423">
        <v>8.4000000000000005E-2</v>
      </c>
      <c r="AA256" s="423">
        <v>0.10900000000000001</v>
      </c>
      <c r="AB256" s="423">
        <v>0.13900000000000001</v>
      </c>
      <c r="AC256" s="423">
        <v>0.13900000000000001</v>
      </c>
      <c r="AD256" s="423">
        <v>0.21200000000000002</v>
      </c>
      <c r="AE256" s="1067">
        <v>0.24</v>
      </c>
      <c r="AF256" s="882" t="s">
        <v>290</v>
      </c>
      <c r="AG256" s="882" t="s">
        <v>290</v>
      </c>
      <c r="AH256" s="1025" t="s">
        <v>293</v>
      </c>
      <c r="AI256" s="1025" t="s">
        <v>90</v>
      </c>
      <c r="AJ256" s="1025" t="s">
        <v>90</v>
      </c>
      <c r="AK256" s="1034" t="s">
        <v>90</v>
      </c>
      <c r="AL256" s="1034" t="s">
        <v>90</v>
      </c>
      <c r="AM256" s="1034" t="s">
        <v>90</v>
      </c>
      <c r="AN256" s="1034" t="s">
        <v>90</v>
      </c>
      <c r="AO256" s="1040">
        <v>7804660</v>
      </c>
      <c r="AP256" s="1056">
        <v>3721767</v>
      </c>
      <c r="AQ256" s="1041">
        <v>4082893</v>
      </c>
      <c r="AR256" s="1041" t="s">
        <v>90</v>
      </c>
      <c r="AS256" s="1041" t="s">
        <v>90</v>
      </c>
      <c r="AT256" s="1039" t="s">
        <v>90</v>
      </c>
      <c r="AU256" s="1039" t="s">
        <v>90</v>
      </c>
      <c r="AV256" s="1039" t="s">
        <v>90</v>
      </c>
      <c r="AW256" s="1039" t="s">
        <v>90</v>
      </c>
      <c r="AX256" s="1039" t="s">
        <v>90</v>
      </c>
      <c r="AY256" s="1039" t="s">
        <v>90</v>
      </c>
      <c r="AZ256" s="1004" t="s">
        <v>90</v>
      </c>
    </row>
    <row r="257" spans="1:52" ht="15" customHeight="1" x14ac:dyDescent="0.25">
      <c r="A257" s="1022"/>
      <c r="B257" s="1004"/>
      <c r="C257" s="1007"/>
      <c r="D257" s="388" t="s">
        <v>151</v>
      </c>
      <c r="E257" s="392">
        <v>2651371000</v>
      </c>
      <c r="F257" s="392">
        <v>2651371000</v>
      </c>
      <c r="G257" s="436">
        <v>0</v>
      </c>
      <c r="H257" s="392">
        <v>2651371000</v>
      </c>
      <c r="I257" s="392">
        <v>2445175000</v>
      </c>
      <c r="J257" s="392">
        <v>2445175000</v>
      </c>
      <c r="K257" s="392">
        <v>2445175000</v>
      </c>
      <c r="L257" s="446">
        <v>2139022000</v>
      </c>
      <c r="M257" s="446">
        <v>2139022000</v>
      </c>
      <c r="N257" s="446">
        <v>2226973698</v>
      </c>
      <c r="O257" s="446">
        <v>2226973698</v>
      </c>
      <c r="P257" s="446">
        <v>2226973698</v>
      </c>
      <c r="Q257" s="446">
        <f>2226973698-18000000</f>
        <v>2208973698</v>
      </c>
      <c r="R257" s="1072">
        <v>2401606046</v>
      </c>
      <c r="S257" s="883"/>
      <c r="T257" s="392">
        <v>0</v>
      </c>
      <c r="U257" s="392">
        <v>224010000</v>
      </c>
      <c r="V257" s="436">
        <v>605613000</v>
      </c>
      <c r="W257" s="392">
        <v>678173000</v>
      </c>
      <c r="X257" s="392">
        <f>[2]INVERSIÓN!AC32+[2]INVERSIÓN!AE32+[2]INVERSIÓN!AG32+[2]INVERSIÓN!AI32+[2]INVERSIÓN!AK32</f>
        <v>716253000</v>
      </c>
      <c r="Y257" s="392">
        <v>1650670000</v>
      </c>
      <c r="Z257" s="420">
        <v>1657870000</v>
      </c>
      <c r="AA257" s="420">
        <v>1657870000</v>
      </c>
      <c r="AB257" s="420">
        <v>1836830357</v>
      </c>
      <c r="AC257" s="420">
        <v>1836830357</v>
      </c>
      <c r="AD257" s="420">
        <v>1889685124</v>
      </c>
      <c r="AE257" s="409">
        <v>2184506284</v>
      </c>
      <c r="AF257" s="883"/>
      <c r="AG257" s="883"/>
      <c r="AH257" s="1028"/>
      <c r="AI257" s="1028"/>
      <c r="AJ257" s="1028"/>
      <c r="AK257" s="1029"/>
      <c r="AL257" s="1029"/>
      <c r="AM257" s="1029"/>
      <c r="AN257" s="1029"/>
      <c r="AO257" s="1043"/>
      <c r="AP257" s="1059"/>
      <c r="AQ257" s="1043"/>
      <c r="AR257" s="1043"/>
      <c r="AS257" s="1043"/>
      <c r="AT257" s="1042"/>
      <c r="AU257" s="1042"/>
      <c r="AV257" s="1042"/>
      <c r="AW257" s="1042"/>
      <c r="AX257" s="1042"/>
      <c r="AY257" s="1042"/>
      <c r="AZ257" s="1004"/>
    </row>
    <row r="258" spans="1:52" ht="15" customHeight="1" x14ac:dyDescent="0.25">
      <c r="A258" s="1022"/>
      <c r="B258" s="1004"/>
      <c r="C258" s="1007"/>
      <c r="D258" s="394" t="s">
        <v>153</v>
      </c>
      <c r="E258" s="424">
        <v>0</v>
      </c>
      <c r="F258" s="424">
        <v>0</v>
      </c>
      <c r="G258" s="437">
        <v>0</v>
      </c>
      <c r="H258" s="424">
        <v>0</v>
      </c>
      <c r="I258" s="424">
        <v>0</v>
      </c>
      <c r="J258" s="424">
        <v>0</v>
      </c>
      <c r="K258" s="424">
        <v>0</v>
      </c>
      <c r="L258" s="446">
        <v>0</v>
      </c>
      <c r="M258" s="446">
        <v>0</v>
      </c>
      <c r="N258" s="446">
        <v>0</v>
      </c>
      <c r="O258" s="446">
        <v>0</v>
      </c>
      <c r="P258" s="446">
        <v>0</v>
      </c>
      <c r="Q258" s="446">
        <v>0</v>
      </c>
      <c r="R258" s="1072">
        <v>0</v>
      </c>
      <c r="S258" s="883"/>
      <c r="T258" s="424">
        <v>0</v>
      </c>
      <c r="U258" s="424">
        <v>0</v>
      </c>
      <c r="V258" s="437">
        <v>0</v>
      </c>
      <c r="W258" s="424">
        <v>0</v>
      </c>
      <c r="X258" s="424">
        <f>[2]INVERSIÓN!AC34+[2]INVERSIÓN!AE34+[2]INVERSIÓN!AG34+[2]INVERSIÓN!AI34+[2]INVERSIÓN!AK34</f>
        <v>0</v>
      </c>
      <c r="Y258" s="424">
        <v>0</v>
      </c>
      <c r="Z258" s="420">
        <v>0</v>
      </c>
      <c r="AA258" s="420">
        <v>0</v>
      </c>
      <c r="AB258" s="420">
        <v>0</v>
      </c>
      <c r="AC258" s="420">
        <v>0</v>
      </c>
      <c r="AD258" s="420">
        <v>0</v>
      </c>
      <c r="AE258" s="409">
        <v>0</v>
      </c>
      <c r="AF258" s="883"/>
      <c r="AG258" s="883"/>
      <c r="AH258" s="1028"/>
      <c r="AI258" s="1028"/>
      <c r="AJ258" s="1028"/>
      <c r="AK258" s="1029"/>
      <c r="AL258" s="1029"/>
      <c r="AM258" s="1029"/>
      <c r="AN258" s="1029"/>
      <c r="AO258" s="1043"/>
      <c r="AP258" s="1059"/>
      <c r="AQ258" s="1043"/>
      <c r="AR258" s="1043"/>
      <c r="AS258" s="1043"/>
      <c r="AT258" s="1042"/>
      <c r="AU258" s="1042"/>
      <c r="AV258" s="1042"/>
      <c r="AW258" s="1042"/>
      <c r="AX258" s="1042"/>
      <c r="AY258" s="1042"/>
      <c r="AZ258" s="1004"/>
    </row>
    <row r="259" spans="1:52" ht="15" customHeight="1" x14ac:dyDescent="0.25">
      <c r="A259" s="1022"/>
      <c r="B259" s="1004"/>
      <c r="C259" s="1007"/>
      <c r="D259" s="388" t="s">
        <v>154</v>
      </c>
      <c r="E259" s="392">
        <v>1148470263</v>
      </c>
      <c r="F259" s="392">
        <v>1148470263</v>
      </c>
      <c r="G259" s="436">
        <v>52606533</v>
      </c>
      <c r="H259" s="425">
        <v>1148470263</v>
      </c>
      <c r="I259" s="425">
        <v>1148470263</v>
      </c>
      <c r="J259" s="425">
        <v>1148470263</v>
      </c>
      <c r="K259" s="425">
        <v>1148470263</v>
      </c>
      <c r="L259" s="390">
        <v>1148470263</v>
      </c>
      <c r="M259" s="446">
        <v>1148470263</v>
      </c>
      <c r="N259" s="446">
        <v>1148470263</v>
      </c>
      <c r="O259" s="446">
        <v>1148470263</v>
      </c>
      <c r="P259" s="446">
        <v>1148470263</v>
      </c>
      <c r="Q259" s="446">
        <v>1148470263</v>
      </c>
      <c r="R259" s="1072">
        <v>1148470263</v>
      </c>
      <c r="S259" s="883"/>
      <c r="T259" s="392">
        <v>52606533</v>
      </c>
      <c r="U259" s="425">
        <v>145819445.67000002</v>
      </c>
      <c r="V259" s="438">
        <v>203977166</v>
      </c>
      <c r="W259" s="425">
        <v>210524500</v>
      </c>
      <c r="X259" s="425">
        <f>[2]INVERSIÓN!AC35+[2]INVERSIÓN!AE35+[2]INVERSIÓN!AG35+[2]INVERSIÓN!AI35+[2]INVERSIÓN!AK35</f>
        <v>215677833</v>
      </c>
      <c r="Y259" s="425">
        <v>223029463</v>
      </c>
      <c r="Z259" s="420">
        <v>223029463</v>
      </c>
      <c r="AA259" s="420">
        <v>223029463</v>
      </c>
      <c r="AB259" s="420">
        <v>226482263</v>
      </c>
      <c r="AC259" s="420">
        <v>1145113263</v>
      </c>
      <c r="AD259" s="420">
        <v>1148470263</v>
      </c>
      <c r="AE259" s="409">
        <v>1148470263</v>
      </c>
      <c r="AF259" s="883"/>
      <c r="AG259" s="883"/>
      <c r="AH259" s="1028"/>
      <c r="AI259" s="1028"/>
      <c r="AJ259" s="1028"/>
      <c r="AK259" s="1029"/>
      <c r="AL259" s="1029"/>
      <c r="AM259" s="1029"/>
      <c r="AN259" s="1029"/>
      <c r="AO259" s="1043"/>
      <c r="AP259" s="1059"/>
      <c r="AQ259" s="1043"/>
      <c r="AR259" s="1043"/>
      <c r="AS259" s="1043"/>
      <c r="AT259" s="1042"/>
      <c r="AU259" s="1042"/>
      <c r="AV259" s="1042"/>
      <c r="AW259" s="1042"/>
      <c r="AX259" s="1042"/>
      <c r="AY259" s="1042"/>
      <c r="AZ259" s="1004"/>
    </row>
    <row r="260" spans="1:52" ht="15" customHeight="1" x14ac:dyDescent="0.25">
      <c r="A260" s="1022"/>
      <c r="B260" s="1004"/>
      <c r="C260" s="1007"/>
      <c r="D260" s="394" t="s">
        <v>155</v>
      </c>
      <c r="E260" s="426">
        <v>0.25</v>
      </c>
      <c r="F260" s="426">
        <v>0.25</v>
      </c>
      <c r="G260" s="442">
        <f>G256+G258</f>
        <v>0</v>
      </c>
      <c r="H260" s="426">
        <v>0.25</v>
      </c>
      <c r="I260" s="426">
        <v>0.25</v>
      </c>
      <c r="J260" s="426">
        <v>0.25</v>
      </c>
      <c r="K260" s="426">
        <v>0.25</v>
      </c>
      <c r="L260" s="452">
        <v>0.254</v>
      </c>
      <c r="M260" s="396">
        <v>0.254</v>
      </c>
      <c r="N260" s="396">
        <f t="shared" ref="N260:P261" si="47">N256+N258</f>
        <v>0.25</v>
      </c>
      <c r="O260" s="396">
        <f t="shared" si="47"/>
        <v>0.254</v>
      </c>
      <c r="P260" s="396">
        <f t="shared" si="47"/>
        <v>0.254</v>
      </c>
      <c r="Q260" s="396">
        <f t="shared" ref="Q260" si="48">Q256+Q258</f>
        <v>0.254</v>
      </c>
      <c r="R260" s="396">
        <f t="shared" ref="R260:R261" si="49">R256+R258</f>
        <v>0.254</v>
      </c>
      <c r="S260" s="883"/>
      <c r="T260" s="426">
        <f t="shared" ref="T260:V261" si="50">T256+T258</f>
        <v>0</v>
      </c>
      <c r="U260" s="426">
        <f t="shared" si="50"/>
        <v>1.4E-2</v>
      </c>
      <c r="V260" s="442">
        <f t="shared" si="50"/>
        <v>2.1999999999999999E-2</v>
      </c>
      <c r="W260" s="426">
        <f>W256+W258</f>
        <v>0.04</v>
      </c>
      <c r="X260" s="426">
        <f>[2]INVERSIÓN!AC36+[2]INVERSIÓN!AE36+[2]INVERSIÓN!AG36+[2]INVERSIÓN!AI36+[2]INVERSIÓN!AK36</f>
        <v>5.3999999999999999E-2</v>
      </c>
      <c r="Y260" s="426">
        <v>6.4000000000000001E-2</v>
      </c>
      <c r="Z260" s="428">
        <v>8.4000000000000005E-2</v>
      </c>
      <c r="AA260" s="428">
        <f>AA256+AA258</f>
        <v>0.10900000000000001</v>
      </c>
      <c r="AB260" s="428">
        <v>0.13900000000000001</v>
      </c>
      <c r="AC260" s="428">
        <v>0.13900000000000001</v>
      </c>
      <c r="AD260" s="428">
        <v>0.21200000000000002</v>
      </c>
      <c r="AE260" s="1071">
        <v>0.20800000000000002</v>
      </c>
      <c r="AF260" s="883"/>
      <c r="AG260" s="883"/>
      <c r="AH260" s="1028"/>
      <c r="AI260" s="1028"/>
      <c r="AJ260" s="1028"/>
      <c r="AK260" s="1029"/>
      <c r="AL260" s="1029"/>
      <c r="AM260" s="1029"/>
      <c r="AN260" s="1029"/>
      <c r="AO260" s="1043"/>
      <c r="AP260" s="1059"/>
      <c r="AQ260" s="1043"/>
      <c r="AR260" s="1043"/>
      <c r="AS260" s="1043"/>
      <c r="AT260" s="1042"/>
      <c r="AU260" s="1042"/>
      <c r="AV260" s="1042"/>
      <c r="AW260" s="1042"/>
      <c r="AX260" s="1042"/>
      <c r="AY260" s="1042"/>
      <c r="AZ260" s="1004"/>
    </row>
    <row r="261" spans="1:52" ht="15" customHeight="1" thickBot="1" x14ac:dyDescent="0.3">
      <c r="A261" s="1022"/>
      <c r="B261" s="1004"/>
      <c r="C261" s="1007"/>
      <c r="D261" s="448" t="s">
        <v>156</v>
      </c>
      <c r="E261" s="406">
        <f>E257+E259</f>
        <v>3799841263</v>
      </c>
      <c r="F261" s="406">
        <f>F257+F259</f>
        <v>3799841263</v>
      </c>
      <c r="G261" s="440">
        <f>G257+G259</f>
        <v>52606533</v>
      </c>
      <c r="H261" s="406">
        <v>3799841263</v>
      </c>
      <c r="I261" s="406">
        <v>3799841263</v>
      </c>
      <c r="J261" s="406">
        <v>3799841263</v>
      </c>
      <c r="K261" s="406">
        <v>3799841263</v>
      </c>
      <c r="L261" s="405">
        <v>3287492263</v>
      </c>
      <c r="M261" s="450">
        <v>3287492263</v>
      </c>
      <c r="N261" s="450">
        <f t="shared" si="47"/>
        <v>3375443961</v>
      </c>
      <c r="O261" s="450">
        <f t="shared" si="47"/>
        <v>3375443961</v>
      </c>
      <c r="P261" s="450">
        <f t="shared" si="47"/>
        <v>3375443961</v>
      </c>
      <c r="Q261" s="450">
        <f t="shared" ref="Q261" si="51">Q257+Q259</f>
        <v>3357443961</v>
      </c>
      <c r="R261" s="450">
        <f t="shared" si="49"/>
        <v>3550076309</v>
      </c>
      <c r="S261" s="884"/>
      <c r="T261" s="406">
        <f t="shared" si="50"/>
        <v>52606533</v>
      </c>
      <c r="U261" s="406">
        <f t="shared" si="50"/>
        <v>369829445.67000002</v>
      </c>
      <c r="V261" s="440">
        <f t="shared" si="50"/>
        <v>809590166</v>
      </c>
      <c r="W261" s="406">
        <f>W257+W259</f>
        <v>888697500</v>
      </c>
      <c r="X261" s="406">
        <f>[2]INVERSIÓN!AC37+[2]INVERSIÓN!AE37+[2]INVERSIÓN!AG37+[2]INVERSIÓN!AI37+[2]INVERSIÓN!AK37</f>
        <v>931930833</v>
      </c>
      <c r="Y261" s="406">
        <v>1873699463</v>
      </c>
      <c r="Z261" s="451">
        <v>1880899463</v>
      </c>
      <c r="AA261" s="451">
        <f>AA257+AA259</f>
        <v>1880899463</v>
      </c>
      <c r="AB261" s="451">
        <f t="shared" ref="AB261:AC261" si="52">AB257+AB259</f>
        <v>2063312620</v>
      </c>
      <c r="AC261" s="451">
        <f t="shared" si="52"/>
        <v>2981943620</v>
      </c>
      <c r="AD261" s="451">
        <v>3038155387</v>
      </c>
      <c r="AE261" s="1073">
        <f>AE257+AE259</f>
        <v>3332976547</v>
      </c>
      <c r="AF261" s="884"/>
      <c r="AG261" s="884"/>
      <c r="AH261" s="1028"/>
      <c r="AI261" s="1028"/>
      <c r="AJ261" s="1028"/>
      <c r="AK261" s="1035"/>
      <c r="AL261" s="1035"/>
      <c r="AM261" s="1035"/>
      <c r="AN261" s="1035"/>
      <c r="AO261" s="1045"/>
      <c r="AP261" s="1062"/>
      <c r="AQ261" s="1045"/>
      <c r="AR261" s="1045"/>
      <c r="AS261" s="1045"/>
      <c r="AT261" s="1044"/>
      <c r="AU261" s="1044"/>
      <c r="AV261" s="1044"/>
      <c r="AW261" s="1044"/>
      <c r="AX261" s="1044"/>
      <c r="AY261" s="1044"/>
      <c r="AZ261" s="1004"/>
    </row>
    <row r="262" spans="1:52" ht="15" customHeight="1" x14ac:dyDescent="0.25">
      <c r="A262" s="1022">
        <v>5</v>
      </c>
      <c r="B262" s="1004" t="s">
        <v>164</v>
      </c>
      <c r="C262" s="1007" t="s">
        <v>296</v>
      </c>
      <c r="D262" s="379" t="s">
        <v>149</v>
      </c>
      <c r="E262" s="420">
        <v>1</v>
      </c>
      <c r="F262" s="420">
        <v>1</v>
      </c>
      <c r="G262" s="441">
        <v>0</v>
      </c>
      <c r="H262" s="420">
        <v>1</v>
      </c>
      <c r="I262" s="420">
        <v>1</v>
      </c>
      <c r="J262" s="420">
        <v>1</v>
      </c>
      <c r="K262" s="420">
        <v>1</v>
      </c>
      <c r="L262" s="385">
        <v>1</v>
      </c>
      <c r="M262" s="398">
        <v>1</v>
      </c>
      <c r="N262" s="398">
        <v>1</v>
      </c>
      <c r="O262" s="398">
        <v>1</v>
      </c>
      <c r="P262" s="398">
        <v>1</v>
      </c>
      <c r="Q262" s="398">
        <v>1</v>
      </c>
      <c r="R262" s="396">
        <v>1</v>
      </c>
      <c r="S262" s="882"/>
      <c r="T262" s="420">
        <v>0</v>
      </c>
      <c r="U262" s="420">
        <v>0.1</v>
      </c>
      <c r="V262" s="420">
        <v>0.2</v>
      </c>
      <c r="W262" s="420">
        <v>0.25</v>
      </c>
      <c r="X262" s="420">
        <v>0.35000000000000003</v>
      </c>
      <c r="Y262" s="420">
        <v>0.4</v>
      </c>
      <c r="Z262" s="423">
        <v>0.42000000000000004</v>
      </c>
      <c r="AA262" s="423">
        <v>0.45000000000000007</v>
      </c>
      <c r="AB262" s="423">
        <v>0.55000000000000004</v>
      </c>
      <c r="AC262" s="423">
        <v>0.6</v>
      </c>
      <c r="AD262" s="423">
        <v>0.72000000000000008</v>
      </c>
      <c r="AE262" s="1067">
        <v>1</v>
      </c>
      <c r="AF262" s="882" t="s">
        <v>290</v>
      </c>
      <c r="AG262" s="882" t="s">
        <v>290</v>
      </c>
      <c r="AH262" s="1025" t="s">
        <v>293</v>
      </c>
      <c r="AI262" s="1025" t="s">
        <v>90</v>
      </c>
      <c r="AJ262" s="1025" t="s">
        <v>90</v>
      </c>
      <c r="AK262" s="1034" t="s">
        <v>90</v>
      </c>
      <c r="AL262" s="1034" t="s">
        <v>90</v>
      </c>
      <c r="AM262" s="1034" t="s">
        <v>90</v>
      </c>
      <c r="AN262" s="1034" t="s">
        <v>90</v>
      </c>
      <c r="AO262" s="1040">
        <v>7804660</v>
      </c>
      <c r="AP262" s="1056">
        <v>3721767</v>
      </c>
      <c r="AQ262" s="1041">
        <v>4082893</v>
      </c>
      <c r="AR262" s="1041" t="s">
        <v>90</v>
      </c>
      <c r="AS262" s="1041" t="s">
        <v>90</v>
      </c>
      <c r="AT262" s="1039" t="s">
        <v>90</v>
      </c>
      <c r="AU262" s="1039" t="s">
        <v>90</v>
      </c>
      <c r="AV262" s="1039" t="s">
        <v>90</v>
      </c>
      <c r="AW262" s="1039" t="s">
        <v>90</v>
      </c>
      <c r="AX262" s="1039" t="s">
        <v>90</v>
      </c>
      <c r="AY262" s="1039" t="s">
        <v>90</v>
      </c>
      <c r="AZ262" s="1004" t="s">
        <v>90</v>
      </c>
    </row>
    <row r="263" spans="1:52" ht="15" customHeight="1" x14ac:dyDescent="0.25">
      <c r="A263" s="1022"/>
      <c r="B263" s="1004"/>
      <c r="C263" s="1007"/>
      <c r="D263" s="388" t="s">
        <v>151</v>
      </c>
      <c r="E263" s="389">
        <v>204662000</v>
      </c>
      <c r="F263" s="389">
        <v>204662000</v>
      </c>
      <c r="G263" s="436">
        <v>0</v>
      </c>
      <c r="H263" s="392">
        <v>204662000</v>
      </c>
      <c r="I263" s="392">
        <v>204662000</v>
      </c>
      <c r="J263" s="392">
        <v>204662000</v>
      </c>
      <c r="K263" s="392">
        <v>204662000</v>
      </c>
      <c r="L263" s="446">
        <v>204662000</v>
      </c>
      <c r="M263" s="446">
        <v>204662000</v>
      </c>
      <c r="N263" s="446">
        <v>204662000</v>
      </c>
      <c r="O263" s="446">
        <v>204662000</v>
      </c>
      <c r="P263" s="446">
        <v>204662000</v>
      </c>
      <c r="Q263" s="446">
        <v>204662000</v>
      </c>
      <c r="R263" s="1072">
        <v>204662000</v>
      </c>
      <c r="S263" s="883"/>
      <c r="T263" s="392">
        <v>0</v>
      </c>
      <c r="U263" s="392">
        <v>0</v>
      </c>
      <c r="V263" s="392">
        <v>141777000</v>
      </c>
      <c r="W263" s="392">
        <v>166257000</v>
      </c>
      <c r="X263" s="392">
        <v>166257000</v>
      </c>
      <c r="Y263" s="392">
        <v>166257000</v>
      </c>
      <c r="Z263" s="420">
        <v>187872000</v>
      </c>
      <c r="AA263" s="420">
        <v>187872000</v>
      </c>
      <c r="AB263" s="420">
        <v>187872000</v>
      </c>
      <c r="AC263" s="420">
        <v>196467000</v>
      </c>
      <c r="AD263" s="420">
        <v>187872000</v>
      </c>
      <c r="AE263" s="409">
        <v>200436367</v>
      </c>
      <c r="AF263" s="883"/>
      <c r="AG263" s="883"/>
      <c r="AH263" s="1028"/>
      <c r="AI263" s="1028"/>
      <c r="AJ263" s="1028"/>
      <c r="AK263" s="1029"/>
      <c r="AL263" s="1029"/>
      <c r="AM263" s="1029"/>
      <c r="AN263" s="1029"/>
      <c r="AO263" s="1043"/>
      <c r="AP263" s="1059"/>
      <c r="AQ263" s="1043"/>
      <c r="AR263" s="1043"/>
      <c r="AS263" s="1043"/>
      <c r="AT263" s="1042"/>
      <c r="AU263" s="1042"/>
      <c r="AV263" s="1042"/>
      <c r="AW263" s="1042"/>
      <c r="AX263" s="1042"/>
      <c r="AY263" s="1042"/>
      <c r="AZ263" s="1004"/>
    </row>
    <row r="264" spans="1:52" ht="15" customHeight="1" x14ac:dyDescent="0.25">
      <c r="A264" s="1022"/>
      <c r="B264" s="1004"/>
      <c r="C264" s="1007"/>
      <c r="D264" s="394" t="s">
        <v>153</v>
      </c>
      <c r="E264" s="424">
        <v>0</v>
      </c>
      <c r="F264" s="424">
        <v>0</v>
      </c>
      <c r="G264" s="437">
        <v>0</v>
      </c>
      <c r="H264" s="424">
        <v>0</v>
      </c>
      <c r="I264" s="424">
        <v>0</v>
      </c>
      <c r="J264" s="424">
        <v>0</v>
      </c>
      <c r="K264" s="424">
        <v>0</v>
      </c>
      <c r="L264" s="446">
        <v>0</v>
      </c>
      <c r="M264" s="446">
        <v>0</v>
      </c>
      <c r="N264" s="446">
        <v>0</v>
      </c>
      <c r="O264" s="446">
        <v>0</v>
      </c>
      <c r="P264" s="446">
        <v>0</v>
      </c>
      <c r="Q264" s="446">
        <v>0</v>
      </c>
      <c r="R264" s="1072">
        <v>0</v>
      </c>
      <c r="S264" s="883"/>
      <c r="T264" s="424">
        <v>0</v>
      </c>
      <c r="U264" s="424">
        <v>0</v>
      </c>
      <c r="V264" s="424">
        <v>0</v>
      </c>
      <c r="W264" s="424">
        <v>0</v>
      </c>
      <c r="X264" s="424">
        <v>0</v>
      </c>
      <c r="Y264" s="424">
        <v>0</v>
      </c>
      <c r="Z264" s="420">
        <v>0</v>
      </c>
      <c r="AA264" s="420">
        <v>0</v>
      </c>
      <c r="AB264" s="420">
        <v>0</v>
      </c>
      <c r="AC264" s="420">
        <v>0</v>
      </c>
      <c r="AD264" s="420">
        <v>0</v>
      </c>
      <c r="AE264" s="409">
        <v>0</v>
      </c>
      <c r="AF264" s="883"/>
      <c r="AG264" s="883"/>
      <c r="AH264" s="1028"/>
      <c r="AI264" s="1028"/>
      <c r="AJ264" s="1028"/>
      <c r="AK264" s="1029"/>
      <c r="AL264" s="1029"/>
      <c r="AM264" s="1029"/>
      <c r="AN264" s="1029"/>
      <c r="AO264" s="1043"/>
      <c r="AP264" s="1059"/>
      <c r="AQ264" s="1043"/>
      <c r="AR264" s="1043"/>
      <c r="AS264" s="1043"/>
      <c r="AT264" s="1042"/>
      <c r="AU264" s="1042"/>
      <c r="AV264" s="1042"/>
      <c r="AW264" s="1042"/>
      <c r="AX264" s="1042"/>
      <c r="AY264" s="1042"/>
      <c r="AZ264" s="1004"/>
    </row>
    <row r="265" spans="1:52" ht="15" customHeight="1" x14ac:dyDescent="0.25">
      <c r="A265" s="1022"/>
      <c r="B265" s="1004"/>
      <c r="C265" s="1007"/>
      <c r="D265" s="388" t="s">
        <v>154</v>
      </c>
      <c r="E265" s="392">
        <v>52744200</v>
      </c>
      <c r="F265" s="392">
        <v>52744200</v>
      </c>
      <c r="G265" s="436">
        <v>20517333</v>
      </c>
      <c r="H265" s="425">
        <v>52744200</v>
      </c>
      <c r="I265" s="425">
        <v>52744200</v>
      </c>
      <c r="J265" s="425">
        <v>52744200</v>
      </c>
      <c r="K265" s="425">
        <v>52744200</v>
      </c>
      <c r="L265" s="446">
        <v>52744200</v>
      </c>
      <c r="M265" s="446">
        <v>52744200</v>
      </c>
      <c r="N265" s="446">
        <v>52744200</v>
      </c>
      <c r="O265" s="446">
        <v>52744200</v>
      </c>
      <c r="P265" s="446">
        <v>52744200</v>
      </c>
      <c r="Q265" s="446">
        <v>52744200</v>
      </c>
      <c r="R265" s="1072">
        <v>52744200</v>
      </c>
      <c r="S265" s="883"/>
      <c r="T265" s="392">
        <v>20517333</v>
      </c>
      <c r="U265" s="425">
        <v>35901333</v>
      </c>
      <c r="V265" s="425">
        <v>41768000</v>
      </c>
      <c r="W265" s="425">
        <v>52744200</v>
      </c>
      <c r="X265" s="425">
        <v>52744200</v>
      </c>
      <c r="Y265" s="425">
        <v>52744200</v>
      </c>
      <c r="Z265" s="420">
        <v>52744200</v>
      </c>
      <c r="AA265" s="420">
        <v>52744200</v>
      </c>
      <c r="AB265" s="420">
        <v>52744200</v>
      </c>
      <c r="AC265" s="420">
        <v>52744200</v>
      </c>
      <c r="AD265" s="420">
        <v>52744200</v>
      </c>
      <c r="AE265" s="409">
        <v>52744200</v>
      </c>
      <c r="AF265" s="883"/>
      <c r="AG265" s="883"/>
      <c r="AH265" s="1028"/>
      <c r="AI265" s="1028"/>
      <c r="AJ265" s="1028"/>
      <c r="AK265" s="1029"/>
      <c r="AL265" s="1029"/>
      <c r="AM265" s="1029"/>
      <c r="AN265" s="1029"/>
      <c r="AO265" s="1043"/>
      <c r="AP265" s="1059"/>
      <c r="AQ265" s="1043"/>
      <c r="AR265" s="1043"/>
      <c r="AS265" s="1043"/>
      <c r="AT265" s="1042"/>
      <c r="AU265" s="1042"/>
      <c r="AV265" s="1042"/>
      <c r="AW265" s="1042"/>
      <c r="AX265" s="1042"/>
      <c r="AY265" s="1042"/>
      <c r="AZ265" s="1004"/>
    </row>
    <row r="266" spans="1:52" ht="15" customHeight="1" x14ac:dyDescent="0.25">
      <c r="A266" s="1022"/>
      <c r="B266" s="1004"/>
      <c r="C266" s="1007"/>
      <c r="D266" s="394" t="s">
        <v>155</v>
      </c>
      <c r="E266" s="401">
        <v>1</v>
      </c>
      <c r="F266" s="401">
        <v>1</v>
      </c>
      <c r="G266" s="453">
        <v>0</v>
      </c>
      <c r="H266" s="401">
        <v>1</v>
      </c>
      <c r="I266" s="401">
        <v>1</v>
      </c>
      <c r="J266" s="401">
        <v>1</v>
      </c>
      <c r="K266" s="401">
        <v>1</v>
      </c>
      <c r="L266" s="396">
        <v>1</v>
      </c>
      <c r="M266" s="396">
        <v>1</v>
      </c>
      <c r="N266" s="396">
        <v>1</v>
      </c>
      <c r="O266" s="396">
        <v>1</v>
      </c>
      <c r="P266" s="396">
        <v>1</v>
      </c>
      <c r="Q266" s="396">
        <v>1</v>
      </c>
      <c r="R266" s="396">
        <v>1</v>
      </c>
      <c r="S266" s="883"/>
      <c r="T266" s="401">
        <v>0</v>
      </c>
      <c r="U266" s="401">
        <f t="shared" ref="U266:W267" si="53">U262+U264</f>
        <v>0.1</v>
      </c>
      <c r="V266" s="401">
        <f t="shared" si="53"/>
        <v>0.2</v>
      </c>
      <c r="W266" s="401">
        <f t="shared" si="53"/>
        <v>0.25</v>
      </c>
      <c r="X266" s="401">
        <v>0.35000000000000003</v>
      </c>
      <c r="Y266" s="401">
        <v>0.4</v>
      </c>
      <c r="Z266" s="428">
        <v>0.42000000000000004</v>
      </c>
      <c r="AA266" s="428">
        <f t="shared" ref="AA266:AD267" si="54">AA262+AA264</f>
        <v>0.45000000000000007</v>
      </c>
      <c r="AB266" s="428">
        <f t="shared" si="54"/>
        <v>0.55000000000000004</v>
      </c>
      <c r="AC266" s="428">
        <f t="shared" si="54"/>
        <v>0.6</v>
      </c>
      <c r="AD266" s="428">
        <f t="shared" si="54"/>
        <v>0.72000000000000008</v>
      </c>
      <c r="AE266" s="409">
        <f>AE262+AE264</f>
        <v>1</v>
      </c>
      <c r="AF266" s="883"/>
      <c r="AG266" s="883"/>
      <c r="AH266" s="1028"/>
      <c r="AI266" s="1028"/>
      <c r="AJ266" s="1028"/>
      <c r="AK266" s="1029"/>
      <c r="AL266" s="1029"/>
      <c r="AM266" s="1029"/>
      <c r="AN266" s="1029"/>
      <c r="AO266" s="1043"/>
      <c r="AP266" s="1059"/>
      <c r="AQ266" s="1043"/>
      <c r="AR266" s="1043"/>
      <c r="AS266" s="1043"/>
      <c r="AT266" s="1042"/>
      <c r="AU266" s="1042"/>
      <c r="AV266" s="1042"/>
      <c r="AW266" s="1042"/>
      <c r="AX266" s="1042"/>
      <c r="AY266" s="1042"/>
      <c r="AZ266" s="1004"/>
    </row>
    <row r="267" spans="1:52" ht="15" customHeight="1" thickBot="1" x14ac:dyDescent="0.3">
      <c r="A267" s="1022"/>
      <c r="B267" s="1004"/>
      <c r="C267" s="1007"/>
      <c r="D267" s="448" t="s">
        <v>156</v>
      </c>
      <c r="E267" s="406">
        <f>E263+E265</f>
        <v>257406200</v>
      </c>
      <c r="F267" s="406">
        <f>F263+F265</f>
        <v>257406200</v>
      </c>
      <c r="G267" s="440">
        <v>0</v>
      </c>
      <c r="H267" s="406">
        <v>257406200</v>
      </c>
      <c r="I267" s="406">
        <v>257406200</v>
      </c>
      <c r="J267" s="406">
        <v>257406200</v>
      </c>
      <c r="K267" s="406">
        <v>257406200</v>
      </c>
      <c r="L267" s="450">
        <v>257406200</v>
      </c>
      <c r="M267" s="450">
        <v>257406200</v>
      </c>
      <c r="N267" s="450">
        <v>257406200</v>
      </c>
      <c r="O267" s="450">
        <v>257406200</v>
      </c>
      <c r="P267" s="450">
        <v>257406200</v>
      </c>
      <c r="Q267" s="450">
        <v>257406200</v>
      </c>
      <c r="R267" s="450">
        <v>257406200</v>
      </c>
      <c r="S267" s="884"/>
      <c r="T267" s="406">
        <v>0</v>
      </c>
      <c r="U267" s="406">
        <f t="shared" si="53"/>
        <v>35901333</v>
      </c>
      <c r="V267" s="406">
        <f t="shared" si="53"/>
        <v>183545000</v>
      </c>
      <c r="W267" s="406">
        <f t="shared" si="53"/>
        <v>219001200</v>
      </c>
      <c r="X267" s="406">
        <v>219001200</v>
      </c>
      <c r="Y267" s="406">
        <v>219001200</v>
      </c>
      <c r="Z267" s="451">
        <v>240616200</v>
      </c>
      <c r="AA267" s="451">
        <f t="shared" si="54"/>
        <v>240616200</v>
      </c>
      <c r="AB267" s="451">
        <f t="shared" si="54"/>
        <v>240616200</v>
      </c>
      <c r="AC267" s="451">
        <f t="shared" si="54"/>
        <v>249211200</v>
      </c>
      <c r="AD267" s="451">
        <f t="shared" si="54"/>
        <v>240616200</v>
      </c>
      <c r="AE267" s="1071">
        <f>AE263+AE265</f>
        <v>253180567</v>
      </c>
      <c r="AF267" s="884"/>
      <c r="AG267" s="884"/>
      <c r="AH267" s="1028"/>
      <c r="AI267" s="1028"/>
      <c r="AJ267" s="1028"/>
      <c r="AK267" s="1035"/>
      <c r="AL267" s="1035"/>
      <c r="AM267" s="1035"/>
      <c r="AN267" s="1035"/>
      <c r="AO267" s="1045"/>
      <c r="AP267" s="1062"/>
      <c r="AQ267" s="1045"/>
      <c r="AR267" s="1045"/>
      <c r="AS267" s="1045"/>
      <c r="AT267" s="1044"/>
      <c r="AU267" s="1044"/>
      <c r="AV267" s="1044"/>
      <c r="AW267" s="1044"/>
      <c r="AX267" s="1044"/>
      <c r="AY267" s="1044"/>
      <c r="AZ267" s="1004"/>
    </row>
    <row r="268" spans="1:52" ht="15" customHeight="1" x14ac:dyDescent="0.25">
      <c r="A268" s="885" t="s">
        <v>297</v>
      </c>
      <c r="B268" s="886"/>
      <c r="C268" s="886"/>
      <c r="D268" s="454" t="s">
        <v>298</v>
      </c>
      <c r="E268" s="455">
        <f t="shared" ref="E268:O268" si="55">E125+E245+E251+E257+E263</f>
        <v>6969964000</v>
      </c>
      <c r="F268" s="455">
        <f t="shared" si="55"/>
        <v>6969964000</v>
      </c>
      <c r="G268" s="456">
        <f t="shared" si="55"/>
        <v>881587000</v>
      </c>
      <c r="H268" s="456">
        <f t="shared" si="55"/>
        <v>6969964000</v>
      </c>
      <c r="I268" s="456">
        <f t="shared" si="55"/>
        <v>6969964000</v>
      </c>
      <c r="J268" s="456">
        <f t="shared" si="55"/>
        <v>6969964000</v>
      </c>
      <c r="K268" s="456">
        <f t="shared" si="55"/>
        <v>7064457000</v>
      </c>
      <c r="L268" s="456">
        <f t="shared" si="55"/>
        <v>6969964000</v>
      </c>
      <c r="M268" s="456">
        <f>M125+M245+M251+M257+M263</f>
        <v>6969964000</v>
      </c>
      <c r="N268" s="456">
        <f t="shared" si="55"/>
        <v>6969964000</v>
      </c>
      <c r="O268" s="456">
        <f t="shared" si="55"/>
        <v>6991437466</v>
      </c>
      <c r="P268" s="456">
        <f t="shared" ref="P268:R268" si="56">P125+P245+P251+P257+P263</f>
        <v>6991437466</v>
      </c>
      <c r="Q268" s="456">
        <f t="shared" si="56"/>
        <v>6991437466</v>
      </c>
      <c r="R268" s="456">
        <f t="shared" si="56"/>
        <v>7198869814</v>
      </c>
      <c r="S268" s="460"/>
      <c r="T268" s="459">
        <f>T239+T245+T251+T257+T263</f>
        <v>7166000</v>
      </c>
      <c r="U268" s="459">
        <f>U239+U245+U251+U257+U263</f>
        <v>2258434000</v>
      </c>
      <c r="V268" s="459">
        <f t="shared" ref="V268:AB268" si="57">V125+V245+V251+V257+V263</f>
        <v>4211646000</v>
      </c>
      <c r="W268" s="459">
        <f t="shared" si="57"/>
        <v>4460247000</v>
      </c>
      <c r="X268" s="459">
        <f t="shared" si="57"/>
        <v>4512343400</v>
      </c>
      <c r="Y268" s="459">
        <f t="shared" si="57"/>
        <v>5754644300</v>
      </c>
      <c r="Z268" s="459">
        <f t="shared" si="57"/>
        <v>5908639300</v>
      </c>
      <c r="AA268" s="459">
        <f t="shared" si="57"/>
        <v>5914869300</v>
      </c>
      <c r="AB268" s="459">
        <f t="shared" si="57"/>
        <v>6161858924</v>
      </c>
      <c r="AC268" s="459">
        <f t="shared" ref="AC268:AE268" si="58">AC125+AC245+AC251+AC257+AC263</f>
        <v>6281852891</v>
      </c>
      <c r="AD268" s="459">
        <f t="shared" si="58"/>
        <v>6428269958</v>
      </c>
      <c r="AE268" s="459">
        <f t="shared" si="58"/>
        <v>6899439384</v>
      </c>
      <c r="AF268" s="458"/>
      <c r="AG268" s="461"/>
      <c r="AH268" s="462"/>
      <c r="AI268" s="463"/>
      <c r="AJ268" s="463"/>
      <c r="AK268" s="463"/>
      <c r="AL268" s="463"/>
      <c r="AM268" s="463"/>
      <c r="AN268" s="463"/>
      <c r="AO268" s="463"/>
      <c r="AP268" s="463"/>
      <c r="AQ268" s="464"/>
      <c r="AR268" s="465"/>
      <c r="AS268" s="463"/>
      <c r="AT268" s="463"/>
      <c r="AU268" s="463"/>
      <c r="AV268" s="463"/>
      <c r="AW268" s="463"/>
      <c r="AX268" s="463"/>
      <c r="AY268" s="465"/>
      <c r="AZ268" s="466"/>
    </row>
    <row r="269" spans="1:52" ht="15" customHeight="1" x14ac:dyDescent="0.25">
      <c r="A269" s="885"/>
      <c r="B269" s="886"/>
      <c r="C269" s="886"/>
      <c r="D269" s="454" t="s">
        <v>299</v>
      </c>
      <c r="E269" s="467">
        <f t="shared" ref="E269:O269" si="59">E127+E247+E253+E259+E265</f>
        <v>2095874328</v>
      </c>
      <c r="F269" s="467">
        <f t="shared" si="59"/>
        <v>2095874328</v>
      </c>
      <c r="G269" s="457">
        <f t="shared" si="59"/>
        <v>471647399</v>
      </c>
      <c r="H269" s="457">
        <f t="shared" si="59"/>
        <v>2095874328</v>
      </c>
      <c r="I269" s="457">
        <f t="shared" si="59"/>
        <v>2085366328</v>
      </c>
      <c r="J269" s="457">
        <f t="shared" si="59"/>
        <v>2085366328</v>
      </c>
      <c r="K269" s="457">
        <f t="shared" si="59"/>
        <v>2085366328</v>
      </c>
      <c r="L269" s="457">
        <f t="shared" si="59"/>
        <v>2085366328</v>
      </c>
      <c r="M269" s="457">
        <f t="shared" si="59"/>
        <v>2084821728</v>
      </c>
      <c r="N269" s="457">
        <f t="shared" si="59"/>
        <v>2084821728</v>
      </c>
      <c r="O269" s="457">
        <f t="shared" si="59"/>
        <v>2084821728</v>
      </c>
      <c r="P269" s="457">
        <f t="shared" ref="P269:R269" si="60">P127+P247+P253+P259+P265</f>
        <v>2084821728</v>
      </c>
      <c r="Q269" s="457">
        <f t="shared" si="60"/>
        <v>2084821728</v>
      </c>
      <c r="R269" s="457">
        <f t="shared" si="60"/>
        <v>2084821728</v>
      </c>
      <c r="S269" s="460"/>
      <c r="T269" s="468">
        <f>T241+T247+T253+T259+T265</f>
        <v>246518466</v>
      </c>
      <c r="U269" s="469">
        <f>U241+U247+U253+U259+U265</f>
        <v>687237780.67000008</v>
      </c>
      <c r="V269" s="469">
        <f>V127+V247+V253+V259+V265</f>
        <v>1032531338</v>
      </c>
      <c r="W269" s="469">
        <f>W127+W247+W253+W259+W265</f>
        <v>1095094271</v>
      </c>
      <c r="X269" s="469">
        <f>X127+X247+X253+X259+X265</f>
        <v>1130247604</v>
      </c>
      <c r="Y269" s="469">
        <f>Y127+Y247+Y253+Y259+Y265</f>
        <v>1137599234</v>
      </c>
      <c r="Z269" s="469">
        <f t="shared" ref="Z269:AB269" si="61">Z127+Z247+Z253+Z259+Z265</f>
        <v>1137599234</v>
      </c>
      <c r="AA269" s="469">
        <f t="shared" si="61"/>
        <v>1156630502</v>
      </c>
      <c r="AB269" s="469">
        <f t="shared" si="61"/>
        <v>1160083302</v>
      </c>
      <c r="AC269" s="469">
        <f t="shared" ref="AC269:AD269" si="62">AC127+AC247+AC253+AC259+AC265</f>
        <v>2078714302</v>
      </c>
      <c r="AD269" s="469">
        <f t="shared" si="62"/>
        <v>2082071302</v>
      </c>
      <c r="AE269" s="469">
        <f>AE127+AE247+AE253+AE259+AE265</f>
        <v>2082071302</v>
      </c>
      <c r="AF269" s="458"/>
      <c r="AG269" s="461"/>
      <c r="AH269" s="462"/>
      <c r="AI269" s="463"/>
      <c r="AJ269" s="463"/>
      <c r="AK269" s="463"/>
      <c r="AL269" s="463"/>
      <c r="AM269" s="463"/>
      <c r="AN269" s="463"/>
      <c r="AO269" s="463"/>
      <c r="AP269" s="463"/>
      <c r="AQ269" s="464"/>
      <c r="AR269" s="465"/>
      <c r="AS269" s="463"/>
      <c r="AT269" s="463"/>
      <c r="AU269" s="463"/>
      <c r="AV269" s="463"/>
      <c r="AW269" s="463"/>
      <c r="AX269" s="463"/>
      <c r="AY269" s="465"/>
      <c r="AZ269" s="466"/>
    </row>
    <row r="270" spans="1:52" ht="15" customHeight="1" thickBot="1" x14ac:dyDescent="0.3">
      <c r="A270" s="887"/>
      <c r="B270" s="888"/>
      <c r="C270" s="888"/>
      <c r="D270" s="470" t="s">
        <v>300</v>
      </c>
      <c r="E270" s="467">
        <f t="shared" ref="E270:K270" si="63">E268</f>
        <v>6969964000</v>
      </c>
      <c r="F270" s="467">
        <f t="shared" si="63"/>
        <v>6969964000</v>
      </c>
      <c r="G270" s="457">
        <f t="shared" si="63"/>
        <v>881587000</v>
      </c>
      <c r="H270" s="457">
        <f t="shared" si="63"/>
        <v>6969964000</v>
      </c>
      <c r="I270" s="457">
        <f t="shared" si="63"/>
        <v>6969964000</v>
      </c>
      <c r="J270" s="457">
        <f t="shared" si="63"/>
        <v>6969964000</v>
      </c>
      <c r="K270" s="457">
        <f t="shared" si="63"/>
        <v>7064457000</v>
      </c>
      <c r="L270" s="457">
        <f>L268+L269</f>
        <v>9055330328</v>
      </c>
      <c r="M270" s="457">
        <f t="shared" ref="M270:R270" si="64">M268+M269</f>
        <v>9054785728</v>
      </c>
      <c r="N270" s="457">
        <f t="shared" si="64"/>
        <v>9054785728</v>
      </c>
      <c r="O270" s="457">
        <f t="shared" si="64"/>
        <v>9076259194</v>
      </c>
      <c r="P270" s="457">
        <f t="shared" si="64"/>
        <v>9076259194</v>
      </c>
      <c r="Q270" s="457">
        <f t="shared" si="64"/>
        <v>9076259194</v>
      </c>
      <c r="R270" s="457">
        <f t="shared" si="64"/>
        <v>9283691542</v>
      </c>
      <c r="S270" s="460"/>
      <c r="T270" s="471">
        <f t="shared" ref="T270:AB270" si="65">T268+T269</f>
        <v>253684466</v>
      </c>
      <c r="U270" s="471">
        <f t="shared" si="65"/>
        <v>2945671780.6700001</v>
      </c>
      <c r="V270" s="471">
        <f t="shared" si="65"/>
        <v>5244177338</v>
      </c>
      <c r="W270" s="472">
        <f t="shared" si="65"/>
        <v>5555341271</v>
      </c>
      <c r="X270" s="472">
        <f t="shared" si="65"/>
        <v>5642591004</v>
      </c>
      <c r="Y270" s="472">
        <f t="shared" si="65"/>
        <v>6892243534</v>
      </c>
      <c r="Z270" s="472">
        <f t="shared" si="65"/>
        <v>7046238534</v>
      </c>
      <c r="AA270" s="472">
        <f t="shared" si="65"/>
        <v>7071499802</v>
      </c>
      <c r="AB270" s="472">
        <f t="shared" si="65"/>
        <v>7321942226</v>
      </c>
      <c r="AC270" s="472">
        <f t="shared" ref="AC270:AE270" si="66">AC268+AC269</f>
        <v>8360567193</v>
      </c>
      <c r="AD270" s="472">
        <f t="shared" si="66"/>
        <v>8510341260</v>
      </c>
      <c r="AE270" s="472">
        <f t="shared" si="66"/>
        <v>8981510686</v>
      </c>
      <c r="AF270" s="458"/>
      <c r="AG270" s="461"/>
      <c r="AH270" s="473"/>
      <c r="AI270" s="474"/>
      <c r="AJ270" s="474"/>
      <c r="AK270" s="474"/>
      <c r="AL270" s="474"/>
      <c r="AM270" s="474"/>
      <c r="AN270" s="474"/>
      <c r="AO270" s="474"/>
      <c r="AP270" s="474"/>
      <c r="AQ270" s="475"/>
      <c r="AR270" s="476"/>
      <c r="AS270" s="474"/>
      <c r="AT270" s="474"/>
      <c r="AU270" s="474"/>
      <c r="AV270" s="474"/>
      <c r="AW270" s="474"/>
      <c r="AX270" s="474"/>
      <c r="AY270" s="476"/>
      <c r="AZ270" s="477"/>
    </row>
    <row r="271" spans="1:52" x14ac:dyDescent="0.25">
      <c r="A271" s="478"/>
      <c r="B271" s="478"/>
      <c r="C271" s="478"/>
      <c r="D271" s="478"/>
      <c r="E271" s="479"/>
      <c r="F271" s="480"/>
      <c r="G271" s="479"/>
      <c r="H271" s="479"/>
      <c r="I271" s="479"/>
      <c r="J271" s="479"/>
      <c r="K271" s="479"/>
      <c r="L271" s="479"/>
      <c r="M271" s="786"/>
      <c r="N271" s="479"/>
      <c r="O271" s="479"/>
      <c r="P271" s="479"/>
      <c r="Q271" s="479"/>
      <c r="R271" s="479"/>
      <c r="S271" s="479"/>
      <c r="T271" s="479"/>
      <c r="U271" s="479"/>
      <c r="V271" s="479"/>
      <c r="W271" s="479"/>
      <c r="X271" s="479"/>
      <c r="Y271" s="479"/>
      <c r="Z271" s="479"/>
      <c r="AA271" s="479"/>
      <c r="AB271" s="479"/>
      <c r="AC271" s="479"/>
      <c r="AD271" s="481"/>
      <c r="AE271" s="478"/>
      <c r="AF271" s="478"/>
      <c r="AG271" s="478"/>
      <c r="AH271" s="478"/>
      <c r="AI271" s="478"/>
      <c r="AJ271" s="478"/>
      <c r="AK271" s="478"/>
      <c r="AL271" s="478"/>
      <c r="AM271" s="478"/>
      <c r="AN271" s="478"/>
      <c r="AO271" s="478"/>
      <c r="AP271" s="478"/>
      <c r="AQ271" s="482"/>
      <c r="AR271" s="482"/>
      <c r="AS271" s="478"/>
      <c r="AT271" s="478"/>
      <c r="AU271" s="478"/>
      <c r="AV271" s="478"/>
      <c r="AW271" s="478"/>
      <c r="AX271" s="478"/>
      <c r="AY271" s="482"/>
    </row>
    <row r="272" spans="1:52" s="490" customFormat="1" x14ac:dyDescent="0.25">
      <c r="A272" s="483"/>
      <c r="B272" s="484" t="s">
        <v>98</v>
      </c>
      <c r="C272" s="485"/>
      <c r="D272" s="483"/>
      <c r="E272" s="483"/>
      <c r="F272" s="483"/>
      <c r="G272" s="483"/>
      <c r="H272" s="483"/>
      <c r="I272" s="483"/>
      <c r="J272" s="483"/>
      <c r="K272" s="483"/>
      <c r="L272" s="483"/>
      <c r="M272" s="486"/>
      <c r="N272" s="486"/>
      <c r="O272" s="486"/>
      <c r="P272" s="486"/>
      <c r="Q272" s="486"/>
      <c r="R272" s="486"/>
      <c r="S272" s="486"/>
      <c r="T272" s="486"/>
      <c r="U272" s="486"/>
      <c r="V272" s="487"/>
      <c r="W272" s="483"/>
      <c r="X272" s="488"/>
      <c r="Y272" s="489"/>
    </row>
    <row r="273" spans="1:51" s="490" customFormat="1" ht="26.25" customHeight="1" x14ac:dyDescent="0.25">
      <c r="B273" s="763" t="s">
        <v>99</v>
      </c>
      <c r="C273" s="834" t="s">
        <v>100</v>
      </c>
      <c r="D273" s="835"/>
      <c r="E273" s="835"/>
      <c r="F273" s="835"/>
      <c r="G273" s="835"/>
      <c r="H273" s="835"/>
      <c r="I273" s="836"/>
      <c r="J273" s="837" t="s">
        <v>101</v>
      </c>
      <c r="K273" s="838"/>
      <c r="L273" s="838"/>
      <c r="M273" s="838"/>
      <c r="N273" s="838"/>
      <c r="O273" s="838"/>
      <c r="P273" s="839"/>
      <c r="Q273" s="486"/>
      <c r="R273" s="486"/>
      <c r="S273" s="486"/>
      <c r="T273" s="486"/>
      <c r="U273" s="486"/>
      <c r="V273" s="487"/>
      <c r="W273" s="483"/>
      <c r="X273" s="488"/>
      <c r="Y273" s="488"/>
      <c r="Z273" s="483"/>
      <c r="AA273" s="483"/>
      <c r="AB273" s="483"/>
      <c r="AC273" s="483"/>
      <c r="AD273" s="483"/>
      <c r="AE273" s="483"/>
    </row>
    <row r="274" spans="1:51" s="490" customFormat="1" ht="38.25" customHeight="1" x14ac:dyDescent="0.25">
      <c r="A274" s="483"/>
      <c r="B274" s="764">
        <v>13</v>
      </c>
      <c r="C274" s="829" t="s">
        <v>170</v>
      </c>
      <c r="D274" s="829"/>
      <c r="E274" s="829"/>
      <c r="F274" s="829"/>
      <c r="G274" s="829"/>
      <c r="H274" s="829"/>
      <c r="I274" s="829"/>
      <c r="J274" s="829" t="s">
        <v>103</v>
      </c>
      <c r="K274" s="829"/>
      <c r="L274" s="829"/>
      <c r="M274" s="829"/>
      <c r="N274" s="829"/>
      <c r="O274" s="829"/>
      <c r="P274" s="829"/>
      <c r="Q274" s="486"/>
      <c r="R274" s="486"/>
      <c r="S274" s="486"/>
      <c r="T274" s="486"/>
      <c r="U274" s="486"/>
      <c r="V274" s="487"/>
      <c r="W274" s="483"/>
      <c r="X274" s="488"/>
      <c r="Y274" s="488"/>
      <c r="Z274" s="483"/>
      <c r="AA274" s="483"/>
      <c r="AB274" s="483"/>
      <c r="AC274" s="483"/>
      <c r="AD274" s="483"/>
      <c r="AE274" s="483"/>
    </row>
    <row r="275" spans="1:51" s="490" customFormat="1" ht="26.25" customHeight="1" x14ac:dyDescent="0.25">
      <c r="A275" s="483"/>
      <c r="B275" s="764">
        <v>14</v>
      </c>
      <c r="C275" s="829" t="s">
        <v>104</v>
      </c>
      <c r="D275" s="829"/>
      <c r="E275" s="829"/>
      <c r="F275" s="829"/>
      <c r="G275" s="829"/>
      <c r="H275" s="829"/>
      <c r="I275" s="829"/>
      <c r="J275" s="831" t="s">
        <v>530</v>
      </c>
      <c r="K275" s="831"/>
      <c r="L275" s="831"/>
      <c r="M275" s="831"/>
      <c r="N275" s="831"/>
      <c r="O275" s="831"/>
      <c r="P275" s="831"/>
      <c r="Q275" s="486"/>
      <c r="R275" s="486"/>
      <c r="S275" s="486"/>
      <c r="T275" s="486"/>
      <c r="U275" s="486"/>
      <c r="V275" s="487"/>
      <c r="W275" s="483"/>
      <c r="X275" s="488"/>
      <c r="Y275" s="488"/>
      <c r="Z275" s="483"/>
      <c r="AA275" s="483"/>
      <c r="AB275" s="483"/>
      <c r="AC275" s="483"/>
      <c r="AD275" s="483"/>
      <c r="AE275" s="483"/>
    </row>
    <row r="276" spans="1:51" ht="15.75" x14ac:dyDescent="0.25">
      <c r="A276" s="491"/>
      <c r="B276" s="491"/>
      <c r="C276" s="491"/>
      <c r="D276" s="491"/>
      <c r="E276" s="492"/>
      <c r="F276" s="492"/>
      <c r="G276" s="492"/>
      <c r="H276" s="492"/>
      <c r="I276" s="492"/>
      <c r="J276" s="492"/>
      <c r="K276" s="492"/>
      <c r="L276" s="492"/>
      <c r="M276" s="787"/>
      <c r="N276" s="492"/>
      <c r="O276" s="492"/>
      <c r="P276" s="492"/>
      <c r="Q276" s="492"/>
      <c r="R276" s="491"/>
      <c r="S276" s="491"/>
      <c r="T276" s="491"/>
      <c r="U276" s="491"/>
      <c r="V276" s="491"/>
      <c r="W276" s="491"/>
      <c r="X276" s="491"/>
      <c r="Y276" s="491"/>
      <c r="Z276" s="491"/>
      <c r="AA276" s="491"/>
      <c r="AB276" s="491"/>
      <c r="AC276" s="491"/>
      <c r="AD276" s="493"/>
      <c r="AE276" s="491"/>
      <c r="AF276" s="491"/>
      <c r="AG276" s="491"/>
      <c r="AH276" s="491"/>
      <c r="AI276" s="491"/>
      <c r="AJ276" s="491"/>
      <c r="AK276" s="491"/>
      <c r="AL276" s="491"/>
      <c r="AM276" s="491"/>
      <c r="AN276" s="491"/>
      <c r="AO276" s="491"/>
      <c r="AP276" s="491"/>
      <c r="AQ276" s="491"/>
      <c r="AR276" s="491"/>
      <c r="AS276" s="491"/>
      <c r="AT276" s="491"/>
      <c r="AU276" s="491"/>
      <c r="AV276" s="491"/>
      <c r="AW276" s="491"/>
      <c r="AX276" s="491"/>
      <c r="AY276" s="491"/>
    </row>
    <row r="277" spans="1:51" x14ac:dyDescent="0.25">
      <c r="A277" s="491"/>
      <c r="B277" s="491"/>
      <c r="C277" s="491"/>
      <c r="D277" s="491"/>
      <c r="E277" s="491"/>
      <c r="F277" s="494"/>
      <c r="G277" s="491"/>
      <c r="H277" s="491"/>
      <c r="I277" s="491"/>
      <c r="J277" s="491"/>
      <c r="K277" s="491"/>
      <c r="L277" s="491"/>
      <c r="M277" s="788"/>
      <c r="N277" s="491"/>
      <c r="O277" s="491"/>
      <c r="P277" s="491"/>
      <c r="Q277" s="491"/>
      <c r="R277" s="491"/>
      <c r="S277" s="491"/>
      <c r="T277" s="491"/>
      <c r="U277" s="491"/>
      <c r="V277" s="491"/>
      <c r="W277" s="491"/>
      <c r="X277" s="491"/>
      <c r="Y277" s="491"/>
      <c r="Z277" s="491"/>
      <c r="AA277" s="491"/>
      <c r="AB277" s="491"/>
      <c r="AC277" s="491"/>
      <c r="AD277" s="495"/>
      <c r="AE277" s="491"/>
      <c r="AF277" s="491"/>
      <c r="AG277" s="491"/>
      <c r="AH277" s="491"/>
      <c r="AI277" s="491"/>
      <c r="AJ277" s="491"/>
      <c r="AK277" s="491"/>
      <c r="AL277" s="491"/>
      <c r="AM277" s="491"/>
      <c r="AN277" s="491"/>
      <c r="AO277" s="491"/>
      <c r="AP277" s="491"/>
      <c r="AQ277" s="491"/>
      <c r="AR277" s="491"/>
      <c r="AS277" s="491"/>
      <c r="AT277" s="491"/>
      <c r="AU277" s="491"/>
      <c r="AV277" s="491"/>
      <c r="AW277" s="491"/>
      <c r="AX277" s="491"/>
      <c r="AY277" s="491"/>
    </row>
    <row r="278" spans="1:51" x14ac:dyDescent="0.25">
      <c r="A278" s="491"/>
      <c r="B278" s="491"/>
      <c r="C278" s="491"/>
      <c r="D278" s="491"/>
      <c r="E278" s="496"/>
      <c r="F278" s="497"/>
      <c r="G278" s="496"/>
      <c r="H278" s="496"/>
      <c r="I278" s="496"/>
      <c r="J278" s="496"/>
      <c r="K278" s="496"/>
      <c r="L278" s="496"/>
      <c r="M278" s="788"/>
      <c r="N278" s="496"/>
      <c r="O278" s="496"/>
      <c r="P278" s="496"/>
      <c r="Q278" s="496"/>
      <c r="R278" s="496"/>
      <c r="S278" s="496"/>
      <c r="T278" s="496"/>
      <c r="U278" s="496"/>
      <c r="V278" s="496"/>
      <c r="W278" s="496"/>
      <c r="X278" s="496"/>
      <c r="Y278" s="496"/>
      <c r="Z278" s="496"/>
      <c r="AA278" s="496"/>
      <c r="AB278" s="496"/>
      <c r="AC278" s="496"/>
      <c r="AD278" s="493"/>
      <c r="AE278" s="491"/>
      <c r="AF278" s="491"/>
      <c r="AG278" s="491"/>
      <c r="AH278" s="491"/>
      <c r="AI278" s="491"/>
      <c r="AJ278" s="491"/>
      <c r="AK278" s="491"/>
      <c r="AL278" s="491"/>
      <c r="AM278" s="491"/>
      <c r="AN278" s="491"/>
      <c r="AO278" s="491"/>
      <c r="AP278" s="491"/>
      <c r="AQ278" s="491"/>
      <c r="AR278" s="491"/>
      <c r="AS278" s="491"/>
      <c r="AT278" s="491"/>
      <c r="AU278" s="491"/>
      <c r="AV278" s="491"/>
      <c r="AW278" s="491"/>
      <c r="AX278" s="491"/>
      <c r="AY278" s="491"/>
    </row>
    <row r="279" spans="1:51" x14ac:dyDescent="0.25">
      <c r="A279" s="491"/>
      <c r="B279" s="491"/>
      <c r="C279" s="491"/>
      <c r="D279" s="491"/>
      <c r="E279" s="491"/>
      <c r="F279" s="494"/>
      <c r="G279" s="491"/>
      <c r="H279" s="491"/>
      <c r="I279" s="491"/>
      <c r="J279" s="491"/>
      <c r="K279" s="491"/>
      <c r="L279" s="491"/>
      <c r="M279" s="788"/>
      <c r="N279" s="491"/>
      <c r="O279" s="491"/>
      <c r="P279" s="491"/>
      <c r="Q279" s="491"/>
      <c r="R279" s="491"/>
      <c r="S279" s="491"/>
      <c r="T279" s="491"/>
      <c r="U279" s="491"/>
      <c r="V279" s="491"/>
      <c r="W279" s="491"/>
      <c r="X279" s="491"/>
      <c r="Y279" s="491"/>
      <c r="Z279" s="491"/>
      <c r="AA279" s="491"/>
      <c r="AB279" s="491"/>
      <c r="AC279" s="491"/>
      <c r="AD279" s="493"/>
      <c r="AE279" s="491"/>
      <c r="AF279" s="491"/>
      <c r="AG279" s="491"/>
      <c r="AH279" s="491"/>
      <c r="AI279" s="491"/>
      <c r="AJ279" s="491"/>
      <c r="AK279" s="491"/>
      <c r="AL279" s="491"/>
      <c r="AM279" s="491"/>
      <c r="AN279" s="491"/>
      <c r="AO279" s="491"/>
      <c r="AP279" s="491"/>
      <c r="AQ279" s="491"/>
      <c r="AR279" s="491"/>
      <c r="AS279" s="491"/>
      <c r="AT279" s="491"/>
      <c r="AU279" s="491"/>
      <c r="AV279" s="491"/>
      <c r="AW279" s="491"/>
      <c r="AX279" s="491"/>
      <c r="AY279" s="491"/>
    </row>
    <row r="280" spans="1:51" x14ac:dyDescent="0.25">
      <c r="A280" s="491"/>
      <c r="B280" s="491"/>
      <c r="C280" s="491"/>
      <c r="D280" s="491"/>
      <c r="E280" s="491"/>
      <c r="F280" s="494"/>
      <c r="G280" s="491"/>
      <c r="H280" s="491"/>
      <c r="I280" s="491"/>
      <c r="J280" s="491"/>
      <c r="K280" s="491"/>
      <c r="L280" s="491"/>
      <c r="M280" s="788"/>
      <c r="N280" s="491"/>
      <c r="O280" s="491"/>
      <c r="P280" s="491"/>
      <c r="Q280" s="491"/>
      <c r="R280" s="491"/>
      <c r="S280" s="491"/>
      <c r="T280" s="491"/>
      <c r="U280" s="491"/>
      <c r="V280" s="491"/>
      <c r="W280" s="491"/>
      <c r="X280" s="491"/>
      <c r="Y280" s="491"/>
      <c r="Z280" s="491"/>
      <c r="AA280" s="491"/>
      <c r="AB280" s="491"/>
      <c r="AC280" s="491"/>
      <c r="AD280" s="493"/>
      <c r="AE280" s="491"/>
      <c r="AF280" s="491"/>
      <c r="AG280" s="491"/>
      <c r="AH280" s="491"/>
      <c r="AI280" s="491"/>
      <c r="AJ280" s="491"/>
      <c r="AK280" s="491"/>
      <c r="AL280" s="491"/>
      <c r="AM280" s="491"/>
      <c r="AN280" s="491"/>
      <c r="AO280" s="491"/>
      <c r="AP280" s="491"/>
      <c r="AQ280" s="491"/>
      <c r="AR280" s="491"/>
      <c r="AS280" s="491"/>
      <c r="AT280" s="491"/>
      <c r="AU280" s="491"/>
      <c r="AV280" s="491"/>
      <c r="AW280" s="491"/>
      <c r="AX280" s="491"/>
      <c r="AY280" s="491"/>
    </row>
    <row r="281" spans="1:51" x14ac:dyDescent="0.25">
      <c r="A281" s="491"/>
      <c r="B281" s="491"/>
      <c r="C281" s="491"/>
      <c r="D281" s="491"/>
      <c r="E281" s="491"/>
      <c r="F281" s="494"/>
      <c r="G281" s="491"/>
      <c r="H281" s="491"/>
      <c r="I281" s="491"/>
      <c r="J281" s="491"/>
      <c r="K281" s="491"/>
      <c r="L281" s="491"/>
      <c r="M281" s="788"/>
      <c r="N281" s="491"/>
      <c r="O281" s="491"/>
      <c r="P281" s="491"/>
      <c r="Q281" s="491"/>
      <c r="R281" s="491"/>
      <c r="S281" s="491"/>
      <c r="T281" s="491"/>
      <c r="U281" s="491"/>
      <c r="V281" s="491"/>
      <c r="W281" s="491"/>
      <c r="X281" s="491"/>
      <c r="Y281" s="491"/>
      <c r="Z281" s="491"/>
      <c r="AA281" s="491"/>
      <c r="AB281" s="491"/>
      <c r="AC281" s="491"/>
      <c r="AD281" s="493"/>
      <c r="AE281" s="491"/>
      <c r="AF281" s="491"/>
      <c r="AG281" s="491"/>
      <c r="AH281" s="491"/>
      <c r="AI281" s="491"/>
      <c r="AJ281" s="491"/>
      <c r="AK281" s="491"/>
      <c r="AL281" s="491"/>
      <c r="AM281" s="491"/>
      <c r="AN281" s="491"/>
      <c r="AO281" s="491"/>
      <c r="AP281" s="491"/>
      <c r="AQ281" s="491"/>
      <c r="AR281" s="491"/>
      <c r="AS281" s="491"/>
      <c r="AT281" s="491"/>
      <c r="AU281" s="491"/>
      <c r="AV281" s="491"/>
      <c r="AW281" s="491"/>
      <c r="AX281" s="491"/>
      <c r="AY281" s="491"/>
    </row>
    <row r="282" spans="1:51" x14ac:dyDescent="0.25">
      <c r="A282" s="491"/>
      <c r="B282" s="491"/>
      <c r="C282" s="491"/>
      <c r="D282" s="491"/>
      <c r="E282" s="491"/>
      <c r="F282" s="494"/>
      <c r="G282" s="491"/>
      <c r="H282" s="491"/>
      <c r="I282" s="491"/>
      <c r="J282" s="491"/>
      <c r="K282" s="491"/>
      <c r="L282" s="491"/>
      <c r="M282" s="788"/>
      <c r="N282" s="491"/>
      <c r="O282" s="491"/>
      <c r="P282" s="491"/>
      <c r="Q282" s="491"/>
      <c r="R282" s="491"/>
      <c r="S282" s="491"/>
      <c r="T282" s="491"/>
      <c r="U282" s="491"/>
      <c r="V282" s="491"/>
      <c r="W282" s="491"/>
      <c r="X282" s="491"/>
      <c r="Y282" s="491"/>
      <c r="Z282" s="491"/>
      <c r="AA282" s="491"/>
      <c r="AB282" s="491"/>
      <c r="AC282" s="491"/>
      <c r="AD282" s="493"/>
      <c r="AE282" s="491"/>
      <c r="AF282" s="491"/>
      <c r="AG282" s="491"/>
      <c r="AH282" s="491"/>
      <c r="AI282" s="491"/>
      <c r="AJ282" s="491"/>
      <c r="AK282" s="491"/>
      <c r="AL282" s="491"/>
      <c r="AM282" s="491"/>
      <c r="AN282" s="491"/>
      <c r="AO282" s="491"/>
      <c r="AP282" s="491"/>
      <c r="AQ282" s="491"/>
      <c r="AR282" s="491"/>
      <c r="AS282" s="491"/>
      <c r="AT282" s="491"/>
      <c r="AU282" s="491"/>
      <c r="AV282" s="491"/>
      <c r="AW282" s="491"/>
      <c r="AX282" s="491"/>
      <c r="AY282" s="491"/>
    </row>
    <row r="283" spans="1:51" x14ac:dyDescent="0.25">
      <c r="A283" s="491"/>
      <c r="B283" s="491"/>
      <c r="C283" s="491"/>
      <c r="D283" s="491"/>
      <c r="E283" s="491"/>
      <c r="F283" s="494"/>
      <c r="G283" s="491"/>
      <c r="H283" s="491"/>
      <c r="I283" s="491"/>
      <c r="J283" s="491"/>
      <c r="K283" s="491"/>
      <c r="L283" s="491"/>
      <c r="M283" s="788"/>
      <c r="N283" s="491"/>
      <c r="O283" s="491"/>
      <c r="P283" s="491"/>
      <c r="Q283" s="491"/>
      <c r="R283" s="491"/>
      <c r="S283" s="491"/>
      <c r="T283" s="491"/>
      <c r="U283" s="491"/>
      <c r="V283" s="491"/>
      <c r="W283" s="491"/>
      <c r="X283" s="491"/>
      <c r="Y283" s="491"/>
      <c r="Z283" s="491"/>
      <c r="AA283" s="491"/>
      <c r="AB283" s="491"/>
      <c r="AC283" s="491"/>
      <c r="AD283" s="493"/>
      <c r="AE283" s="491"/>
      <c r="AF283" s="491"/>
      <c r="AG283" s="491"/>
      <c r="AH283" s="491"/>
      <c r="AI283" s="491"/>
      <c r="AJ283" s="491"/>
      <c r="AK283" s="491"/>
      <c r="AL283" s="491"/>
      <c r="AM283" s="491"/>
      <c r="AN283" s="491"/>
      <c r="AO283" s="491"/>
      <c r="AP283" s="491"/>
      <c r="AQ283" s="491"/>
      <c r="AR283" s="491"/>
      <c r="AS283" s="491"/>
      <c r="AT283" s="491"/>
      <c r="AU283" s="491"/>
      <c r="AV283" s="491"/>
      <c r="AW283" s="491"/>
      <c r="AX283" s="491"/>
      <c r="AY283" s="491"/>
    </row>
    <row r="284" spans="1:51" x14ac:dyDescent="0.25">
      <c r="A284" s="491"/>
      <c r="B284" s="491"/>
      <c r="C284" s="491"/>
      <c r="D284" s="491"/>
      <c r="E284" s="491"/>
      <c r="F284" s="494"/>
      <c r="G284" s="491"/>
      <c r="H284" s="491"/>
      <c r="I284" s="491"/>
      <c r="J284" s="491"/>
      <c r="K284" s="491"/>
      <c r="L284" s="491"/>
      <c r="M284" s="788"/>
      <c r="N284" s="491"/>
      <c r="O284" s="491"/>
      <c r="P284" s="491"/>
      <c r="Q284" s="491"/>
      <c r="R284" s="491"/>
      <c r="S284" s="491"/>
      <c r="T284" s="491"/>
      <c r="U284" s="491"/>
      <c r="V284" s="491"/>
      <c r="W284" s="491"/>
      <c r="X284" s="491"/>
      <c r="Y284" s="491"/>
      <c r="Z284" s="491"/>
      <c r="AA284" s="491"/>
      <c r="AB284" s="491"/>
      <c r="AC284" s="491"/>
      <c r="AD284" s="493"/>
      <c r="AE284" s="491"/>
      <c r="AF284" s="491"/>
      <c r="AG284" s="491"/>
      <c r="AH284" s="491"/>
      <c r="AI284" s="491"/>
      <c r="AJ284" s="491"/>
      <c r="AK284" s="491"/>
      <c r="AL284" s="491"/>
      <c r="AM284" s="491"/>
      <c r="AN284" s="491"/>
      <c r="AO284" s="491"/>
      <c r="AP284" s="491"/>
      <c r="AQ284" s="491"/>
      <c r="AR284" s="491"/>
      <c r="AS284" s="491"/>
      <c r="AT284" s="491"/>
      <c r="AU284" s="491"/>
      <c r="AV284" s="491"/>
      <c r="AW284" s="491"/>
      <c r="AX284" s="491"/>
      <c r="AY284" s="491"/>
    </row>
    <row r="285" spans="1:51" x14ac:dyDescent="0.25">
      <c r="A285" s="491"/>
      <c r="B285" s="491"/>
      <c r="C285" s="491"/>
      <c r="D285" s="491"/>
      <c r="E285" s="491"/>
      <c r="F285" s="494"/>
      <c r="G285" s="491"/>
      <c r="H285" s="491"/>
      <c r="I285" s="491"/>
      <c r="J285" s="491"/>
      <c r="K285" s="491"/>
      <c r="L285" s="491"/>
      <c r="M285" s="788"/>
      <c r="N285" s="491"/>
      <c r="O285" s="491"/>
      <c r="P285" s="491"/>
      <c r="Q285" s="491"/>
      <c r="R285" s="491"/>
      <c r="S285" s="491"/>
      <c r="T285" s="491"/>
      <c r="U285" s="491"/>
      <c r="V285" s="491"/>
      <c r="W285" s="491"/>
      <c r="X285" s="491"/>
      <c r="Y285" s="491"/>
      <c r="Z285" s="491"/>
      <c r="AA285" s="491"/>
      <c r="AB285" s="491"/>
      <c r="AC285" s="491"/>
      <c r="AD285" s="493"/>
      <c r="AE285" s="491"/>
      <c r="AF285" s="491"/>
      <c r="AG285" s="491"/>
      <c r="AH285" s="491"/>
      <c r="AI285" s="491"/>
      <c r="AJ285" s="491"/>
      <c r="AK285" s="491"/>
      <c r="AL285" s="491"/>
      <c r="AM285" s="491"/>
      <c r="AN285" s="491"/>
      <c r="AO285" s="491"/>
      <c r="AP285" s="491"/>
      <c r="AQ285" s="491"/>
      <c r="AR285" s="491"/>
      <c r="AS285" s="491"/>
      <c r="AT285" s="491"/>
      <c r="AU285" s="491"/>
      <c r="AV285" s="491"/>
      <c r="AW285" s="491"/>
      <c r="AX285" s="491"/>
      <c r="AY285" s="491"/>
    </row>
    <row r="286" spans="1:51" x14ac:dyDescent="0.25">
      <c r="R286" s="491"/>
      <c r="S286" s="491"/>
      <c r="T286" s="491"/>
      <c r="U286" s="491"/>
      <c r="V286" s="491"/>
      <c r="W286" s="491"/>
      <c r="X286" s="491"/>
      <c r="Y286" s="491"/>
      <c r="Z286" s="491"/>
      <c r="AA286" s="491"/>
      <c r="AB286" s="491"/>
      <c r="AC286" s="491"/>
      <c r="AD286" s="493"/>
    </row>
    <row r="287" spans="1:51" x14ac:dyDescent="0.25">
      <c r="R287" s="491"/>
      <c r="S287" s="491"/>
      <c r="T287" s="491"/>
      <c r="U287" s="491"/>
      <c r="V287" s="491"/>
      <c r="W287" s="491"/>
      <c r="X287" s="491"/>
      <c r="Y287" s="491"/>
      <c r="Z287" s="491"/>
      <c r="AA287" s="491"/>
      <c r="AB287" s="491"/>
      <c r="AC287" s="491"/>
      <c r="AD287" s="493"/>
    </row>
    <row r="288" spans="1:51" x14ac:dyDescent="0.25">
      <c r="R288" s="491"/>
      <c r="S288" s="491"/>
      <c r="T288" s="491"/>
      <c r="U288" s="491"/>
      <c r="V288" s="491"/>
      <c r="W288" s="491"/>
      <c r="X288" s="491"/>
      <c r="Y288" s="491"/>
      <c r="Z288" s="491"/>
      <c r="AA288" s="491"/>
      <c r="AB288" s="491"/>
      <c r="AC288" s="491"/>
      <c r="AD288" s="493"/>
    </row>
    <row r="289" spans="18:30" x14ac:dyDescent="0.25">
      <c r="R289" s="491"/>
      <c r="S289" s="491"/>
      <c r="T289" s="491"/>
      <c r="U289" s="491"/>
      <c r="V289" s="491"/>
      <c r="W289" s="491"/>
      <c r="X289" s="491"/>
      <c r="Y289" s="491"/>
      <c r="Z289" s="491"/>
      <c r="AA289" s="491"/>
      <c r="AB289" s="491"/>
      <c r="AC289" s="491"/>
      <c r="AD289" s="493"/>
    </row>
    <row r="290" spans="18:30" x14ac:dyDescent="0.25">
      <c r="R290" s="491"/>
      <c r="S290" s="491"/>
      <c r="T290" s="491"/>
      <c r="U290" s="491"/>
      <c r="V290" s="491"/>
      <c r="W290" s="491"/>
      <c r="X290" s="491"/>
      <c r="Y290" s="491"/>
      <c r="Z290" s="491"/>
      <c r="AA290" s="491"/>
      <c r="AB290" s="491"/>
      <c r="AC290" s="491"/>
      <c r="AD290" s="493"/>
    </row>
    <row r="291" spans="18:30" x14ac:dyDescent="0.25">
      <c r="R291" s="491"/>
      <c r="S291" s="491"/>
      <c r="T291" s="491"/>
      <c r="U291" s="491"/>
      <c r="V291" s="491"/>
      <c r="W291" s="491"/>
      <c r="X291" s="491"/>
      <c r="Y291" s="491"/>
      <c r="Z291" s="491"/>
      <c r="AA291" s="491"/>
      <c r="AB291" s="491"/>
      <c r="AC291" s="491"/>
      <c r="AD291" s="493"/>
    </row>
    <row r="292" spans="18:30" x14ac:dyDescent="0.25">
      <c r="R292" s="491"/>
      <c r="S292" s="491"/>
      <c r="T292" s="491"/>
      <c r="U292" s="491"/>
      <c r="V292" s="491"/>
      <c r="W292" s="491"/>
      <c r="X292" s="491"/>
      <c r="Y292" s="491"/>
      <c r="Z292" s="491"/>
      <c r="AA292" s="491"/>
      <c r="AB292" s="491"/>
      <c r="AC292" s="491"/>
      <c r="AD292" s="493"/>
    </row>
    <row r="293" spans="18:30" x14ac:dyDescent="0.25">
      <c r="R293" s="491"/>
      <c r="S293" s="491"/>
      <c r="T293" s="491"/>
      <c r="U293" s="491"/>
      <c r="V293" s="491"/>
      <c r="W293" s="491"/>
      <c r="X293" s="491"/>
      <c r="Y293" s="491"/>
      <c r="Z293" s="491"/>
      <c r="AA293" s="491"/>
      <c r="AB293" s="491"/>
      <c r="AC293" s="491"/>
      <c r="AD293" s="493"/>
    </row>
    <row r="294" spans="18:30" x14ac:dyDescent="0.25">
      <c r="R294" s="491"/>
      <c r="S294" s="491"/>
      <c r="T294" s="491"/>
      <c r="U294" s="491"/>
      <c r="V294" s="491"/>
      <c r="W294" s="491"/>
      <c r="X294" s="491"/>
      <c r="Y294" s="491"/>
      <c r="Z294" s="491"/>
      <c r="AA294" s="491"/>
      <c r="AB294" s="491"/>
      <c r="AC294" s="491"/>
      <c r="AD294" s="493"/>
    </row>
    <row r="295" spans="18:30" x14ac:dyDescent="0.25">
      <c r="R295" s="491"/>
      <c r="S295" s="491"/>
      <c r="T295" s="491"/>
      <c r="U295" s="491"/>
      <c r="V295" s="491"/>
      <c r="W295" s="491"/>
      <c r="X295" s="491"/>
      <c r="Y295" s="491"/>
      <c r="Z295" s="491"/>
      <c r="AA295" s="491"/>
      <c r="AB295" s="491"/>
      <c r="AC295" s="491"/>
      <c r="AD295" s="493"/>
    </row>
    <row r="296" spans="18:30" x14ac:dyDescent="0.25">
      <c r="R296" s="491"/>
      <c r="S296" s="491"/>
      <c r="T296" s="491"/>
      <c r="U296" s="491"/>
      <c r="V296" s="491"/>
      <c r="W296" s="491"/>
      <c r="X296" s="491"/>
      <c r="Y296" s="491"/>
      <c r="Z296" s="491"/>
      <c r="AA296" s="491"/>
      <c r="AB296" s="491"/>
      <c r="AC296" s="491"/>
      <c r="AD296" s="493"/>
    </row>
    <row r="297" spans="18:30" x14ac:dyDescent="0.25">
      <c r="R297" s="491"/>
      <c r="S297" s="491"/>
      <c r="T297" s="491"/>
      <c r="U297" s="491"/>
      <c r="V297" s="491"/>
      <c r="W297" s="491"/>
      <c r="X297" s="491"/>
      <c r="Y297" s="491"/>
      <c r="Z297" s="491"/>
      <c r="AA297" s="491"/>
      <c r="AB297" s="491"/>
      <c r="AC297" s="491"/>
      <c r="AD297" s="493"/>
    </row>
    <row r="298" spans="18:30" x14ac:dyDescent="0.25">
      <c r="R298" s="491"/>
      <c r="S298" s="491"/>
      <c r="T298" s="491"/>
      <c r="U298" s="491"/>
      <c r="V298" s="491"/>
      <c r="W298" s="491"/>
      <c r="X298" s="491"/>
      <c r="Y298" s="491"/>
      <c r="Z298" s="491"/>
      <c r="AA298" s="491"/>
      <c r="AB298" s="491"/>
      <c r="AC298" s="491"/>
      <c r="AD298" s="493"/>
    </row>
    <row r="299" spans="18:30" x14ac:dyDescent="0.25">
      <c r="R299" s="491"/>
      <c r="S299" s="491"/>
      <c r="T299" s="491"/>
      <c r="U299" s="491"/>
      <c r="V299" s="491"/>
      <c r="W299" s="491"/>
      <c r="X299" s="491"/>
      <c r="Y299" s="491"/>
      <c r="Z299" s="491"/>
      <c r="AA299" s="491"/>
      <c r="AB299" s="491"/>
      <c r="AC299" s="491"/>
      <c r="AD299" s="493"/>
    </row>
    <row r="300" spans="18:30" x14ac:dyDescent="0.25">
      <c r="R300" s="491"/>
      <c r="S300" s="491"/>
      <c r="T300" s="491"/>
      <c r="U300" s="491"/>
      <c r="V300" s="491"/>
      <c r="W300" s="491"/>
      <c r="X300" s="491"/>
      <c r="Y300" s="491"/>
      <c r="Z300" s="491"/>
      <c r="AA300" s="491"/>
      <c r="AB300" s="491"/>
      <c r="AC300" s="491"/>
      <c r="AD300" s="493"/>
    </row>
    <row r="301" spans="18:30" x14ac:dyDescent="0.25">
      <c r="R301" s="491"/>
      <c r="S301" s="491"/>
      <c r="T301" s="491"/>
      <c r="U301" s="491"/>
      <c r="V301" s="491"/>
      <c r="W301" s="491"/>
      <c r="X301" s="491"/>
      <c r="Y301" s="491"/>
      <c r="Z301" s="491"/>
      <c r="AA301" s="491"/>
      <c r="AB301" s="491"/>
      <c r="AC301" s="491"/>
      <c r="AD301" s="493"/>
    </row>
    <row r="302" spans="18:30" x14ac:dyDescent="0.25">
      <c r="R302" s="491"/>
      <c r="S302" s="491"/>
      <c r="T302" s="491"/>
      <c r="U302" s="491"/>
      <c r="V302" s="491"/>
      <c r="W302" s="491"/>
      <c r="X302" s="491"/>
      <c r="Y302" s="491"/>
      <c r="Z302" s="491"/>
      <c r="AA302" s="491"/>
      <c r="AB302" s="491"/>
      <c r="AC302" s="491"/>
      <c r="AD302" s="493"/>
    </row>
    <row r="303" spans="18:30" x14ac:dyDescent="0.25">
      <c r="R303" s="491"/>
      <c r="S303" s="491"/>
      <c r="T303" s="491"/>
      <c r="U303" s="491"/>
      <c r="V303" s="491"/>
      <c r="W303" s="491"/>
      <c r="X303" s="491"/>
      <c r="Y303" s="491"/>
      <c r="Z303" s="491"/>
      <c r="AA303" s="491"/>
      <c r="AB303" s="491"/>
      <c r="AC303" s="491"/>
      <c r="AD303" s="493"/>
    </row>
    <row r="304" spans="18:30" x14ac:dyDescent="0.25">
      <c r="R304" s="491"/>
      <c r="S304" s="491"/>
      <c r="T304" s="491"/>
      <c r="U304" s="491"/>
      <c r="V304" s="491"/>
      <c r="W304" s="491"/>
      <c r="X304" s="491"/>
      <c r="Y304" s="491"/>
      <c r="Z304" s="491"/>
      <c r="AA304" s="491"/>
      <c r="AB304" s="491"/>
      <c r="AC304" s="491"/>
      <c r="AD304" s="493"/>
    </row>
    <row r="305" spans="18:30" x14ac:dyDescent="0.25">
      <c r="R305" s="491"/>
      <c r="S305" s="491"/>
      <c r="T305" s="491"/>
      <c r="U305" s="491"/>
      <c r="V305" s="491"/>
      <c r="W305" s="491"/>
      <c r="X305" s="491"/>
      <c r="Y305" s="491"/>
      <c r="Z305" s="491"/>
      <c r="AA305" s="491"/>
      <c r="AB305" s="491"/>
      <c r="AC305" s="491"/>
      <c r="AD305" s="493"/>
    </row>
    <row r="306" spans="18:30" x14ac:dyDescent="0.25">
      <c r="R306" s="491"/>
      <c r="S306" s="491"/>
      <c r="T306" s="491"/>
      <c r="U306" s="491"/>
      <c r="V306" s="491"/>
      <c r="W306" s="491"/>
      <c r="X306" s="491"/>
      <c r="Y306" s="491"/>
      <c r="Z306" s="491"/>
      <c r="AA306" s="491"/>
      <c r="AB306" s="491"/>
      <c r="AC306" s="491"/>
      <c r="AD306" s="493"/>
    </row>
    <row r="307" spans="18:30" x14ac:dyDescent="0.25">
      <c r="R307" s="491"/>
      <c r="S307" s="491"/>
      <c r="T307" s="491"/>
      <c r="U307" s="491"/>
      <c r="V307" s="491"/>
      <c r="W307" s="491"/>
      <c r="X307" s="491"/>
      <c r="Y307" s="491"/>
      <c r="Z307" s="491"/>
      <c r="AA307" s="491"/>
      <c r="AB307" s="491"/>
      <c r="AC307" s="491"/>
      <c r="AD307" s="493"/>
    </row>
    <row r="308" spans="18:30" x14ac:dyDescent="0.25">
      <c r="R308" s="491"/>
      <c r="S308" s="491"/>
      <c r="T308" s="491"/>
      <c r="U308" s="491"/>
      <c r="V308" s="491"/>
      <c r="W308" s="491"/>
      <c r="X308" s="491"/>
      <c r="Y308" s="491"/>
      <c r="Z308" s="491"/>
      <c r="AA308" s="491"/>
      <c r="AB308" s="491"/>
      <c r="AC308" s="491"/>
      <c r="AD308" s="493"/>
    </row>
    <row r="309" spans="18:30" x14ac:dyDescent="0.25">
      <c r="R309" s="491"/>
      <c r="S309" s="491"/>
      <c r="T309" s="491"/>
      <c r="U309" s="491"/>
      <c r="V309" s="491"/>
      <c r="W309" s="491"/>
      <c r="X309" s="491"/>
      <c r="Y309" s="491"/>
      <c r="Z309" s="491"/>
      <c r="AA309" s="491"/>
      <c r="AB309" s="491"/>
      <c r="AC309" s="491"/>
      <c r="AD309" s="493"/>
    </row>
    <row r="310" spans="18:30" x14ac:dyDescent="0.25">
      <c r="R310" s="491"/>
      <c r="S310" s="491"/>
      <c r="T310" s="491"/>
      <c r="U310" s="491"/>
      <c r="V310" s="491"/>
      <c r="W310" s="491"/>
      <c r="X310" s="491"/>
      <c r="Y310" s="491"/>
      <c r="Z310" s="491"/>
      <c r="AA310" s="491"/>
      <c r="AB310" s="491"/>
      <c r="AC310" s="491"/>
      <c r="AD310" s="493"/>
    </row>
    <row r="311" spans="18:30" x14ac:dyDescent="0.25">
      <c r="R311" s="491"/>
      <c r="S311" s="491"/>
      <c r="T311" s="491"/>
      <c r="U311" s="491"/>
      <c r="V311" s="491"/>
      <c r="W311" s="491"/>
      <c r="X311" s="491"/>
      <c r="Y311" s="491"/>
      <c r="Z311" s="491"/>
      <c r="AA311" s="491"/>
      <c r="AB311" s="491"/>
      <c r="AC311" s="491"/>
      <c r="AD311" s="493"/>
    </row>
    <row r="312" spans="18:30" x14ac:dyDescent="0.25">
      <c r="R312" s="491"/>
      <c r="S312" s="491"/>
      <c r="T312" s="491"/>
      <c r="U312" s="491"/>
      <c r="V312" s="491"/>
      <c r="W312" s="491"/>
      <c r="X312" s="491"/>
      <c r="Y312" s="491"/>
      <c r="Z312" s="491"/>
      <c r="AA312" s="491"/>
      <c r="AB312" s="491"/>
      <c r="AC312" s="491"/>
      <c r="AD312" s="493"/>
    </row>
    <row r="313" spans="18:30" x14ac:dyDescent="0.25">
      <c r="R313" s="491"/>
      <c r="S313" s="491"/>
      <c r="T313" s="491"/>
      <c r="U313" s="491"/>
      <c r="V313" s="491"/>
      <c r="W313" s="491"/>
      <c r="X313" s="491"/>
      <c r="Y313" s="491"/>
      <c r="Z313" s="491"/>
      <c r="AA313" s="491"/>
      <c r="AB313" s="491"/>
      <c r="AC313" s="491"/>
      <c r="AD313" s="493"/>
    </row>
    <row r="314" spans="18:30" x14ac:dyDescent="0.25">
      <c r="R314" s="491"/>
      <c r="S314" s="491"/>
      <c r="T314" s="491"/>
      <c r="U314" s="491"/>
      <c r="V314" s="491"/>
      <c r="W314" s="491"/>
      <c r="X314" s="491"/>
      <c r="Y314" s="491"/>
      <c r="Z314" s="491"/>
      <c r="AA314" s="491"/>
      <c r="AB314" s="491"/>
      <c r="AC314" s="491"/>
      <c r="AD314" s="493"/>
    </row>
    <row r="315" spans="18:30" x14ac:dyDescent="0.25">
      <c r="R315" s="491"/>
      <c r="S315" s="491"/>
      <c r="T315" s="491"/>
      <c r="U315" s="491"/>
      <c r="V315" s="491"/>
      <c r="W315" s="491"/>
      <c r="X315" s="491"/>
      <c r="Y315" s="491"/>
      <c r="Z315" s="491"/>
      <c r="AA315" s="491"/>
      <c r="AB315" s="491"/>
      <c r="AC315" s="491"/>
      <c r="AD315" s="493"/>
    </row>
    <row r="316" spans="18:30" x14ac:dyDescent="0.25">
      <c r="R316" s="491"/>
      <c r="S316" s="491"/>
      <c r="T316" s="491"/>
      <c r="U316" s="491"/>
      <c r="V316" s="491"/>
      <c r="W316" s="491"/>
      <c r="X316" s="491"/>
      <c r="Y316" s="491"/>
      <c r="Z316" s="491"/>
      <c r="AA316" s="491"/>
      <c r="AB316" s="491"/>
      <c r="AC316" s="491"/>
      <c r="AD316" s="493"/>
    </row>
    <row r="317" spans="18:30" x14ac:dyDescent="0.25">
      <c r="R317" s="491"/>
      <c r="S317" s="491"/>
      <c r="T317" s="491"/>
      <c r="U317" s="491"/>
      <c r="V317" s="491"/>
      <c r="W317" s="491"/>
      <c r="X317" s="491"/>
      <c r="Y317" s="491"/>
      <c r="Z317" s="491"/>
      <c r="AA317" s="491"/>
      <c r="AB317" s="491"/>
      <c r="AC317" s="491"/>
      <c r="AD317" s="493"/>
    </row>
    <row r="318" spans="18:30" x14ac:dyDescent="0.25">
      <c r="R318" s="491"/>
      <c r="S318" s="491"/>
      <c r="T318" s="491"/>
      <c r="U318" s="491"/>
      <c r="V318" s="491"/>
      <c r="W318" s="491"/>
      <c r="X318" s="491"/>
      <c r="Y318" s="491"/>
      <c r="Z318" s="491"/>
      <c r="AA318" s="491"/>
      <c r="AB318" s="491"/>
      <c r="AC318" s="491"/>
      <c r="AD318" s="493"/>
    </row>
    <row r="319" spans="18:30" x14ac:dyDescent="0.25">
      <c r="R319" s="491"/>
      <c r="S319" s="491"/>
      <c r="T319" s="491"/>
      <c r="U319" s="491"/>
      <c r="V319" s="491"/>
      <c r="W319" s="491"/>
      <c r="X319" s="491"/>
      <c r="Y319" s="491"/>
      <c r="Z319" s="491"/>
      <c r="AA319" s="491"/>
      <c r="AB319" s="491"/>
      <c r="AC319" s="491"/>
      <c r="AD319" s="493"/>
    </row>
    <row r="320" spans="18:30" x14ac:dyDescent="0.25">
      <c r="R320" s="491"/>
      <c r="S320" s="491"/>
      <c r="T320" s="491"/>
      <c r="U320" s="491"/>
      <c r="V320" s="491"/>
      <c r="W320" s="491"/>
      <c r="X320" s="491"/>
      <c r="Y320" s="491"/>
      <c r="Z320" s="491"/>
      <c r="AA320" s="491"/>
      <c r="AB320" s="491"/>
      <c r="AC320" s="491"/>
      <c r="AD320" s="493"/>
    </row>
    <row r="321" spans="18:30" x14ac:dyDescent="0.25">
      <c r="R321" s="491"/>
      <c r="S321" s="491"/>
      <c r="T321" s="491"/>
      <c r="U321" s="491"/>
      <c r="V321" s="491"/>
      <c r="W321" s="491"/>
      <c r="X321" s="491"/>
      <c r="Y321" s="491"/>
      <c r="Z321" s="491"/>
      <c r="AA321" s="491"/>
      <c r="AB321" s="491"/>
      <c r="AC321" s="491"/>
      <c r="AD321" s="493"/>
    </row>
    <row r="322" spans="18:30" x14ac:dyDescent="0.25">
      <c r="R322" s="491"/>
      <c r="S322" s="491"/>
      <c r="T322" s="491"/>
      <c r="U322" s="491"/>
      <c r="V322" s="491"/>
      <c r="W322" s="491"/>
      <c r="X322" s="491"/>
      <c r="Y322" s="491"/>
      <c r="Z322" s="491"/>
      <c r="AA322" s="491"/>
      <c r="AB322" s="491"/>
      <c r="AC322" s="491"/>
      <c r="AD322" s="493"/>
    </row>
    <row r="323" spans="18:30" x14ac:dyDescent="0.25">
      <c r="R323" s="491"/>
      <c r="S323" s="491"/>
      <c r="T323" s="491"/>
      <c r="U323" s="491"/>
      <c r="V323" s="491"/>
      <c r="W323" s="491"/>
      <c r="X323" s="491"/>
      <c r="Y323" s="491"/>
      <c r="Z323" s="491"/>
      <c r="AA323" s="491"/>
      <c r="AB323" s="491"/>
      <c r="AC323" s="491"/>
      <c r="AD323" s="493"/>
    </row>
    <row r="324" spans="18:30" x14ac:dyDescent="0.25">
      <c r="R324" s="491"/>
      <c r="S324" s="491"/>
      <c r="T324" s="491"/>
      <c r="U324" s="491"/>
      <c r="V324" s="491"/>
      <c r="W324" s="491"/>
      <c r="X324" s="491"/>
      <c r="Y324" s="491"/>
      <c r="Z324" s="491"/>
      <c r="AA324" s="491"/>
      <c r="AB324" s="491"/>
      <c r="AC324" s="491"/>
      <c r="AD324" s="493"/>
    </row>
    <row r="325" spans="18:30" x14ac:dyDescent="0.25">
      <c r="R325" s="491"/>
      <c r="S325" s="491"/>
      <c r="T325" s="491"/>
      <c r="U325" s="491"/>
      <c r="V325" s="491"/>
      <c r="W325" s="491"/>
      <c r="X325" s="491"/>
      <c r="Y325" s="491"/>
      <c r="Z325" s="491"/>
      <c r="AA325" s="491"/>
      <c r="AB325" s="491"/>
      <c r="AC325" s="491"/>
      <c r="AD325" s="493"/>
    </row>
    <row r="326" spans="18:30" x14ac:dyDescent="0.25">
      <c r="R326" s="491"/>
      <c r="S326" s="491"/>
      <c r="T326" s="491"/>
      <c r="U326" s="491"/>
      <c r="V326" s="491"/>
      <c r="W326" s="491"/>
      <c r="X326" s="491"/>
      <c r="Y326" s="491"/>
      <c r="Z326" s="491"/>
      <c r="AA326" s="491"/>
      <c r="AB326" s="491"/>
      <c r="AC326" s="491"/>
      <c r="AD326" s="493"/>
    </row>
    <row r="327" spans="18:30" x14ac:dyDescent="0.25">
      <c r="R327" s="491"/>
      <c r="S327" s="491"/>
      <c r="T327" s="491"/>
      <c r="U327" s="491"/>
      <c r="V327" s="491"/>
      <c r="W327" s="491"/>
      <c r="X327" s="491"/>
      <c r="Y327" s="491"/>
      <c r="Z327" s="491"/>
      <c r="AA327" s="491"/>
      <c r="AB327" s="491"/>
      <c r="AC327" s="491"/>
      <c r="AD327" s="493"/>
    </row>
    <row r="328" spans="18:30" x14ac:dyDescent="0.25">
      <c r="R328" s="491"/>
      <c r="S328" s="491"/>
      <c r="T328" s="491"/>
      <c r="U328" s="491"/>
      <c r="V328" s="491"/>
      <c r="W328" s="491"/>
      <c r="X328" s="491"/>
      <c r="Y328" s="491"/>
      <c r="Z328" s="491"/>
      <c r="AA328" s="491"/>
      <c r="AB328" s="491"/>
      <c r="AC328" s="491"/>
      <c r="AD328" s="493"/>
    </row>
    <row r="329" spans="18:30" x14ac:dyDescent="0.25">
      <c r="R329" s="491"/>
      <c r="S329" s="491"/>
      <c r="T329" s="491"/>
      <c r="U329" s="491"/>
      <c r="V329" s="491"/>
      <c r="W329" s="491"/>
      <c r="X329" s="491"/>
      <c r="Y329" s="491"/>
      <c r="Z329" s="491"/>
      <c r="AA329" s="491"/>
      <c r="AB329" s="491"/>
      <c r="AC329" s="491"/>
      <c r="AD329" s="493"/>
    </row>
    <row r="330" spans="18:30" x14ac:dyDescent="0.25">
      <c r="R330" s="491"/>
      <c r="S330" s="491"/>
      <c r="T330" s="491"/>
      <c r="U330" s="491"/>
      <c r="V330" s="491"/>
      <c r="W330" s="491"/>
      <c r="X330" s="491"/>
      <c r="Y330" s="491"/>
      <c r="Z330" s="491"/>
      <c r="AA330" s="491"/>
      <c r="AB330" s="491"/>
      <c r="AC330" s="491"/>
      <c r="AD330" s="493"/>
    </row>
    <row r="331" spans="18:30" x14ac:dyDescent="0.25">
      <c r="R331" s="491"/>
      <c r="S331" s="491"/>
      <c r="T331" s="491"/>
      <c r="U331" s="491"/>
      <c r="V331" s="491"/>
      <c r="W331" s="491"/>
      <c r="X331" s="491"/>
      <c r="Y331" s="491"/>
      <c r="Z331" s="491"/>
      <c r="AA331" s="491"/>
      <c r="AB331" s="491"/>
      <c r="AC331" s="491"/>
      <c r="AD331" s="493"/>
    </row>
    <row r="332" spans="18:30" x14ac:dyDescent="0.25">
      <c r="R332" s="491"/>
      <c r="S332" s="491"/>
      <c r="T332" s="491"/>
      <c r="U332" s="491"/>
      <c r="V332" s="491"/>
      <c r="W332" s="491"/>
      <c r="X332" s="491"/>
      <c r="Y332" s="491"/>
      <c r="Z332" s="491"/>
      <c r="AA332" s="491"/>
      <c r="AB332" s="491"/>
      <c r="AC332" s="491"/>
      <c r="AD332" s="493"/>
    </row>
    <row r="333" spans="18:30" x14ac:dyDescent="0.25">
      <c r="R333" s="491"/>
      <c r="S333" s="491"/>
      <c r="T333" s="491"/>
      <c r="U333" s="491"/>
      <c r="V333" s="491"/>
      <c r="W333" s="491"/>
      <c r="X333" s="491"/>
      <c r="Y333" s="491"/>
      <c r="Z333" s="491"/>
      <c r="AA333" s="491"/>
      <c r="AB333" s="491"/>
      <c r="AC333" s="491"/>
      <c r="AD333" s="493"/>
    </row>
    <row r="334" spans="18:30" x14ac:dyDescent="0.25">
      <c r="R334" s="491"/>
      <c r="S334" s="491"/>
      <c r="T334" s="491"/>
      <c r="U334" s="491"/>
      <c r="V334" s="491"/>
      <c r="W334" s="491"/>
      <c r="X334" s="491"/>
      <c r="Y334" s="491"/>
      <c r="Z334" s="491"/>
      <c r="AA334" s="491"/>
      <c r="AB334" s="491"/>
      <c r="AC334" s="491"/>
      <c r="AD334" s="493"/>
    </row>
    <row r="335" spans="18:30" x14ac:dyDescent="0.25">
      <c r="R335" s="491"/>
      <c r="S335" s="491"/>
      <c r="T335" s="491"/>
      <c r="U335" s="491"/>
      <c r="V335" s="491"/>
      <c r="W335" s="491"/>
      <c r="X335" s="491"/>
      <c r="Y335" s="491"/>
      <c r="Z335" s="491"/>
      <c r="AA335" s="491"/>
      <c r="AB335" s="491"/>
      <c r="AC335" s="491"/>
      <c r="AD335" s="493"/>
    </row>
    <row r="336" spans="18:30" x14ac:dyDescent="0.25">
      <c r="R336" s="491"/>
      <c r="S336" s="491"/>
      <c r="T336" s="491"/>
      <c r="U336" s="491"/>
      <c r="V336" s="491"/>
      <c r="W336" s="491"/>
      <c r="X336" s="491"/>
      <c r="Y336" s="491"/>
      <c r="Z336" s="491"/>
      <c r="AA336" s="491"/>
      <c r="AB336" s="491"/>
      <c r="AC336" s="491"/>
      <c r="AD336" s="493"/>
    </row>
    <row r="337" spans="18:30" x14ac:dyDescent="0.25">
      <c r="R337" s="491"/>
      <c r="S337" s="491"/>
      <c r="T337" s="491"/>
      <c r="U337" s="491"/>
      <c r="V337" s="491"/>
      <c r="W337" s="491"/>
      <c r="X337" s="491"/>
      <c r="Y337" s="491"/>
      <c r="Z337" s="491"/>
      <c r="AA337" s="491"/>
      <c r="AB337" s="491"/>
      <c r="AC337" s="491"/>
      <c r="AD337" s="493"/>
    </row>
    <row r="338" spans="18:30" x14ac:dyDescent="0.25">
      <c r="R338" s="491"/>
      <c r="S338" s="491"/>
      <c r="T338" s="491"/>
      <c r="U338" s="491"/>
      <c r="V338" s="491"/>
      <c r="W338" s="491"/>
      <c r="X338" s="491"/>
      <c r="Y338" s="491"/>
      <c r="Z338" s="491"/>
      <c r="AA338" s="491"/>
      <c r="AB338" s="491"/>
      <c r="AC338" s="491"/>
      <c r="AD338" s="493"/>
    </row>
    <row r="339" spans="18:30" x14ac:dyDescent="0.25">
      <c r="R339" s="491"/>
      <c r="S339" s="491"/>
      <c r="T339" s="491"/>
      <c r="U339" s="491"/>
      <c r="V339" s="491"/>
      <c r="W339" s="491"/>
      <c r="X339" s="491"/>
      <c r="Y339" s="491"/>
      <c r="Z339" s="491"/>
      <c r="AA339" s="491"/>
      <c r="AB339" s="491"/>
      <c r="AC339" s="491"/>
      <c r="AD339" s="493"/>
    </row>
    <row r="340" spans="18:30" x14ac:dyDescent="0.25">
      <c r="R340" s="491"/>
      <c r="S340" s="491"/>
      <c r="T340" s="491"/>
      <c r="U340" s="491"/>
      <c r="V340" s="491"/>
      <c r="W340" s="491"/>
      <c r="X340" s="491"/>
      <c r="Y340" s="491"/>
      <c r="Z340" s="491"/>
      <c r="AA340" s="491"/>
      <c r="AB340" s="491"/>
      <c r="AC340" s="491"/>
      <c r="AD340" s="493"/>
    </row>
    <row r="341" spans="18:30" x14ac:dyDescent="0.25">
      <c r="R341" s="491"/>
      <c r="S341" s="491"/>
      <c r="T341" s="491"/>
      <c r="U341" s="491"/>
      <c r="V341" s="491"/>
      <c r="W341" s="491"/>
      <c r="X341" s="491"/>
      <c r="Y341" s="491"/>
      <c r="Z341" s="491"/>
      <c r="AA341" s="491"/>
      <c r="AB341" s="491"/>
      <c r="AC341" s="491"/>
      <c r="AD341" s="493"/>
    </row>
    <row r="342" spans="18:30" x14ac:dyDescent="0.25">
      <c r="R342" s="491"/>
      <c r="S342" s="491"/>
      <c r="T342" s="491"/>
      <c r="U342" s="491"/>
      <c r="V342" s="491"/>
      <c r="W342" s="491"/>
      <c r="X342" s="491"/>
      <c r="Y342" s="491"/>
      <c r="Z342" s="491"/>
      <c r="AA342" s="491"/>
      <c r="AB342" s="491"/>
      <c r="AC342" s="491"/>
      <c r="AD342" s="493"/>
    </row>
    <row r="343" spans="18:30" x14ac:dyDescent="0.25">
      <c r="R343" s="491"/>
      <c r="S343" s="491"/>
      <c r="T343" s="491"/>
      <c r="U343" s="491"/>
      <c r="V343" s="491"/>
      <c r="W343" s="491"/>
      <c r="X343" s="491"/>
      <c r="Y343" s="491"/>
      <c r="Z343" s="491"/>
      <c r="AA343" s="491"/>
      <c r="AB343" s="491"/>
      <c r="AC343" s="491"/>
      <c r="AD343" s="493"/>
    </row>
    <row r="344" spans="18:30" x14ac:dyDescent="0.25">
      <c r="R344" s="491"/>
      <c r="S344" s="491"/>
      <c r="T344" s="491"/>
      <c r="U344" s="491"/>
      <c r="V344" s="491"/>
      <c r="W344" s="491"/>
      <c r="X344" s="491"/>
      <c r="Y344" s="491"/>
      <c r="Z344" s="491"/>
      <c r="AA344" s="491"/>
      <c r="AB344" s="491"/>
      <c r="AC344" s="491"/>
      <c r="AD344" s="493"/>
    </row>
    <row r="345" spans="18:30" x14ac:dyDescent="0.25">
      <c r="R345" s="491"/>
      <c r="S345" s="491"/>
      <c r="T345" s="491"/>
      <c r="U345" s="491"/>
      <c r="V345" s="491"/>
      <c r="W345" s="491"/>
      <c r="X345" s="491"/>
      <c r="Y345" s="491"/>
      <c r="Z345" s="491"/>
      <c r="AA345" s="491"/>
      <c r="AB345" s="491"/>
      <c r="AC345" s="491"/>
      <c r="AD345" s="493"/>
    </row>
    <row r="346" spans="18:30" x14ac:dyDescent="0.25">
      <c r="R346" s="491"/>
      <c r="S346" s="491"/>
      <c r="T346" s="491"/>
      <c r="U346" s="491"/>
      <c r="V346" s="491"/>
      <c r="W346" s="491"/>
      <c r="X346" s="491"/>
      <c r="Y346" s="491"/>
      <c r="Z346" s="491"/>
      <c r="AA346" s="491"/>
      <c r="AB346" s="491"/>
      <c r="AC346" s="491"/>
      <c r="AD346" s="493"/>
    </row>
    <row r="347" spans="18:30" x14ac:dyDescent="0.25">
      <c r="R347" s="491"/>
      <c r="S347" s="491"/>
      <c r="T347" s="491"/>
      <c r="U347" s="491"/>
      <c r="V347" s="491"/>
      <c r="W347" s="491"/>
      <c r="X347" s="491"/>
      <c r="Y347" s="491"/>
      <c r="Z347" s="491"/>
      <c r="AA347" s="491"/>
      <c r="AB347" s="491"/>
      <c r="AC347" s="491"/>
      <c r="AD347" s="493"/>
    </row>
    <row r="348" spans="18:30" x14ac:dyDescent="0.25">
      <c r="R348" s="491"/>
      <c r="S348" s="491"/>
      <c r="T348" s="491"/>
      <c r="U348" s="491"/>
      <c r="V348" s="491"/>
      <c r="W348" s="491"/>
      <c r="X348" s="491"/>
      <c r="Y348" s="491"/>
      <c r="Z348" s="491"/>
      <c r="AA348" s="491"/>
      <c r="AB348" s="491"/>
      <c r="AC348" s="491"/>
      <c r="AD348" s="493"/>
    </row>
    <row r="349" spans="18:30" x14ac:dyDescent="0.25">
      <c r="R349" s="491"/>
      <c r="S349" s="491"/>
      <c r="T349" s="491"/>
      <c r="U349" s="491"/>
      <c r="V349" s="491"/>
      <c r="W349" s="491"/>
      <c r="X349" s="491"/>
      <c r="Y349" s="491"/>
      <c r="Z349" s="491"/>
      <c r="AA349" s="491"/>
      <c r="AB349" s="491"/>
      <c r="AC349" s="491"/>
      <c r="AD349" s="493"/>
    </row>
    <row r="350" spans="18:30" x14ac:dyDescent="0.25">
      <c r="R350" s="491"/>
      <c r="S350" s="491"/>
      <c r="T350" s="491"/>
      <c r="U350" s="491"/>
      <c r="V350" s="491"/>
      <c r="W350" s="491"/>
      <c r="X350" s="491"/>
      <c r="Y350" s="491"/>
      <c r="Z350" s="491"/>
      <c r="AA350" s="491"/>
      <c r="AB350" s="491"/>
      <c r="AC350" s="491"/>
      <c r="AD350" s="493"/>
    </row>
    <row r="351" spans="18:30" x14ac:dyDescent="0.25">
      <c r="R351" s="491"/>
      <c r="S351" s="491"/>
      <c r="T351" s="491"/>
      <c r="U351" s="491"/>
      <c r="V351" s="491"/>
      <c r="W351" s="491"/>
      <c r="X351" s="491"/>
      <c r="Y351" s="491"/>
      <c r="Z351" s="491"/>
      <c r="AA351" s="491"/>
      <c r="AB351" s="491"/>
      <c r="AC351" s="491"/>
      <c r="AD351" s="493"/>
    </row>
    <row r="352" spans="18:30" x14ac:dyDescent="0.25">
      <c r="R352" s="491"/>
      <c r="S352" s="491"/>
      <c r="T352" s="491"/>
      <c r="U352" s="491"/>
      <c r="V352" s="491"/>
      <c r="W352" s="491"/>
      <c r="X352" s="491"/>
      <c r="Y352" s="491"/>
      <c r="Z352" s="491"/>
      <c r="AA352" s="491"/>
      <c r="AB352" s="491"/>
      <c r="AC352" s="491"/>
      <c r="AD352" s="493"/>
    </row>
    <row r="353" spans="18:30" x14ac:dyDescent="0.25">
      <c r="R353" s="491"/>
      <c r="S353" s="491"/>
      <c r="T353" s="491"/>
      <c r="U353" s="491"/>
      <c r="V353" s="491"/>
      <c r="W353" s="491"/>
      <c r="X353" s="491"/>
      <c r="Y353" s="491"/>
      <c r="Z353" s="491"/>
      <c r="AA353" s="491"/>
      <c r="AB353" s="491"/>
      <c r="AC353" s="491"/>
      <c r="AD353" s="493"/>
    </row>
    <row r="354" spans="18:30" x14ac:dyDescent="0.25">
      <c r="R354" s="491"/>
      <c r="S354" s="491"/>
      <c r="T354" s="491"/>
      <c r="U354" s="491"/>
      <c r="V354" s="491"/>
      <c r="W354" s="491"/>
      <c r="X354" s="491"/>
      <c r="Y354" s="491"/>
      <c r="Z354" s="491"/>
      <c r="AA354" s="491"/>
      <c r="AB354" s="491"/>
      <c r="AC354" s="491"/>
      <c r="AD354" s="493"/>
    </row>
    <row r="355" spans="18:30" x14ac:dyDescent="0.25">
      <c r="R355" s="491"/>
      <c r="S355" s="491"/>
      <c r="T355" s="491"/>
      <c r="U355" s="491"/>
      <c r="V355" s="491"/>
      <c r="W355" s="491"/>
      <c r="X355" s="491"/>
      <c r="Y355" s="491"/>
      <c r="Z355" s="491"/>
      <c r="AA355" s="491"/>
      <c r="AB355" s="491"/>
      <c r="AC355" s="491"/>
      <c r="AD355" s="493"/>
    </row>
    <row r="356" spans="18:30" x14ac:dyDescent="0.25">
      <c r="R356" s="491"/>
      <c r="S356" s="491"/>
      <c r="T356" s="491"/>
      <c r="U356" s="491"/>
      <c r="V356" s="491"/>
      <c r="W356" s="491"/>
      <c r="X356" s="491"/>
      <c r="Y356" s="491"/>
      <c r="Z356" s="491"/>
      <c r="AA356" s="491"/>
      <c r="AB356" s="491"/>
      <c r="AC356" s="491"/>
      <c r="AD356" s="493"/>
    </row>
    <row r="357" spans="18:30" x14ac:dyDescent="0.25">
      <c r="R357" s="491"/>
      <c r="S357" s="491"/>
      <c r="T357" s="491"/>
      <c r="U357" s="491"/>
      <c r="V357" s="491"/>
      <c r="W357" s="491"/>
      <c r="X357" s="491"/>
      <c r="Y357" s="491"/>
      <c r="Z357" s="491"/>
      <c r="AA357" s="491"/>
      <c r="AB357" s="491"/>
      <c r="AC357" s="491"/>
      <c r="AD357" s="493"/>
    </row>
    <row r="358" spans="18:30" x14ac:dyDescent="0.25">
      <c r="R358" s="491"/>
      <c r="S358" s="491"/>
      <c r="T358" s="491"/>
      <c r="U358" s="491"/>
      <c r="V358" s="491"/>
      <c r="W358" s="491"/>
      <c r="X358" s="491"/>
      <c r="Y358" s="491"/>
      <c r="Z358" s="491"/>
      <c r="AA358" s="491"/>
      <c r="AB358" s="491"/>
      <c r="AC358" s="491"/>
      <c r="AD358" s="493"/>
    </row>
    <row r="359" spans="18:30" x14ac:dyDescent="0.25">
      <c r="R359" s="491"/>
      <c r="S359" s="491"/>
      <c r="T359" s="491"/>
      <c r="U359" s="491"/>
      <c r="V359" s="491"/>
      <c r="W359" s="491"/>
      <c r="X359" s="491"/>
      <c r="Y359" s="491"/>
      <c r="Z359" s="491"/>
      <c r="AA359" s="491"/>
      <c r="AB359" s="491"/>
      <c r="AC359" s="491"/>
      <c r="AD359" s="493"/>
    </row>
    <row r="360" spans="18:30" x14ac:dyDescent="0.25">
      <c r="R360" s="491"/>
      <c r="S360" s="491"/>
      <c r="T360" s="491"/>
      <c r="U360" s="491"/>
      <c r="V360" s="491"/>
      <c r="W360" s="491"/>
      <c r="X360" s="491"/>
      <c r="Y360" s="491"/>
      <c r="Z360" s="491"/>
      <c r="AA360" s="491"/>
      <c r="AB360" s="491"/>
      <c r="AC360" s="491"/>
      <c r="AD360" s="493"/>
    </row>
    <row r="361" spans="18:30" x14ac:dyDescent="0.25">
      <c r="R361" s="491"/>
      <c r="S361" s="491"/>
      <c r="T361" s="491"/>
      <c r="U361" s="491"/>
      <c r="V361" s="491"/>
      <c r="W361" s="491"/>
      <c r="X361" s="491"/>
      <c r="Y361" s="491"/>
      <c r="Z361" s="491"/>
      <c r="AA361" s="491"/>
      <c r="AB361" s="491"/>
      <c r="AC361" s="491"/>
      <c r="AD361" s="493"/>
    </row>
    <row r="362" spans="18:30" x14ac:dyDescent="0.25">
      <c r="R362" s="491"/>
      <c r="S362" s="491"/>
      <c r="T362" s="491"/>
      <c r="U362" s="491"/>
      <c r="V362" s="491"/>
      <c r="W362" s="491"/>
      <c r="X362" s="491"/>
      <c r="Y362" s="491"/>
      <c r="Z362" s="491"/>
      <c r="AA362" s="491"/>
      <c r="AB362" s="491"/>
      <c r="AC362" s="491"/>
      <c r="AD362" s="493"/>
    </row>
    <row r="363" spans="18:30" x14ac:dyDescent="0.25">
      <c r="R363" s="491"/>
      <c r="S363" s="491"/>
      <c r="T363" s="491"/>
      <c r="U363" s="491"/>
      <c r="V363" s="491"/>
      <c r="W363" s="491"/>
      <c r="X363" s="491"/>
      <c r="Y363" s="491"/>
      <c r="Z363" s="491"/>
      <c r="AA363" s="491"/>
      <c r="AB363" s="491"/>
      <c r="AC363" s="491"/>
      <c r="AD363" s="493"/>
    </row>
    <row r="364" spans="18:30" x14ac:dyDescent="0.25">
      <c r="R364" s="491"/>
      <c r="S364" s="491"/>
      <c r="T364" s="491"/>
      <c r="U364" s="491"/>
      <c r="V364" s="491"/>
      <c r="W364" s="491"/>
      <c r="X364" s="491"/>
      <c r="Y364" s="491"/>
      <c r="Z364" s="491"/>
      <c r="AA364" s="491"/>
      <c r="AB364" s="491"/>
      <c r="AC364" s="491"/>
      <c r="AD364" s="493"/>
    </row>
    <row r="365" spans="18:30" x14ac:dyDescent="0.25">
      <c r="R365" s="491"/>
      <c r="S365" s="491"/>
      <c r="T365" s="491"/>
      <c r="U365" s="491"/>
      <c r="V365" s="491"/>
      <c r="W365" s="491"/>
      <c r="X365" s="491"/>
      <c r="Y365" s="491"/>
      <c r="Z365" s="491"/>
      <c r="AA365" s="491"/>
      <c r="AB365" s="491"/>
      <c r="AC365" s="491"/>
      <c r="AD365" s="493"/>
    </row>
    <row r="366" spans="18:30" x14ac:dyDescent="0.25">
      <c r="R366" s="491"/>
      <c r="S366" s="491"/>
      <c r="T366" s="491"/>
      <c r="U366" s="491"/>
      <c r="V366" s="491"/>
      <c r="W366" s="491"/>
      <c r="X366" s="491"/>
      <c r="Y366" s="491"/>
      <c r="Z366" s="491"/>
      <c r="AA366" s="491"/>
      <c r="AB366" s="491"/>
      <c r="AC366" s="491"/>
      <c r="AD366" s="493"/>
    </row>
    <row r="367" spans="18:30" x14ac:dyDescent="0.25">
      <c r="R367" s="491"/>
      <c r="S367" s="491"/>
      <c r="T367" s="491"/>
      <c r="U367" s="491"/>
      <c r="V367" s="491"/>
      <c r="W367" s="491"/>
      <c r="X367" s="491"/>
      <c r="Y367" s="491"/>
      <c r="Z367" s="491"/>
      <c r="AA367" s="491"/>
      <c r="AB367" s="491"/>
      <c r="AC367" s="491"/>
      <c r="AD367" s="493"/>
    </row>
    <row r="368" spans="18:30" x14ac:dyDescent="0.25">
      <c r="R368" s="491"/>
      <c r="S368" s="491"/>
      <c r="T368" s="491"/>
      <c r="U368" s="491"/>
      <c r="V368" s="491"/>
      <c r="W368" s="491"/>
      <c r="X368" s="491"/>
      <c r="Y368" s="491"/>
      <c r="Z368" s="491"/>
      <c r="AA368" s="491"/>
      <c r="AB368" s="491"/>
      <c r="AC368" s="491"/>
      <c r="AD368" s="493"/>
    </row>
    <row r="369" spans="18:30" x14ac:dyDescent="0.25">
      <c r="R369" s="491"/>
      <c r="S369" s="491"/>
      <c r="T369" s="491"/>
      <c r="U369" s="491"/>
      <c r="V369" s="491"/>
      <c r="W369" s="491"/>
      <c r="X369" s="491"/>
      <c r="Y369" s="491"/>
      <c r="Z369" s="491"/>
      <c r="AA369" s="491"/>
      <c r="AB369" s="491"/>
      <c r="AC369" s="491"/>
      <c r="AD369" s="493"/>
    </row>
    <row r="370" spans="18:30" x14ac:dyDescent="0.25">
      <c r="R370" s="491"/>
      <c r="S370" s="491"/>
      <c r="T370" s="491"/>
      <c r="U370" s="491"/>
      <c r="V370" s="491"/>
      <c r="W370" s="491"/>
      <c r="X370" s="491"/>
      <c r="Y370" s="491"/>
      <c r="Z370" s="491"/>
      <c r="AA370" s="491"/>
      <c r="AB370" s="491"/>
      <c r="AC370" s="491"/>
      <c r="AD370" s="493"/>
    </row>
    <row r="371" spans="18:30" x14ac:dyDescent="0.25">
      <c r="R371" s="491"/>
      <c r="S371" s="491"/>
      <c r="T371" s="491"/>
      <c r="U371" s="491"/>
      <c r="V371" s="491"/>
      <c r="W371" s="491"/>
      <c r="X371" s="491"/>
      <c r="Y371" s="491"/>
      <c r="Z371" s="491"/>
      <c r="AA371" s="491"/>
      <c r="AB371" s="491"/>
      <c r="AC371" s="491"/>
      <c r="AD371" s="493"/>
    </row>
    <row r="372" spans="18:30" x14ac:dyDescent="0.25">
      <c r="R372" s="491"/>
      <c r="S372" s="491"/>
      <c r="T372" s="491"/>
      <c r="U372" s="491"/>
      <c r="V372" s="491"/>
      <c r="W372" s="491"/>
      <c r="X372" s="491"/>
      <c r="Y372" s="491"/>
      <c r="Z372" s="491"/>
      <c r="AA372" s="491"/>
      <c r="AB372" s="491"/>
      <c r="AC372" s="491"/>
      <c r="AD372" s="493"/>
    </row>
    <row r="373" spans="18:30" x14ac:dyDescent="0.25">
      <c r="R373" s="491"/>
      <c r="S373" s="491"/>
      <c r="T373" s="491"/>
      <c r="U373" s="491"/>
      <c r="V373" s="491"/>
      <c r="W373" s="491"/>
      <c r="X373" s="491"/>
      <c r="Y373" s="491"/>
      <c r="Z373" s="491"/>
      <c r="AA373" s="491"/>
      <c r="AB373" s="491"/>
      <c r="AC373" s="491"/>
      <c r="AD373" s="493"/>
    </row>
    <row r="374" spans="18:30" x14ac:dyDescent="0.25">
      <c r="R374" s="491"/>
      <c r="S374" s="491"/>
      <c r="T374" s="491"/>
      <c r="U374" s="491"/>
      <c r="V374" s="491"/>
      <c r="W374" s="491"/>
      <c r="X374" s="491"/>
      <c r="Y374" s="491"/>
      <c r="Z374" s="491"/>
      <c r="AA374" s="491"/>
      <c r="AB374" s="491"/>
      <c r="AC374" s="491"/>
      <c r="AD374" s="493"/>
    </row>
    <row r="375" spans="18:30" x14ac:dyDescent="0.25">
      <c r="R375" s="491"/>
      <c r="S375" s="491"/>
      <c r="T375" s="491"/>
      <c r="U375" s="491"/>
      <c r="V375" s="491"/>
      <c r="W375" s="491"/>
      <c r="X375" s="491"/>
      <c r="Y375" s="491"/>
      <c r="Z375" s="491"/>
      <c r="AA375" s="491"/>
      <c r="AB375" s="491"/>
      <c r="AC375" s="491"/>
      <c r="AD375" s="493"/>
    </row>
    <row r="376" spans="18:30" x14ac:dyDescent="0.25">
      <c r="R376" s="491"/>
      <c r="S376" s="491"/>
      <c r="T376" s="491"/>
      <c r="U376" s="491"/>
      <c r="V376" s="491"/>
      <c r="W376" s="491"/>
      <c r="X376" s="491"/>
      <c r="Y376" s="491"/>
      <c r="Z376" s="491"/>
      <c r="AA376" s="491"/>
      <c r="AB376" s="491"/>
      <c r="AC376" s="491"/>
      <c r="AD376" s="493"/>
    </row>
    <row r="377" spans="18:30" x14ac:dyDescent="0.25">
      <c r="R377" s="491"/>
      <c r="S377" s="491"/>
      <c r="T377" s="491"/>
      <c r="U377" s="491"/>
      <c r="V377" s="491"/>
      <c r="W377" s="491"/>
      <c r="X377" s="491"/>
      <c r="Y377" s="491"/>
      <c r="Z377" s="491"/>
      <c r="AA377" s="491"/>
      <c r="AB377" s="491"/>
      <c r="AC377" s="491"/>
      <c r="AD377" s="493"/>
    </row>
    <row r="378" spans="18:30" x14ac:dyDescent="0.25">
      <c r="R378" s="491"/>
      <c r="S378" s="491"/>
      <c r="T378" s="491"/>
      <c r="U378" s="491"/>
      <c r="V378" s="491"/>
      <c r="W378" s="491"/>
      <c r="X378" s="491"/>
      <c r="Y378" s="491"/>
      <c r="Z378" s="491"/>
      <c r="AA378" s="491"/>
      <c r="AB378" s="491"/>
      <c r="AC378" s="491"/>
      <c r="AD378" s="493"/>
    </row>
    <row r="379" spans="18:30" x14ac:dyDescent="0.25">
      <c r="R379" s="491"/>
      <c r="S379" s="491"/>
      <c r="T379" s="491"/>
      <c r="U379" s="491"/>
      <c r="V379" s="491"/>
      <c r="W379" s="491"/>
      <c r="X379" s="491"/>
      <c r="Y379" s="491"/>
      <c r="Z379" s="491"/>
      <c r="AA379" s="491"/>
      <c r="AB379" s="491"/>
      <c r="AC379" s="491"/>
      <c r="AD379" s="493"/>
    </row>
    <row r="380" spans="18:30" x14ac:dyDescent="0.25">
      <c r="R380" s="491"/>
      <c r="S380" s="491"/>
      <c r="T380" s="491"/>
      <c r="U380" s="491"/>
      <c r="V380" s="491"/>
      <c r="W380" s="491"/>
      <c r="X380" s="491"/>
      <c r="Y380" s="491"/>
      <c r="Z380" s="491"/>
      <c r="AA380" s="491"/>
      <c r="AB380" s="491"/>
      <c r="AC380" s="491"/>
      <c r="AD380" s="493"/>
    </row>
    <row r="381" spans="18:30" x14ac:dyDescent="0.25">
      <c r="R381" s="491"/>
      <c r="S381" s="491"/>
      <c r="T381" s="491"/>
      <c r="U381" s="491"/>
      <c r="V381" s="491"/>
      <c r="W381" s="491"/>
      <c r="X381" s="491"/>
      <c r="Y381" s="491"/>
      <c r="Z381" s="491"/>
      <c r="AA381" s="491"/>
      <c r="AB381" s="491"/>
      <c r="AC381" s="491"/>
      <c r="AD381" s="493"/>
    </row>
    <row r="382" spans="18:30" x14ac:dyDescent="0.25">
      <c r="R382" s="491"/>
      <c r="S382" s="491"/>
      <c r="T382" s="491"/>
      <c r="U382" s="491"/>
      <c r="V382" s="491"/>
      <c r="W382" s="491"/>
      <c r="X382" s="491"/>
      <c r="Y382" s="491"/>
      <c r="Z382" s="491"/>
      <c r="AA382" s="491"/>
      <c r="AB382" s="491"/>
      <c r="AC382" s="491"/>
      <c r="AD382" s="493"/>
    </row>
    <row r="383" spans="18:30" x14ac:dyDescent="0.25">
      <c r="R383" s="491"/>
      <c r="S383" s="491"/>
      <c r="T383" s="491"/>
      <c r="U383" s="491"/>
      <c r="V383" s="491"/>
      <c r="W383" s="491"/>
      <c r="X383" s="491"/>
      <c r="Y383" s="491"/>
      <c r="Z383" s="491"/>
      <c r="AA383" s="491"/>
      <c r="AB383" s="491"/>
      <c r="AC383" s="491"/>
      <c r="AD383" s="493"/>
    </row>
    <row r="384" spans="18:30" x14ac:dyDescent="0.25">
      <c r="R384" s="491"/>
      <c r="S384" s="491"/>
      <c r="T384" s="491"/>
      <c r="U384" s="491"/>
      <c r="V384" s="491"/>
      <c r="W384" s="491"/>
      <c r="X384" s="491"/>
      <c r="Y384" s="491"/>
      <c r="Z384" s="491"/>
      <c r="AA384" s="491"/>
      <c r="AB384" s="491"/>
      <c r="AC384" s="491"/>
      <c r="AD384" s="493"/>
    </row>
    <row r="385" spans="18:30" x14ac:dyDescent="0.25">
      <c r="R385" s="491"/>
      <c r="S385" s="491"/>
      <c r="T385" s="491"/>
      <c r="U385" s="491"/>
      <c r="V385" s="491"/>
      <c r="W385" s="491"/>
      <c r="X385" s="491"/>
      <c r="Y385" s="491"/>
      <c r="Z385" s="491"/>
      <c r="AA385" s="491"/>
      <c r="AB385" s="491"/>
      <c r="AC385" s="491"/>
      <c r="AD385" s="493"/>
    </row>
    <row r="386" spans="18:30" x14ac:dyDescent="0.25">
      <c r="R386" s="491"/>
      <c r="S386" s="491"/>
      <c r="T386" s="491"/>
      <c r="U386" s="491"/>
      <c r="V386" s="491"/>
      <c r="W386" s="491"/>
      <c r="X386" s="491"/>
      <c r="Y386" s="491"/>
      <c r="Z386" s="491"/>
      <c r="AA386" s="491"/>
      <c r="AB386" s="491"/>
      <c r="AC386" s="491"/>
      <c r="AD386" s="493"/>
    </row>
    <row r="387" spans="18:30" x14ac:dyDescent="0.25">
      <c r="R387" s="491"/>
      <c r="S387" s="491"/>
      <c r="T387" s="491"/>
      <c r="U387" s="491"/>
      <c r="V387" s="491"/>
      <c r="W387" s="491"/>
      <c r="X387" s="491"/>
      <c r="Y387" s="491"/>
      <c r="Z387" s="491"/>
      <c r="AA387" s="491"/>
      <c r="AB387" s="491"/>
      <c r="AC387" s="491"/>
      <c r="AD387" s="493"/>
    </row>
    <row r="388" spans="18:30" x14ac:dyDescent="0.25">
      <c r="R388" s="491"/>
      <c r="S388" s="491"/>
      <c r="T388" s="491"/>
      <c r="U388" s="491"/>
      <c r="V388" s="491"/>
      <c r="W388" s="491"/>
      <c r="X388" s="491"/>
      <c r="Y388" s="491"/>
      <c r="Z388" s="491"/>
      <c r="AA388" s="491"/>
      <c r="AB388" s="491"/>
      <c r="AC388" s="491"/>
      <c r="AD388" s="493"/>
    </row>
    <row r="389" spans="18:30" x14ac:dyDescent="0.25">
      <c r="R389" s="491"/>
      <c r="S389" s="491"/>
      <c r="T389" s="491"/>
      <c r="U389" s="491"/>
      <c r="V389" s="491"/>
      <c r="W389" s="491"/>
      <c r="X389" s="491"/>
      <c r="Y389" s="491"/>
      <c r="Z389" s="491"/>
      <c r="AA389" s="491"/>
      <c r="AB389" s="491"/>
      <c r="AC389" s="491"/>
      <c r="AD389" s="493"/>
    </row>
    <row r="390" spans="18:30" x14ac:dyDescent="0.25">
      <c r="R390" s="491"/>
      <c r="S390" s="491"/>
      <c r="T390" s="491"/>
      <c r="U390" s="491"/>
      <c r="V390" s="491"/>
      <c r="W390" s="491"/>
      <c r="X390" s="491"/>
      <c r="Y390" s="491"/>
      <c r="Z390" s="491"/>
      <c r="AA390" s="491"/>
      <c r="AB390" s="491"/>
      <c r="AC390" s="491"/>
      <c r="AD390" s="493"/>
    </row>
    <row r="391" spans="18:30" x14ac:dyDescent="0.25">
      <c r="R391" s="491"/>
      <c r="S391" s="491"/>
      <c r="T391" s="491"/>
      <c r="U391" s="491"/>
      <c r="V391" s="491"/>
      <c r="W391" s="491"/>
      <c r="X391" s="491"/>
      <c r="Y391" s="491"/>
      <c r="Z391" s="491"/>
      <c r="AA391" s="491"/>
      <c r="AB391" s="491"/>
      <c r="AC391" s="491"/>
      <c r="AD391" s="493"/>
    </row>
    <row r="392" spans="18:30" x14ac:dyDescent="0.25">
      <c r="R392" s="491"/>
      <c r="S392" s="491"/>
      <c r="T392" s="491"/>
      <c r="U392" s="491"/>
      <c r="V392" s="491"/>
      <c r="W392" s="491"/>
      <c r="X392" s="491"/>
      <c r="Y392" s="491"/>
      <c r="Z392" s="491"/>
      <c r="AA392" s="491"/>
      <c r="AB392" s="491"/>
      <c r="AC392" s="491"/>
      <c r="AD392" s="493"/>
    </row>
    <row r="393" spans="18:30" x14ac:dyDescent="0.25">
      <c r="R393" s="491"/>
      <c r="S393" s="491"/>
      <c r="T393" s="491"/>
      <c r="U393" s="491"/>
      <c r="V393" s="491"/>
      <c r="W393" s="491"/>
      <c r="X393" s="491"/>
      <c r="Y393" s="491"/>
      <c r="Z393" s="491"/>
      <c r="AA393" s="491"/>
      <c r="AB393" s="491"/>
      <c r="AC393" s="491"/>
      <c r="AD393" s="493"/>
    </row>
    <row r="394" spans="18:30" x14ac:dyDescent="0.25">
      <c r="R394" s="491"/>
      <c r="S394" s="491"/>
      <c r="T394" s="491"/>
      <c r="U394" s="491"/>
      <c r="V394" s="491"/>
      <c r="W394" s="491"/>
      <c r="X394" s="491"/>
      <c r="Y394" s="491"/>
      <c r="Z394" s="491"/>
      <c r="AA394" s="491"/>
      <c r="AB394" s="491"/>
      <c r="AC394" s="491"/>
      <c r="AD394" s="493"/>
    </row>
    <row r="395" spans="18:30" x14ac:dyDescent="0.25">
      <c r="R395" s="491"/>
      <c r="S395" s="491"/>
      <c r="T395" s="491"/>
      <c r="U395" s="491"/>
      <c r="V395" s="491"/>
      <c r="W395" s="491"/>
      <c r="X395" s="491"/>
      <c r="Y395" s="491"/>
      <c r="Z395" s="491"/>
      <c r="AA395" s="491"/>
      <c r="AB395" s="491"/>
      <c r="AC395" s="491"/>
      <c r="AD395" s="493"/>
    </row>
    <row r="396" spans="18:30" x14ac:dyDescent="0.25">
      <c r="R396" s="491"/>
      <c r="S396" s="491"/>
      <c r="T396" s="491"/>
      <c r="U396" s="491"/>
      <c r="V396" s="491"/>
      <c r="W396" s="491"/>
      <c r="X396" s="491"/>
      <c r="Y396" s="491"/>
      <c r="Z396" s="491"/>
      <c r="AA396" s="491"/>
      <c r="AB396" s="491"/>
      <c r="AC396" s="491"/>
      <c r="AD396" s="493"/>
    </row>
    <row r="397" spans="18:30" x14ac:dyDescent="0.25">
      <c r="R397" s="491"/>
      <c r="S397" s="491"/>
      <c r="T397" s="491"/>
      <c r="U397" s="491"/>
      <c r="V397" s="491"/>
      <c r="W397" s="491"/>
      <c r="X397" s="491"/>
      <c r="Y397" s="491"/>
      <c r="Z397" s="491"/>
      <c r="AA397" s="491"/>
      <c r="AB397" s="491"/>
      <c r="AC397" s="491"/>
      <c r="AD397" s="493"/>
    </row>
    <row r="398" spans="18:30" x14ac:dyDescent="0.25">
      <c r="R398" s="491"/>
      <c r="S398" s="491"/>
      <c r="T398" s="491"/>
      <c r="U398" s="491"/>
      <c r="V398" s="491"/>
      <c r="W398" s="491"/>
      <c r="X398" s="491"/>
      <c r="Y398" s="491"/>
      <c r="Z398" s="491"/>
      <c r="AA398" s="491"/>
      <c r="AB398" s="491"/>
      <c r="AC398" s="491"/>
      <c r="AD398" s="493"/>
    </row>
    <row r="399" spans="18:30" x14ac:dyDescent="0.25">
      <c r="R399" s="491"/>
      <c r="S399" s="491"/>
      <c r="T399" s="491"/>
      <c r="U399" s="491"/>
      <c r="V399" s="491"/>
      <c r="W399" s="491"/>
      <c r="X399" s="491"/>
      <c r="Y399" s="491"/>
      <c r="Z399" s="491"/>
      <c r="AA399" s="491"/>
      <c r="AB399" s="491"/>
      <c r="AC399" s="491"/>
      <c r="AD399" s="493"/>
    </row>
    <row r="400" spans="18:30" x14ac:dyDescent="0.25">
      <c r="R400" s="491"/>
      <c r="S400" s="491"/>
      <c r="T400" s="491"/>
      <c r="U400" s="491"/>
      <c r="V400" s="491"/>
      <c r="W400" s="491"/>
      <c r="X400" s="491"/>
      <c r="Y400" s="491"/>
      <c r="Z400" s="491"/>
      <c r="AA400" s="491"/>
      <c r="AB400" s="491"/>
      <c r="AC400" s="491"/>
      <c r="AD400" s="493"/>
    </row>
    <row r="401" spans="18:30" x14ac:dyDescent="0.25">
      <c r="R401" s="491"/>
      <c r="S401" s="491"/>
      <c r="T401" s="491"/>
      <c r="U401" s="491"/>
      <c r="V401" s="491"/>
      <c r="W401" s="491"/>
      <c r="X401" s="491"/>
      <c r="Y401" s="491"/>
      <c r="Z401" s="491"/>
      <c r="AA401" s="491"/>
      <c r="AB401" s="491"/>
      <c r="AC401" s="491"/>
      <c r="AD401" s="493"/>
    </row>
    <row r="402" spans="18:30" x14ac:dyDescent="0.25">
      <c r="R402" s="491"/>
      <c r="S402" s="491"/>
      <c r="T402" s="491"/>
      <c r="U402" s="491"/>
      <c r="V402" s="491"/>
      <c r="W402" s="491"/>
      <c r="X402" s="491"/>
      <c r="Y402" s="491"/>
      <c r="Z402" s="491"/>
      <c r="AA402" s="491"/>
      <c r="AB402" s="491"/>
      <c r="AC402" s="491"/>
      <c r="AD402" s="493"/>
    </row>
    <row r="403" spans="18:30" x14ac:dyDescent="0.25">
      <c r="R403" s="491"/>
      <c r="S403" s="491"/>
      <c r="T403" s="491"/>
      <c r="U403" s="491"/>
      <c r="V403" s="491"/>
      <c r="W403" s="491"/>
      <c r="X403" s="491"/>
      <c r="Y403" s="491"/>
      <c r="Z403" s="491"/>
      <c r="AA403" s="491"/>
      <c r="AB403" s="491"/>
      <c r="AC403" s="491"/>
      <c r="AD403" s="493"/>
    </row>
    <row r="404" spans="18:30" x14ac:dyDescent="0.25">
      <c r="R404" s="491"/>
      <c r="S404" s="491"/>
      <c r="T404" s="491"/>
      <c r="U404" s="491"/>
      <c r="V404" s="491"/>
      <c r="W404" s="491"/>
      <c r="X404" s="491"/>
      <c r="Y404" s="491"/>
      <c r="Z404" s="491"/>
      <c r="AA404" s="491"/>
      <c r="AB404" s="491"/>
      <c r="AC404" s="491"/>
      <c r="AD404" s="493"/>
    </row>
    <row r="405" spans="18:30" x14ac:dyDescent="0.25">
      <c r="R405" s="491"/>
      <c r="S405" s="491"/>
      <c r="T405" s="491"/>
      <c r="U405" s="491"/>
      <c r="V405" s="491"/>
      <c r="W405" s="491"/>
      <c r="X405" s="491"/>
      <c r="Y405" s="491"/>
      <c r="Z405" s="491"/>
      <c r="AA405" s="491"/>
      <c r="AB405" s="491"/>
      <c r="AC405" s="491"/>
      <c r="AD405" s="493"/>
    </row>
    <row r="406" spans="18:30" x14ac:dyDescent="0.25">
      <c r="R406" s="491"/>
      <c r="S406" s="491"/>
      <c r="T406" s="491"/>
      <c r="U406" s="491"/>
      <c r="V406" s="491"/>
      <c r="W406" s="491"/>
      <c r="X406" s="491"/>
      <c r="Y406" s="491"/>
      <c r="Z406" s="491"/>
      <c r="AA406" s="491"/>
      <c r="AB406" s="491"/>
      <c r="AC406" s="491"/>
      <c r="AD406" s="493"/>
    </row>
    <row r="407" spans="18:30" x14ac:dyDescent="0.25">
      <c r="R407" s="491"/>
      <c r="S407" s="491"/>
      <c r="T407" s="491"/>
      <c r="U407" s="491"/>
      <c r="V407" s="491"/>
      <c r="W407" s="491"/>
      <c r="X407" s="491"/>
      <c r="Y407" s="491"/>
      <c r="Z407" s="491"/>
      <c r="AA407" s="491"/>
      <c r="AB407" s="491"/>
      <c r="AC407" s="491"/>
      <c r="AD407" s="493"/>
    </row>
    <row r="408" spans="18:30" x14ac:dyDescent="0.25">
      <c r="R408" s="491"/>
      <c r="S408" s="491"/>
      <c r="T408" s="491"/>
      <c r="U408" s="491"/>
      <c r="V408" s="491"/>
      <c r="W408" s="491"/>
      <c r="X408" s="491"/>
      <c r="Y408" s="491"/>
      <c r="Z408" s="491"/>
      <c r="AA408" s="491"/>
      <c r="AB408" s="491"/>
      <c r="AC408" s="491"/>
      <c r="AD408" s="493"/>
    </row>
    <row r="409" spans="18:30" x14ac:dyDescent="0.25">
      <c r="R409" s="491"/>
      <c r="S409" s="491"/>
      <c r="T409" s="491"/>
      <c r="U409" s="491"/>
      <c r="V409" s="491"/>
      <c r="W409" s="491"/>
      <c r="X409" s="491"/>
      <c r="Y409" s="491"/>
      <c r="Z409" s="491"/>
      <c r="AA409" s="491"/>
      <c r="AB409" s="491"/>
      <c r="AC409" s="491"/>
      <c r="AD409" s="493"/>
    </row>
    <row r="410" spans="18:30" x14ac:dyDescent="0.25">
      <c r="R410" s="491"/>
      <c r="S410" s="491"/>
      <c r="T410" s="491"/>
      <c r="U410" s="491"/>
      <c r="V410" s="491"/>
      <c r="W410" s="491"/>
      <c r="X410" s="491"/>
      <c r="Y410" s="491"/>
      <c r="Z410" s="491"/>
      <c r="AA410" s="491"/>
      <c r="AB410" s="491"/>
      <c r="AC410" s="491"/>
      <c r="AD410" s="493"/>
    </row>
    <row r="411" spans="18:30" x14ac:dyDescent="0.25">
      <c r="R411" s="491"/>
      <c r="S411" s="491"/>
      <c r="T411" s="491"/>
      <c r="U411" s="491"/>
      <c r="V411" s="491"/>
      <c r="W411" s="491"/>
      <c r="X411" s="491"/>
      <c r="Y411" s="491"/>
      <c r="Z411" s="491"/>
      <c r="AA411" s="491"/>
      <c r="AB411" s="491"/>
      <c r="AC411" s="491"/>
      <c r="AD411" s="493"/>
    </row>
    <row r="412" spans="18:30" x14ac:dyDescent="0.25">
      <c r="R412" s="491"/>
      <c r="S412" s="491"/>
      <c r="T412" s="491"/>
      <c r="U412" s="491"/>
      <c r="V412" s="491"/>
      <c r="W412" s="491"/>
      <c r="X412" s="491"/>
      <c r="Y412" s="491"/>
      <c r="Z412" s="491"/>
      <c r="AA412" s="491"/>
      <c r="AB412" s="491"/>
      <c r="AC412" s="491"/>
      <c r="AD412" s="493"/>
    </row>
    <row r="413" spans="18:30" x14ac:dyDescent="0.25">
      <c r="R413" s="491"/>
      <c r="S413" s="491"/>
      <c r="T413" s="491"/>
      <c r="U413" s="491"/>
      <c r="V413" s="491"/>
      <c r="W413" s="491"/>
      <c r="X413" s="491"/>
      <c r="Y413" s="491"/>
      <c r="Z413" s="491"/>
      <c r="AA413" s="491"/>
      <c r="AB413" s="491"/>
      <c r="AC413" s="491"/>
      <c r="AD413" s="493"/>
    </row>
    <row r="414" spans="18:30" x14ac:dyDescent="0.25">
      <c r="R414" s="491"/>
      <c r="S414" s="491"/>
      <c r="T414" s="491"/>
      <c r="U414" s="491"/>
      <c r="V414" s="491"/>
      <c r="W414" s="491"/>
      <c r="X414" s="491"/>
      <c r="Y414" s="491"/>
      <c r="Z414" s="491"/>
      <c r="AA414" s="491"/>
      <c r="AB414" s="491"/>
      <c r="AC414" s="491"/>
      <c r="AD414" s="493"/>
    </row>
    <row r="415" spans="18:30" x14ac:dyDescent="0.25">
      <c r="R415" s="491"/>
      <c r="S415" s="491"/>
      <c r="T415" s="491"/>
      <c r="U415" s="491"/>
      <c r="V415" s="491"/>
      <c r="W415" s="491"/>
      <c r="X415" s="491"/>
      <c r="Y415" s="491"/>
      <c r="Z415" s="491"/>
      <c r="AA415" s="491"/>
      <c r="AB415" s="491"/>
      <c r="AC415" s="491"/>
      <c r="AD415" s="493"/>
    </row>
    <row r="416" spans="18:30" x14ac:dyDescent="0.25">
      <c r="R416" s="491"/>
      <c r="S416" s="491"/>
      <c r="T416" s="491"/>
      <c r="U416" s="491"/>
      <c r="V416" s="491"/>
      <c r="W416" s="491"/>
      <c r="X416" s="491"/>
      <c r="Y416" s="491"/>
      <c r="Z416" s="491"/>
      <c r="AA416" s="491"/>
      <c r="AB416" s="491"/>
      <c r="AC416" s="491"/>
      <c r="AD416" s="493"/>
    </row>
    <row r="417" spans="18:30" x14ac:dyDescent="0.25">
      <c r="R417" s="491"/>
      <c r="S417" s="491"/>
      <c r="T417" s="491"/>
      <c r="U417" s="491"/>
      <c r="V417" s="491"/>
      <c r="W417" s="491"/>
      <c r="X417" s="491"/>
      <c r="Y417" s="491"/>
      <c r="Z417" s="491"/>
      <c r="AA417" s="491"/>
      <c r="AB417" s="491"/>
      <c r="AC417" s="491"/>
      <c r="AD417" s="493"/>
    </row>
    <row r="418" spans="18:30" x14ac:dyDescent="0.25">
      <c r="R418" s="491"/>
      <c r="S418" s="491"/>
      <c r="T418" s="491"/>
      <c r="U418" s="491"/>
      <c r="V418" s="491"/>
      <c r="W418" s="491"/>
      <c r="X418" s="491"/>
      <c r="Y418" s="491"/>
      <c r="Z418" s="491"/>
      <c r="AA418" s="491"/>
      <c r="AB418" s="491"/>
      <c r="AC418" s="491"/>
      <c r="AD418" s="493"/>
    </row>
    <row r="419" spans="18:30" x14ac:dyDescent="0.25">
      <c r="R419" s="491"/>
      <c r="S419" s="491"/>
      <c r="T419" s="491"/>
      <c r="U419" s="491"/>
      <c r="V419" s="491"/>
      <c r="W419" s="491"/>
      <c r="X419" s="491"/>
      <c r="Y419" s="491"/>
      <c r="Z419" s="491"/>
      <c r="AA419" s="491"/>
      <c r="AB419" s="491"/>
      <c r="AC419" s="491"/>
      <c r="AD419" s="493"/>
    </row>
    <row r="420" spans="18:30" x14ac:dyDescent="0.25">
      <c r="R420" s="491"/>
      <c r="S420" s="491"/>
      <c r="T420" s="491"/>
      <c r="U420" s="491"/>
      <c r="V420" s="491"/>
      <c r="W420" s="491"/>
      <c r="X420" s="491"/>
      <c r="Y420" s="491"/>
      <c r="Z420" s="491"/>
      <c r="AA420" s="491"/>
      <c r="AB420" s="491"/>
      <c r="AC420" s="491"/>
      <c r="AD420" s="493"/>
    </row>
    <row r="421" spans="18:30" x14ac:dyDescent="0.25">
      <c r="R421" s="491"/>
      <c r="S421" s="491"/>
      <c r="T421" s="491"/>
      <c r="U421" s="491"/>
      <c r="V421" s="491"/>
      <c r="W421" s="491"/>
      <c r="X421" s="491"/>
      <c r="Y421" s="491"/>
      <c r="Z421" s="491"/>
      <c r="AA421" s="491"/>
      <c r="AB421" s="491"/>
      <c r="AC421" s="491"/>
      <c r="AD421" s="493"/>
    </row>
    <row r="422" spans="18:30" x14ac:dyDescent="0.25">
      <c r="R422" s="491"/>
      <c r="S422" s="491"/>
      <c r="T422" s="491"/>
      <c r="U422" s="491"/>
      <c r="V422" s="491"/>
      <c r="W422" s="491"/>
      <c r="X422" s="491"/>
      <c r="Y422" s="491"/>
      <c r="Z422" s="491"/>
      <c r="AA422" s="491"/>
      <c r="AB422" s="491"/>
      <c r="AC422" s="491"/>
      <c r="AD422" s="493"/>
    </row>
    <row r="423" spans="18:30" x14ac:dyDescent="0.25">
      <c r="R423" s="491"/>
      <c r="S423" s="491"/>
      <c r="T423" s="491"/>
      <c r="U423" s="491"/>
      <c r="V423" s="491"/>
      <c r="W423" s="491"/>
      <c r="X423" s="491"/>
      <c r="Y423" s="491"/>
      <c r="Z423" s="491"/>
      <c r="AA423" s="491"/>
      <c r="AB423" s="491"/>
      <c r="AC423" s="491"/>
      <c r="AD423" s="493"/>
    </row>
    <row r="424" spans="18:30" x14ac:dyDescent="0.25">
      <c r="R424" s="491"/>
      <c r="S424" s="491"/>
      <c r="T424" s="491"/>
      <c r="U424" s="491"/>
      <c r="V424" s="491"/>
      <c r="W424" s="491"/>
      <c r="X424" s="491"/>
      <c r="Y424" s="491"/>
      <c r="Z424" s="491"/>
      <c r="AA424" s="491"/>
      <c r="AB424" s="491"/>
      <c r="AC424" s="491"/>
      <c r="AD424" s="493"/>
    </row>
    <row r="425" spans="18:30" x14ac:dyDescent="0.25">
      <c r="R425" s="491"/>
      <c r="S425" s="491"/>
      <c r="T425" s="491"/>
      <c r="U425" s="491"/>
      <c r="V425" s="491"/>
      <c r="W425" s="491"/>
      <c r="X425" s="491"/>
      <c r="Y425" s="491"/>
      <c r="Z425" s="491"/>
      <c r="AA425" s="491"/>
      <c r="AB425" s="491"/>
      <c r="AC425" s="491"/>
      <c r="AD425" s="493"/>
    </row>
    <row r="426" spans="18:30" x14ac:dyDescent="0.25">
      <c r="R426" s="491"/>
      <c r="S426" s="491"/>
      <c r="T426" s="491"/>
      <c r="U426" s="491"/>
      <c r="V426" s="491"/>
      <c r="W426" s="491"/>
      <c r="X426" s="491"/>
      <c r="Y426" s="491"/>
      <c r="Z426" s="491"/>
      <c r="AA426" s="491"/>
      <c r="AB426" s="491"/>
      <c r="AC426" s="491"/>
      <c r="AD426" s="493"/>
    </row>
    <row r="427" spans="18:30" x14ac:dyDescent="0.25">
      <c r="R427" s="491"/>
      <c r="S427" s="491"/>
      <c r="T427" s="491"/>
      <c r="U427" s="491"/>
      <c r="V427" s="491"/>
      <c r="W427" s="491"/>
      <c r="X427" s="491"/>
      <c r="Y427" s="491"/>
      <c r="Z427" s="491"/>
      <c r="AA427" s="491"/>
      <c r="AB427" s="491"/>
      <c r="AC427" s="491"/>
      <c r="AD427" s="493"/>
    </row>
    <row r="428" spans="18:30" x14ac:dyDescent="0.25">
      <c r="R428" s="491"/>
      <c r="S428" s="491"/>
      <c r="T428" s="491"/>
      <c r="U428" s="491"/>
      <c r="V428" s="491"/>
      <c r="W428" s="491"/>
      <c r="X428" s="491"/>
      <c r="Y428" s="491"/>
      <c r="Z428" s="491"/>
      <c r="AA428" s="491"/>
      <c r="AB428" s="491"/>
      <c r="AC428" s="491"/>
      <c r="AD428" s="493"/>
    </row>
    <row r="429" spans="18:30" x14ac:dyDescent="0.25">
      <c r="R429" s="491"/>
      <c r="S429" s="491"/>
      <c r="T429" s="491"/>
      <c r="U429" s="491"/>
      <c r="V429" s="491"/>
      <c r="W429" s="491"/>
      <c r="X429" s="491"/>
      <c r="Y429" s="491"/>
      <c r="Z429" s="491"/>
      <c r="AA429" s="491"/>
      <c r="AB429" s="491"/>
      <c r="AC429" s="491"/>
      <c r="AD429" s="493"/>
    </row>
    <row r="430" spans="18:30" x14ac:dyDescent="0.25">
      <c r="R430" s="491"/>
      <c r="S430" s="491"/>
      <c r="T430" s="491"/>
      <c r="U430" s="491"/>
      <c r="V430" s="491"/>
      <c r="W430" s="491"/>
      <c r="X430" s="491"/>
      <c r="Y430" s="491"/>
      <c r="Z430" s="491"/>
      <c r="AA430" s="491"/>
      <c r="AB430" s="491"/>
      <c r="AC430" s="491"/>
      <c r="AD430" s="493"/>
    </row>
    <row r="431" spans="18:30" x14ac:dyDescent="0.25">
      <c r="R431" s="491"/>
      <c r="S431" s="491"/>
      <c r="T431" s="491"/>
      <c r="U431" s="491"/>
      <c r="V431" s="491"/>
      <c r="W431" s="491"/>
      <c r="X431" s="491"/>
      <c r="Y431" s="491"/>
      <c r="Z431" s="491"/>
      <c r="AA431" s="491"/>
      <c r="AB431" s="491"/>
      <c r="AC431" s="491"/>
      <c r="AD431" s="493"/>
    </row>
    <row r="432" spans="18:30" x14ac:dyDescent="0.25">
      <c r="R432" s="491"/>
      <c r="S432" s="491"/>
      <c r="T432" s="491"/>
      <c r="U432" s="491"/>
      <c r="V432" s="491"/>
      <c r="W432" s="491"/>
      <c r="X432" s="491"/>
      <c r="Y432" s="491"/>
      <c r="Z432" s="491"/>
      <c r="AA432" s="491"/>
      <c r="AB432" s="491"/>
      <c r="AC432" s="491"/>
      <c r="AD432" s="493"/>
    </row>
    <row r="433" spans="18:30" x14ac:dyDescent="0.25">
      <c r="R433" s="491"/>
      <c r="S433" s="491"/>
      <c r="T433" s="491"/>
      <c r="U433" s="491"/>
      <c r="V433" s="491"/>
      <c r="W433" s="491"/>
      <c r="X433" s="491"/>
      <c r="Y433" s="491"/>
      <c r="Z433" s="491"/>
      <c r="AA433" s="491"/>
      <c r="AB433" s="491"/>
      <c r="AC433" s="491"/>
      <c r="AD433" s="493"/>
    </row>
    <row r="434" spans="18:30" x14ac:dyDescent="0.25">
      <c r="R434" s="491"/>
      <c r="S434" s="491"/>
      <c r="T434" s="491"/>
      <c r="U434" s="491"/>
      <c r="V434" s="491"/>
      <c r="W434" s="491"/>
      <c r="X434" s="491"/>
      <c r="Y434" s="491"/>
      <c r="Z434" s="491"/>
      <c r="AA434" s="491"/>
      <c r="AB434" s="491"/>
      <c r="AC434" s="491"/>
      <c r="AD434" s="493"/>
    </row>
    <row r="435" spans="18:30" x14ac:dyDescent="0.25">
      <c r="R435" s="491"/>
      <c r="S435" s="491"/>
      <c r="T435" s="491"/>
      <c r="U435" s="491"/>
      <c r="V435" s="491"/>
      <c r="W435" s="491"/>
      <c r="X435" s="491"/>
      <c r="Y435" s="491"/>
      <c r="Z435" s="491"/>
      <c r="AA435" s="491"/>
      <c r="AB435" s="491"/>
      <c r="AC435" s="491"/>
      <c r="AD435" s="493"/>
    </row>
    <row r="436" spans="18:30" x14ac:dyDescent="0.25">
      <c r="R436" s="491"/>
      <c r="S436" s="491"/>
      <c r="T436" s="491"/>
      <c r="U436" s="491"/>
      <c r="V436" s="491"/>
      <c r="W436" s="491"/>
      <c r="X436" s="491"/>
      <c r="Y436" s="491"/>
      <c r="Z436" s="491"/>
      <c r="AA436" s="491"/>
      <c r="AB436" s="491"/>
      <c r="AC436" s="491"/>
      <c r="AD436" s="493"/>
    </row>
    <row r="437" spans="18:30" x14ac:dyDescent="0.25">
      <c r="R437" s="491"/>
      <c r="S437" s="491"/>
      <c r="T437" s="491"/>
      <c r="U437" s="491"/>
      <c r="V437" s="491"/>
      <c r="W437" s="491"/>
      <c r="X437" s="491"/>
      <c r="Y437" s="491"/>
      <c r="Z437" s="491"/>
      <c r="AA437" s="491"/>
      <c r="AB437" s="491"/>
      <c r="AC437" s="491"/>
      <c r="AD437" s="493"/>
    </row>
    <row r="438" spans="18:30" x14ac:dyDescent="0.25">
      <c r="R438" s="491"/>
      <c r="S438" s="491"/>
      <c r="T438" s="491"/>
      <c r="U438" s="491"/>
      <c r="V438" s="491"/>
      <c r="W438" s="491"/>
      <c r="X438" s="491"/>
      <c r="Y438" s="491"/>
      <c r="Z438" s="491"/>
      <c r="AA438" s="491"/>
      <c r="AB438" s="491"/>
      <c r="AC438" s="491"/>
      <c r="AD438" s="493"/>
    </row>
    <row r="439" spans="18:30" x14ac:dyDescent="0.25">
      <c r="R439" s="491"/>
      <c r="S439" s="491"/>
      <c r="T439" s="491"/>
      <c r="U439" s="491"/>
      <c r="V439" s="491"/>
      <c r="W439" s="491"/>
      <c r="X439" s="491"/>
      <c r="Y439" s="491"/>
      <c r="Z439" s="491"/>
      <c r="AA439" s="491"/>
      <c r="AB439" s="491"/>
      <c r="AC439" s="491"/>
      <c r="AD439" s="493"/>
    </row>
    <row r="440" spans="18:30" x14ac:dyDescent="0.25">
      <c r="R440" s="491"/>
      <c r="S440" s="491"/>
      <c r="T440" s="491"/>
      <c r="U440" s="491"/>
      <c r="V440" s="491"/>
      <c r="W440" s="491"/>
      <c r="X440" s="491"/>
      <c r="Y440" s="491"/>
      <c r="Z440" s="491"/>
      <c r="AA440" s="491"/>
      <c r="AB440" s="491"/>
      <c r="AC440" s="491"/>
      <c r="AD440" s="493"/>
    </row>
    <row r="441" spans="18:30" x14ac:dyDescent="0.25">
      <c r="R441" s="491"/>
      <c r="S441" s="491"/>
      <c r="T441" s="491"/>
      <c r="U441" s="491"/>
      <c r="V441" s="491"/>
      <c r="W441" s="491"/>
      <c r="X441" s="491"/>
      <c r="Y441" s="491"/>
      <c r="Z441" s="491"/>
      <c r="AA441" s="491"/>
      <c r="AB441" s="491"/>
      <c r="AC441" s="491"/>
      <c r="AD441" s="493"/>
    </row>
    <row r="442" spans="18:30" x14ac:dyDescent="0.25">
      <c r="R442" s="491"/>
      <c r="S442" s="491"/>
      <c r="T442" s="491"/>
      <c r="U442" s="491"/>
      <c r="V442" s="491"/>
      <c r="W442" s="491"/>
      <c r="X442" s="491"/>
      <c r="Y442" s="491"/>
      <c r="Z442" s="491"/>
      <c r="AA442" s="491"/>
      <c r="AB442" s="491"/>
      <c r="AC442" s="491"/>
      <c r="AD442" s="493"/>
    </row>
    <row r="443" spans="18:30" x14ac:dyDescent="0.25">
      <c r="R443" s="491"/>
      <c r="S443" s="491"/>
      <c r="T443" s="491"/>
      <c r="U443" s="491"/>
      <c r="V443" s="491"/>
      <c r="W443" s="491"/>
      <c r="X443" s="491"/>
      <c r="Y443" s="491"/>
      <c r="Z443" s="491"/>
      <c r="AA443" s="491"/>
      <c r="AB443" s="491"/>
      <c r="AC443" s="491"/>
      <c r="AD443" s="493"/>
    </row>
    <row r="444" spans="18:30" x14ac:dyDescent="0.25">
      <c r="R444" s="491"/>
      <c r="S444" s="491"/>
      <c r="T444" s="491"/>
      <c r="U444" s="491"/>
      <c r="V444" s="491"/>
      <c r="W444" s="491"/>
      <c r="X444" s="491"/>
      <c r="Y444" s="491"/>
      <c r="Z444" s="491"/>
      <c r="AA444" s="491"/>
      <c r="AB444" s="491"/>
      <c r="AC444" s="491"/>
      <c r="AD444" s="493"/>
    </row>
    <row r="445" spans="18:30" x14ac:dyDescent="0.25">
      <c r="R445" s="491"/>
      <c r="S445" s="491"/>
      <c r="T445" s="491"/>
      <c r="U445" s="491"/>
      <c r="V445" s="491"/>
      <c r="W445" s="491"/>
      <c r="X445" s="491"/>
      <c r="Y445" s="491"/>
      <c r="Z445" s="491"/>
      <c r="AA445" s="491"/>
      <c r="AB445" s="491"/>
      <c r="AC445" s="491"/>
      <c r="AD445" s="493"/>
    </row>
    <row r="446" spans="18:30" x14ac:dyDescent="0.25">
      <c r="R446" s="491"/>
      <c r="S446" s="491"/>
      <c r="T446" s="491"/>
      <c r="U446" s="491"/>
      <c r="V446" s="491"/>
      <c r="W446" s="491"/>
      <c r="X446" s="491"/>
      <c r="Y446" s="491"/>
      <c r="Z446" s="491"/>
      <c r="AA446" s="491"/>
      <c r="AB446" s="491"/>
      <c r="AC446" s="491"/>
      <c r="AD446" s="493"/>
    </row>
    <row r="447" spans="18:30" x14ac:dyDescent="0.25">
      <c r="R447" s="491"/>
      <c r="S447" s="491"/>
      <c r="T447" s="491"/>
      <c r="U447" s="491"/>
      <c r="V447" s="491"/>
      <c r="W447" s="491"/>
      <c r="X447" s="491"/>
      <c r="Y447" s="491"/>
      <c r="Z447" s="491"/>
      <c r="AA447" s="491"/>
      <c r="AB447" s="491"/>
      <c r="AC447" s="491"/>
      <c r="AD447" s="493"/>
    </row>
    <row r="448" spans="18:30" x14ac:dyDescent="0.25">
      <c r="R448" s="491"/>
      <c r="S448" s="491"/>
      <c r="T448" s="491"/>
      <c r="U448" s="491"/>
      <c r="V448" s="491"/>
      <c r="W448" s="491"/>
      <c r="X448" s="491"/>
      <c r="Y448" s="491"/>
      <c r="Z448" s="491"/>
      <c r="AA448" s="491"/>
      <c r="AB448" s="491"/>
      <c r="AC448" s="491"/>
      <c r="AD448" s="493"/>
    </row>
    <row r="449" spans="18:30" x14ac:dyDescent="0.25">
      <c r="R449" s="491"/>
      <c r="S449" s="491"/>
      <c r="T449" s="491"/>
      <c r="U449" s="491"/>
      <c r="V449" s="491"/>
      <c r="W449" s="491"/>
      <c r="X449" s="491"/>
      <c r="Y449" s="491"/>
      <c r="Z449" s="491"/>
      <c r="AA449" s="491"/>
      <c r="AB449" s="491"/>
      <c r="AC449" s="491"/>
      <c r="AD449" s="493"/>
    </row>
    <row r="450" spans="18:30" x14ac:dyDescent="0.25">
      <c r="R450" s="491"/>
      <c r="S450" s="491"/>
      <c r="T450" s="491"/>
      <c r="U450" s="491"/>
      <c r="V450" s="491"/>
      <c r="W450" s="491"/>
      <c r="X450" s="491"/>
      <c r="Y450" s="491"/>
      <c r="Z450" s="491"/>
      <c r="AA450" s="491"/>
      <c r="AB450" s="491"/>
      <c r="AC450" s="491"/>
      <c r="AD450" s="493"/>
    </row>
    <row r="451" spans="18:30" x14ac:dyDescent="0.25">
      <c r="R451" s="491"/>
      <c r="S451" s="491"/>
      <c r="T451" s="491"/>
      <c r="U451" s="491"/>
      <c r="V451" s="491"/>
      <c r="W451" s="491"/>
      <c r="X451" s="491"/>
      <c r="Y451" s="491"/>
      <c r="Z451" s="491"/>
      <c r="AA451" s="491"/>
      <c r="AB451" s="491"/>
      <c r="AC451" s="491"/>
      <c r="AD451" s="493"/>
    </row>
    <row r="452" spans="18:30" x14ac:dyDescent="0.25">
      <c r="R452" s="491"/>
      <c r="S452" s="491"/>
      <c r="T452" s="491"/>
      <c r="U452" s="491"/>
      <c r="V452" s="491"/>
      <c r="W452" s="491"/>
      <c r="X452" s="491"/>
      <c r="Y452" s="491"/>
      <c r="Z452" s="491"/>
      <c r="AA452" s="491"/>
      <c r="AB452" s="491"/>
      <c r="AC452" s="491"/>
      <c r="AD452" s="493"/>
    </row>
    <row r="453" spans="18:30" x14ac:dyDescent="0.25">
      <c r="R453" s="491"/>
      <c r="S453" s="491"/>
      <c r="T453" s="491"/>
      <c r="U453" s="491"/>
      <c r="V453" s="491"/>
      <c r="W453" s="491"/>
      <c r="X453" s="491"/>
      <c r="Y453" s="491"/>
      <c r="Z453" s="491"/>
      <c r="AA453" s="491"/>
      <c r="AB453" s="491"/>
      <c r="AC453" s="491"/>
      <c r="AD453" s="493"/>
    </row>
    <row r="454" spans="18:30" x14ac:dyDescent="0.25">
      <c r="R454" s="491"/>
      <c r="S454" s="491"/>
      <c r="T454" s="491"/>
      <c r="U454" s="491"/>
      <c r="V454" s="491"/>
      <c r="W454" s="491"/>
      <c r="X454" s="491"/>
      <c r="Y454" s="491"/>
      <c r="Z454" s="491"/>
      <c r="AA454" s="491"/>
      <c r="AB454" s="491"/>
      <c r="AC454" s="491"/>
      <c r="AD454" s="493"/>
    </row>
    <row r="455" spans="18:30" x14ac:dyDescent="0.25">
      <c r="R455" s="491"/>
      <c r="S455" s="491"/>
      <c r="T455" s="491"/>
      <c r="U455" s="491"/>
      <c r="V455" s="491"/>
      <c r="W455" s="491"/>
      <c r="X455" s="491"/>
      <c r="Y455" s="491"/>
      <c r="Z455" s="491"/>
      <c r="AA455" s="491"/>
      <c r="AB455" s="491"/>
      <c r="AC455" s="491"/>
      <c r="AD455" s="493"/>
    </row>
    <row r="456" spans="18:30" x14ac:dyDescent="0.25">
      <c r="R456" s="491"/>
      <c r="S456" s="491"/>
      <c r="T456" s="491"/>
      <c r="U456" s="491"/>
      <c r="V456" s="491"/>
      <c r="W456" s="491"/>
      <c r="X456" s="491"/>
      <c r="Y456" s="491"/>
      <c r="Z456" s="491"/>
      <c r="AA456" s="491"/>
      <c r="AB456" s="491"/>
      <c r="AC456" s="491"/>
      <c r="AD456" s="493"/>
    </row>
    <row r="457" spans="18:30" x14ac:dyDescent="0.25">
      <c r="R457" s="491"/>
      <c r="S457" s="491"/>
      <c r="T457" s="491"/>
      <c r="U457" s="491"/>
      <c r="V457" s="491"/>
      <c r="W457" s="491"/>
      <c r="X457" s="491"/>
      <c r="Y457" s="491"/>
      <c r="Z457" s="491"/>
      <c r="AA457" s="491"/>
      <c r="AB457" s="491"/>
      <c r="AC457" s="491"/>
      <c r="AD457" s="493"/>
    </row>
    <row r="458" spans="18:30" x14ac:dyDescent="0.25">
      <c r="R458" s="491"/>
      <c r="S458" s="491"/>
      <c r="T458" s="491"/>
      <c r="U458" s="491"/>
      <c r="V458" s="491"/>
      <c r="W458" s="491"/>
      <c r="X458" s="491"/>
      <c r="Y458" s="491"/>
      <c r="Z458" s="491"/>
      <c r="AA458" s="491"/>
      <c r="AB458" s="491"/>
      <c r="AC458" s="491"/>
      <c r="AD458" s="493"/>
    </row>
    <row r="459" spans="18:30" x14ac:dyDescent="0.25">
      <c r="R459" s="491"/>
      <c r="S459" s="491"/>
      <c r="T459" s="491"/>
      <c r="U459" s="491"/>
      <c r="V459" s="491"/>
      <c r="W459" s="491"/>
      <c r="X459" s="491"/>
      <c r="Y459" s="491"/>
      <c r="Z459" s="491"/>
      <c r="AA459" s="491"/>
      <c r="AB459" s="491"/>
      <c r="AC459" s="491"/>
      <c r="AD459" s="493"/>
    </row>
    <row r="460" spans="18:30" x14ac:dyDescent="0.25">
      <c r="R460" s="491"/>
      <c r="S460" s="491"/>
      <c r="T460" s="491"/>
      <c r="U460" s="491"/>
      <c r="V460" s="491"/>
      <c r="W460" s="491"/>
      <c r="X460" s="491"/>
      <c r="Y460" s="491"/>
      <c r="Z460" s="491"/>
      <c r="AA460" s="491"/>
      <c r="AB460" s="491"/>
      <c r="AC460" s="491"/>
      <c r="AD460" s="493"/>
    </row>
    <row r="461" spans="18:30" x14ac:dyDescent="0.25">
      <c r="R461" s="491"/>
      <c r="S461" s="491"/>
      <c r="T461" s="491"/>
      <c r="U461" s="491"/>
      <c r="V461" s="491"/>
      <c r="W461" s="491"/>
      <c r="X461" s="491"/>
      <c r="Y461" s="491"/>
      <c r="Z461" s="491"/>
      <c r="AA461" s="491"/>
      <c r="AB461" s="491"/>
      <c r="AC461" s="491"/>
      <c r="AD461" s="493"/>
    </row>
    <row r="462" spans="18:30" x14ac:dyDescent="0.25">
      <c r="R462" s="491"/>
      <c r="S462" s="491"/>
      <c r="T462" s="491"/>
      <c r="U462" s="491"/>
      <c r="V462" s="491"/>
      <c r="W462" s="491"/>
      <c r="X462" s="491"/>
      <c r="Y462" s="491"/>
      <c r="Z462" s="491"/>
      <c r="AA462" s="491"/>
      <c r="AB462" s="491"/>
      <c r="AC462" s="491"/>
      <c r="AD462" s="493"/>
    </row>
    <row r="463" spans="18:30" x14ac:dyDescent="0.25">
      <c r="R463" s="491"/>
      <c r="S463" s="491"/>
      <c r="T463" s="491"/>
      <c r="U463" s="491"/>
      <c r="V463" s="491"/>
      <c r="W463" s="491"/>
      <c r="X463" s="491"/>
      <c r="Y463" s="491"/>
      <c r="Z463" s="491"/>
      <c r="AA463" s="491"/>
      <c r="AB463" s="491"/>
      <c r="AC463" s="491"/>
      <c r="AD463" s="493"/>
    </row>
    <row r="464" spans="18:30" x14ac:dyDescent="0.25">
      <c r="R464" s="491"/>
      <c r="S464" s="491"/>
      <c r="T464" s="491"/>
      <c r="U464" s="491"/>
      <c r="V464" s="491"/>
      <c r="W464" s="491"/>
      <c r="X464" s="491"/>
      <c r="Y464" s="491"/>
      <c r="Z464" s="491"/>
      <c r="AA464" s="491"/>
      <c r="AB464" s="491"/>
      <c r="AC464" s="491"/>
      <c r="AD464" s="493"/>
    </row>
    <row r="465" spans="18:30" x14ac:dyDescent="0.25">
      <c r="R465" s="491"/>
      <c r="S465" s="491"/>
      <c r="T465" s="491"/>
      <c r="U465" s="491"/>
      <c r="V465" s="491"/>
      <c r="W465" s="491"/>
      <c r="X465" s="491"/>
      <c r="Y465" s="491"/>
      <c r="Z465" s="491"/>
      <c r="AA465" s="491"/>
      <c r="AB465" s="491"/>
      <c r="AC465" s="491"/>
      <c r="AD465" s="493"/>
    </row>
    <row r="466" spans="18:30" x14ac:dyDescent="0.25">
      <c r="R466" s="491"/>
      <c r="S466" s="491"/>
      <c r="T466" s="491"/>
      <c r="U466" s="491"/>
      <c r="V466" s="491"/>
      <c r="W466" s="491"/>
      <c r="X466" s="491"/>
      <c r="Y466" s="491"/>
      <c r="Z466" s="491"/>
      <c r="AA466" s="491"/>
      <c r="AB466" s="491"/>
      <c r="AC466" s="491"/>
      <c r="AD466" s="493"/>
    </row>
    <row r="467" spans="18:30" x14ac:dyDescent="0.25">
      <c r="R467" s="491"/>
      <c r="S467" s="491"/>
      <c r="T467" s="491"/>
      <c r="U467" s="491"/>
      <c r="V467" s="491"/>
      <c r="W467" s="491"/>
      <c r="X467" s="491"/>
      <c r="Y467" s="491"/>
      <c r="Z467" s="491"/>
      <c r="AA467" s="491"/>
      <c r="AB467" s="491"/>
      <c r="AC467" s="491"/>
      <c r="AD467" s="493"/>
    </row>
    <row r="468" spans="18:30" x14ac:dyDescent="0.25">
      <c r="R468" s="491"/>
      <c r="S468" s="491"/>
      <c r="T468" s="491"/>
      <c r="U468" s="491"/>
      <c r="V468" s="491"/>
      <c r="W468" s="491"/>
      <c r="X468" s="491"/>
      <c r="Y468" s="491"/>
      <c r="Z468" s="491"/>
      <c r="AA468" s="491"/>
      <c r="AB468" s="491"/>
      <c r="AC468" s="491"/>
      <c r="AD468" s="493"/>
    </row>
    <row r="469" spans="18:30" x14ac:dyDescent="0.25">
      <c r="R469" s="491"/>
      <c r="S469" s="491"/>
      <c r="T469" s="491"/>
      <c r="U469" s="491"/>
      <c r="V469" s="491"/>
      <c r="W469" s="491"/>
      <c r="X469" s="491"/>
      <c r="Y469" s="491"/>
      <c r="Z469" s="491"/>
      <c r="AA469" s="491"/>
      <c r="AB469" s="491"/>
      <c r="AC469" s="491"/>
      <c r="AD469" s="493"/>
    </row>
    <row r="470" spans="18:30" x14ac:dyDescent="0.25">
      <c r="R470" s="491"/>
      <c r="S470" s="491"/>
      <c r="T470" s="491"/>
      <c r="U470" s="491"/>
      <c r="V470" s="491"/>
      <c r="W470" s="491"/>
      <c r="X470" s="491"/>
      <c r="Y470" s="491"/>
      <c r="Z470" s="491"/>
      <c r="AA470" s="491"/>
      <c r="AB470" s="491"/>
      <c r="AC470" s="491"/>
      <c r="AD470" s="493"/>
    </row>
    <row r="471" spans="18:30" x14ac:dyDescent="0.25">
      <c r="R471" s="491"/>
      <c r="S471" s="491"/>
      <c r="T471" s="491"/>
      <c r="U471" s="491"/>
      <c r="V471" s="491"/>
      <c r="W471" s="491"/>
      <c r="X471" s="491"/>
      <c r="Y471" s="491"/>
      <c r="Z471" s="491"/>
      <c r="AA471" s="491"/>
      <c r="AB471" s="491"/>
      <c r="AC471" s="491"/>
      <c r="AD471" s="493"/>
    </row>
    <row r="472" spans="18:30" x14ac:dyDescent="0.25">
      <c r="R472" s="491"/>
      <c r="S472" s="491"/>
      <c r="T472" s="491"/>
      <c r="U472" s="491"/>
      <c r="V472" s="491"/>
      <c r="W472" s="491"/>
      <c r="X472" s="491"/>
      <c r="Y472" s="491"/>
      <c r="Z472" s="491"/>
      <c r="AA472" s="491"/>
      <c r="AB472" s="491"/>
      <c r="AC472" s="491"/>
      <c r="AD472" s="493"/>
    </row>
    <row r="473" spans="18:30" x14ac:dyDescent="0.25">
      <c r="R473" s="491"/>
      <c r="S473" s="491"/>
      <c r="T473" s="491"/>
      <c r="U473" s="491"/>
      <c r="V473" s="491"/>
      <c r="W473" s="491"/>
      <c r="X473" s="491"/>
      <c r="Y473" s="491"/>
      <c r="Z473" s="491"/>
      <c r="AA473" s="491"/>
      <c r="AB473" s="491"/>
      <c r="AC473" s="491"/>
      <c r="AD473" s="493"/>
    </row>
    <row r="474" spans="18:30" x14ac:dyDescent="0.25">
      <c r="R474" s="491"/>
      <c r="S474" s="491"/>
      <c r="T474" s="491"/>
      <c r="U474" s="491"/>
      <c r="V474" s="491"/>
      <c r="W474" s="491"/>
      <c r="X474" s="491"/>
      <c r="Y474" s="491"/>
      <c r="Z474" s="491"/>
      <c r="AA474" s="491"/>
      <c r="AB474" s="491"/>
      <c r="AC474" s="491"/>
      <c r="AD474" s="493"/>
    </row>
    <row r="475" spans="18:30" x14ac:dyDescent="0.25">
      <c r="R475" s="491"/>
      <c r="S475" s="491"/>
      <c r="T475" s="491"/>
      <c r="U475" s="491"/>
      <c r="V475" s="491"/>
      <c r="W475" s="491"/>
      <c r="X475" s="491"/>
      <c r="Y475" s="491"/>
      <c r="Z475" s="491"/>
      <c r="AA475" s="491"/>
      <c r="AB475" s="491"/>
      <c r="AC475" s="491"/>
      <c r="AD475" s="493"/>
    </row>
    <row r="476" spans="18:30" x14ac:dyDescent="0.25">
      <c r="R476" s="491"/>
      <c r="S476" s="491"/>
      <c r="T476" s="491"/>
      <c r="U476" s="491"/>
      <c r="V476" s="491"/>
      <c r="W476" s="491"/>
      <c r="X476" s="491"/>
      <c r="Y476" s="491"/>
      <c r="Z476" s="491"/>
      <c r="AA476" s="491"/>
      <c r="AB476" s="491"/>
      <c r="AC476" s="491"/>
      <c r="AD476" s="493"/>
    </row>
    <row r="477" spans="18:30" x14ac:dyDescent="0.25">
      <c r="R477" s="491"/>
      <c r="S477" s="491"/>
      <c r="T477" s="491"/>
      <c r="U477" s="491"/>
      <c r="V477" s="491"/>
      <c r="W477" s="491"/>
      <c r="X477" s="491"/>
      <c r="Y477" s="491"/>
      <c r="Z477" s="491"/>
      <c r="AA477" s="491"/>
      <c r="AB477" s="491"/>
      <c r="AC477" s="491"/>
      <c r="AD477" s="493"/>
    </row>
    <row r="478" spans="18:30" x14ac:dyDescent="0.25">
      <c r="R478" s="491"/>
      <c r="S478" s="491"/>
      <c r="T478" s="491"/>
      <c r="U478" s="491"/>
      <c r="V478" s="491"/>
      <c r="W478" s="491"/>
      <c r="X478" s="491"/>
      <c r="Y478" s="491"/>
      <c r="Z478" s="491"/>
      <c r="AA478" s="491"/>
      <c r="AB478" s="491"/>
      <c r="AC478" s="491"/>
      <c r="AD478" s="493"/>
    </row>
    <row r="479" spans="18:30" x14ac:dyDescent="0.25">
      <c r="R479" s="491"/>
      <c r="S479" s="491"/>
      <c r="T479" s="491"/>
      <c r="U479" s="491"/>
      <c r="V479" s="491"/>
      <c r="W479" s="491"/>
      <c r="X479" s="491"/>
      <c r="Y479" s="491"/>
      <c r="Z479" s="491"/>
      <c r="AA479" s="491"/>
      <c r="AB479" s="491"/>
      <c r="AC479" s="491"/>
      <c r="AD479" s="493"/>
    </row>
    <row r="480" spans="18:30" x14ac:dyDescent="0.25">
      <c r="R480" s="491"/>
      <c r="S480" s="491"/>
      <c r="T480" s="491"/>
      <c r="U480" s="491"/>
      <c r="V480" s="491"/>
      <c r="W480" s="491"/>
      <c r="X480" s="491"/>
      <c r="Y480" s="491"/>
      <c r="Z480" s="491"/>
      <c r="AA480" s="491"/>
      <c r="AB480" s="491"/>
      <c r="AC480" s="491"/>
      <c r="AD480" s="493"/>
    </row>
    <row r="481" spans="18:30" x14ac:dyDescent="0.25">
      <c r="R481" s="491"/>
      <c r="S481" s="491"/>
      <c r="T481" s="491"/>
      <c r="U481" s="491"/>
      <c r="V481" s="491"/>
      <c r="W481" s="491"/>
      <c r="X481" s="491"/>
      <c r="Y481" s="491"/>
      <c r="Z481" s="491"/>
      <c r="AA481" s="491"/>
      <c r="AB481" s="491"/>
      <c r="AC481" s="491"/>
      <c r="AD481" s="493"/>
    </row>
    <row r="482" spans="18:30" x14ac:dyDescent="0.25">
      <c r="R482" s="491"/>
      <c r="S482" s="491"/>
      <c r="T482" s="491"/>
      <c r="U482" s="491"/>
      <c r="V482" s="491"/>
      <c r="W482" s="491"/>
      <c r="X482" s="491"/>
      <c r="Y482" s="491"/>
      <c r="Z482" s="491"/>
      <c r="AA482" s="491"/>
      <c r="AB482" s="491"/>
      <c r="AC482" s="491"/>
      <c r="AD482" s="493"/>
    </row>
    <row r="483" spans="18:30" x14ac:dyDescent="0.25">
      <c r="R483" s="491"/>
      <c r="S483" s="491"/>
      <c r="T483" s="491"/>
      <c r="U483" s="491"/>
      <c r="V483" s="491"/>
      <c r="W483" s="491"/>
      <c r="X483" s="491"/>
      <c r="Y483" s="491"/>
      <c r="Z483" s="491"/>
      <c r="AA483" s="491"/>
      <c r="AB483" s="491"/>
      <c r="AC483" s="491"/>
      <c r="AD483" s="493"/>
    </row>
    <row r="484" spans="18:30" x14ac:dyDescent="0.25">
      <c r="R484" s="491"/>
      <c r="S484" s="491"/>
      <c r="T484" s="491"/>
      <c r="U484" s="491"/>
      <c r="V484" s="491"/>
      <c r="W484" s="491"/>
      <c r="X484" s="491"/>
      <c r="Y484" s="491"/>
      <c r="Z484" s="491"/>
      <c r="AA484" s="491"/>
      <c r="AB484" s="491"/>
      <c r="AC484" s="491"/>
      <c r="AD484" s="493"/>
    </row>
    <row r="485" spans="18:30" x14ac:dyDescent="0.25">
      <c r="R485" s="491"/>
      <c r="S485" s="491"/>
      <c r="T485" s="491"/>
      <c r="U485" s="491"/>
      <c r="V485" s="491"/>
      <c r="W485" s="491"/>
      <c r="X485" s="491"/>
      <c r="Y485" s="491"/>
      <c r="Z485" s="491"/>
      <c r="AA485" s="491"/>
      <c r="AB485" s="491"/>
      <c r="AC485" s="491"/>
      <c r="AD485" s="493"/>
    </row>
    <row r="486" spans="18:30" x14ac:dyDescent="0.25">
      <c r="R486" s="491"/>
      <c r="S486" s="491"/>
      <c r="T486" s="491"/>
      <c r="U486" s="491"/>
      <c r="V486" s="491"/>
      <c r="W486" s="491"/>
      <c r="X486" s="491"/>
      <c r="Y486" s="491"/>
      <c r="Z486" s="491"/>
      <c r="AA486" s="491"/>
      <c r="AB486" s="491"/>
      <c r="AC486" s="491"/>
      <c r="AD486" s="493"/>
    </row>
    <row r="487" spans="18:30" x14ac:dyDescent="0.25">
      <c r="R487" s="491"/>
      <c r="S487" s="491"/>
      <c r="T487" s="491"/>
      <c r="U487" s="491"/>
      <c r="V487" s="491"/>
      <c r="W487" s="491"/>
      <c r="X487" s="491"/>
      <c r="Y487" s="491"/>
      <c r="Z487" s="491"/>
      <c r="AA487" s="491"/>
      <c r="AB487" s="491"/>
      <c r="AC487" s="491"/>
      <c r="AD487" s="493"/>
    </row>
    <row r="488" spans="18:30" x14ac:dyDescent="0.25">
      <c r="R488" s="491"/>
      <c r="S488" s="491"/>
      <c r="T488" s="491"/>
      <c r="U488" s="491"/>
      <c r="V488" s="491"/>
      <c r="W488" s="491"/>
      <c r="X488" s="491"/>
      <c r="Y488" s="491"/>
      <c r="Z488" s="491"/>
      <c r="AA488" s="491"/>
      <c r="AB488" s="491"/>
      <c r="AC488" s="491"/>
      <c r="AD488" s="493"/>
    </row>
    <row r="489" spans="18:30" x14ac:dyDescent="0.25">
      <c r="R489" s="491"/>
      <c r="S489" s="491"/>
      <c r="T489" s="491"/>
      <c r="U489" s="491"/>
      <c r="V489" s="491"/>
      <c r="W489" s="491"/>
      <c r="X489" s="491"/>
      <c r="Y489" s="491"/>
      <c r="Z489" s="491"/>
      <c r="AA489" s="491"/>
      <c r="AB489" s="491"/>
      <c r="AC489" s="491"/>
      <c r="AD489" s="493"/>
    </row>
    <row r="490" spans="18:30" x14ac:dyDescent="0.25">
      <c r="R490" s="491"/>
      <c r="S490" s="491"/>
      <c r="T490" s="491"/>
      <c r="U490" s="491"/>
      <c r="V490" s="491"/>
      <c r="W490" s="491"/>
      <c r="X490" s="491"/>
      <c r="Y490" s="491"/>
      <c r="Z490" s="491"/>
      <c r="AA490" s="491"/>
      <c r="AB490" s="491"/>
      <c r="AC490" s="491"/>
      <c r="AD490" s="493"/>
    </row>
    <row r="491" spans="18:30" x14ac:dyDescent="0.25">
      <c r="R491" s="491"/>
      <c r="S491" s="491"/>
      <c r="T491" s="491"/>
      <c r="U491" s="491"/>
      <c r="V491" s="491"/>
      <c r="W491" s="491"/>
      <c r="X491" s="491"/>
      <c r="Y491" s="491"/>
      <c r="Z491" s="491"/>
      <c r="AA491" s="491"/>
      <c r="AB491" s="491"/>
      <c r="AC491" s="491"/>
      <c r="AD491" s="493"/>
    </row>
    <row r="492" spans="18:30" x14ac:dyDescent="0.25">
      <c r="R492" s="491"/>
      <c r="S492" s="491"/>
      <c r="T492" s="491"/>
      <c r="U492" s="491"/>
      <c r="V492" s="491"/>
      <c r="W492" s="491"/>
      <c r="X492" s="491"/>
      <c r="Y492" s="491"/>
      <c r="Z492" s="491"/>
      <c r="AA492" s="491"/>
      <c r="AB492" s="491"/>
      <c r="AC492" s="491"/>
      <c r="AD492" s="493"/>
    </row>
    <row r="493" spans="18:30" x14ac:dyDescent="0.25">
      <c r="R493" s="491"/>
      <c r="S493" s="491"/>
      <c r="T493" s="491"/>
      <c r="U493" s="491"/>
      <c r="V493" s="491"/>
      <c r="W493" s="491"/>
      <c r="X493" s="491"/>
      <c r="Y493" s="491"/>
      <c r="Z493" s="491"/>
      <c r="AA493" s="491"/>
      <c r="AB493" s="491"/>
      <c r="AC493" s="491"/>
      <c r="AD493" s="493"/>
    </row>
    <row r="494" spans="18:30" x14ac:dyDescent="0.25">
      <c r="R494" s="491"/>
      <c r="S494" s="491"/>
      <c r="T494" s="491"/>
      <c r="U494" s="491"/>
      <c r="V494" s="491"/>
      <c r="W494" s="491"/>
      <c r="X494" s="491"/>
      <c r="Y494" s="491"/>
      <c r="Z494" s="491"/>
      <c r="AA494" s="491"/>
      <c r="AB494" s="491"/>
      <c r="AC494" s="491"/>
      <c r="AD494" s="493"/>
    </row>
    <row r="495" spans="18:30" x14ac:dyDescent="0.25">
      <c r="R495" s="491"/>
      <c r="S495" s="491"/>
      <c r="T495" s="491"/>
      <c r="U495" s="491"/>
      <c r="V495" s="491"/>
      <c r="W495" s="491"/>
      <c r="X495" s="491"/>
      <c r="Y495" s="491"/>
      <c r="Z495" s="491"/>
      <c r="AA495" s="491"/>
      <c r="AB495" s="491"/>
      <c r="AC495" s="491"/>
      <c r="AD495" s="493"/>
    </row>
    <row r="496" spans="18:30" x14ac:dyDescent="0.25">
      <c r="R496" s="491"/>
      <c r="S496" s="491"/>
      <c r="T496" s="491"/>
      <c r="U496" s="491"/>
      <c r="V496" s="491"/>
      <c r="W496" s="491"/>
      <c r="X496" s="491"/>
      <c r="Y496" s="491"/>
      <c r="Z496" s="491"/>
      <c r="AA496" s="491"/>
      <c r="AB496" s="491"/>
      <c r="AC496" s="491"/>
      <c r="AD496" s="493"/>
    </row>
    <row r="497" spans="18:30" x14ac:dyDescent="0.25">
      <c r="R497" s="491"/>
      <c r="S497" s="491"/>
      <c r="T497" s="491"/>
      <c r="U497" s="491"/>
      <c r="V497" s="491"/>
      <c r="W497" s="491"/>
      <c r="X497" s="491"/>
      <c r="Y497" s="491"/>
      <c r="Z497" s="491"/>
      <c r="AA497" s="491"/>
      <c r="AB497" s="491"/>
      <c r="AC497" s="491"/>
      <c r="AD497" s="493"/>
    </row>
    <row r="498" spans="18:30" x14ac:dyDescent="0.25">
      <c r="R498" s="491"/>
      <c r="S498" s="491"/>
      <c r="T498" s="491"/>
      <c r="U498" s="491"/>
      <c r="V498" s="491"/>
      <c r="W498" s="491"/>
      <c r="X498" s="491"/>
      <c r="Y498" s="491"/>
      <c r="Z498" s="491"/>
      <c r="AA498" s="491"/>
      <c r="AB498" s="491"/>
      <c r="AC498" s="491"/>
      <c r="AD498" s="493"/>
    </row>
    <row r="499" spans="18:30" x14ac:dyDescent="0.25">
      <c r="R499" s="491"/>
      <c r="S499" s="491"/>
      <c r="T499" s="491"/>
      <c r="U499" s="491"/>
      <c r="V499" s="491"/>
      <c r="W499" s="491"/>
      <c r="X499" s="491"/>
      <c r="Y499" s="491"/>
      <c r="Z499" s="491"/>
      <c r="AA499" s="491"/>
      <c r="AB499" s="491"/>
      <c r="AC499" s="491"/>
      <c r="AD499" s="493"/>
    </row>
    <row r="500" spans="18:30" x14ac:dyDescent="0.25">
      <c r="R500" s="491"/>
      <c r="S500" s="491"/>
      <c r="T500" s="491"/>
      <c r="U500" s="491"/>
      <c r="V500" s="491"/>
      <c r="W500" s="491"/>
      <c r="X500" s="491"/>
      <c r="Y500" s="491"/>
      <c r="Z500" s="491"/>
      <c r="AA500" s="491"/>
      <c r="AB500" s="491"/>
      <c r="AC500" s="491"/>
      <c r="AD500" s="493"/>
    </row>
    <row r="501" spans="18:30" x14ac:dyDescent="0.25">
      <c r="R501" s="491"/>
      <c r="S501" s="491"/>
      <c r="T501" s="491"/>
      <c r="U501" s="491"/>
      <c r="V501" s="491"/>
      <c r="W501" s="491"/>
      <c r="X501" s="491"/>
      <c r="Y501" s="491"/>
      <c r="Z501" s="491"/>
      <c r="AA501" s="491"/>
      <c r="AB501" s="491"/>
      <c r="AC501" s="491"/>
      <c r="AD501" s="493"/>
    </row>
    <row r="502" spans="18:30" x14ac:dyDescent="0.25">
      <c r="R502" s="491"/>
      <c r="S502" s="491"/>
      <c r="T502" s="491"/>
      <c r="U502" s="491"/>
      <c r="V502" s="491"/>
      <c r="W502" s="491"/>
      <c r="X502" s="491"/>
      <c r="Y502" s="491"/>
      <c r="Z502" s="491"/>
      <c r="AA502" s="491"/>
      <c r="AB502" s="491"/>
      <c r="AC502" s="491"/>
      <c r="AD502" s="493"/>
    </row>
    <row r="503" spans="18:30" x14ac:dyDescent="0.25">
      <c r="R503" s="491"/>
      <c r="S503" s="491"/>
      <c r="T503" s="491"/>
      <c r="U503" s="491"/>
      <c r="V503" s="491"/>
      <c r="W503" s="491"/>
      <c r="X503" s="491"/>
      <c r="Y503" s="491"/>
      <c r="Z503" s="491"/>
      <c r="AA503" s="491"/>
      <c r="AB503" s="491"/>
      <c r="AC503" s="491"/>
      <c r="AD503" s="493"/>
    </row>
    <row r="504" spans="18:30" x14ac:dyDescent="0.25">
      <c r="R504" s="491"/>
      <c r="S504" s="491"/>
      <c r="T504" s="491"/>
      <c r="U504" s="491"/>
      <c r="V504" s="491"/>
      <c r="W504" s="491"/>
      <c r="X504" s="491"/>
      <c r="Y504" s="491"/>
      <c r="Z504" s="491"/>
      <c r="AA504" s="491"/>
      <c r="AB504" s="491"/>
      <c r="AC504" s="491"/>
      <c r="AD504" s="493"/>
    </row>
    <row r="505" spans="18:30" x14ac:dyDescent="0.25">
      <c r="R505" s="491"/>
      <c r="S505" s="491"/>
      <c r="T505" s="491"/>
      <c r="U505" s="491"/>
      <c r="V505" s="491"/>
      <c r="W505" s="491"/>
      <c r="X505" s="491"/>
      <c r="Y505" s="491"/>
      <c r="Z505" s="491"/>
      <c r="AA505" s="491"/>
      <c r="AB505" s="491"/>
      <c r="AC505" s="491"/>
      <c r="AD505" s="493"/>
    </row>
    <row r="506" spans="18:30" x14ac:dyDescent="0.25">
      <c r="R506" s="491"/>
      <c r="S506" s="491"/>
      <c r="T506" s="491"/>
      <c r="U506" s="491"/>
      <c r="V506" s="491"/>
      <c r="W506" s="491"/>
      <c r="X506" s="491"/>
      <c r="Y506" s="491"/>
      <c r="Z506" s="491"/>
      <c r="AA506" s="491"/>
      <c r="AB506" s="491"/>
      <c r="AC506" s="491"/>
      <c r="AD506" s="493"/>
    </row>
    <row r="507" spans="18:30" x14ac:dyDescent="0.25">
      <c r="R507" s="491"/>
      <c r="S507" s="491"/>
      <c r="T507" s="491"/>
      <c r="U507" s="491"/>
      <c r="V507" s="491"/>
      <c r="W507" s="491"/>
      <c r="X507" s="491"/>
      <c r="Y507" s="491"/>
      <c r="Z507" s="491"/>
      <c r="AA507" s="491"/>
      <c r="AB507" s="491"/>
      <c r="AC507" s="491"/>
      <c r="AD507" s="493"/>
    </row>
    <row r="508" spans="18:30" x14ac:dyDescent="0.25">
      <c r="R508" s="491"/>
      <c r="S508" s="491"/>
      <c r="T508" s="491"/>
      <c r="U508" s="491"/>
      <c r="V508" s="491"/>
      <c r="W508" s="491"/>
      <c r="X508" s="491"/>
      <c r="Y508" s="491"/>
      <c r="Z508" s="491"/>
      <c r="AA508" s="491"/>
      <c r="AB508" s="491"/>
      <c r="AC508" s="491"/>
      <c r="AD508" s="493"/>
    </row>
    <row r="509" spans="18:30" x14ac:dyDescent="0.25">
      <c r="R509" s="491"/>
      <c r="S509" s="491"/>
      <c r="T509" s="491"/>
      <c r="U509" s="491"/>
      <c r="V509" s="491"/>
      <c r="W509" s="491"/>
      <c r="X509" s="491"/>
      <c r="Y509" s="491"/>
      <c r="Z509" s="491"/>
      <c r="AA509" s="491"/>
      <c r="AB509" s="491"/>
      <c r="AC509" s="491"/>
      <c r="AD509" s="493"/>
    </row>
    <row r="510" spans="18:30" x14ac:dyDescent="0.25">
      <c r="R510" s="491"/>
      <c r="S510" s="491"/>
      <c r="T510" s="491"/>
      <c r="U510" s="491"/>
      <c r="V510" s="491"/>
      <c r="W510" s="491"/>
      <c r="X510" s="491"/>
      <c r="Y510" s="491"/>
      <c r="Z510" s="491"/>
      <c r="AA510" s="491"/>
      <c r="AB510" s="491"/>
      <c r="AC510" s="491"/>
      <c r="AD510" s="493"/>
    </row>
    <row r="511" spans="18:30" x14ac:dyDescent="0.25">
      <c r="R511" s="491"/>
      <c r="S511" s="491"/>
      <c r="T511" s="491"/>
      <c r="U511" s="491"/>
      <c r="V511" s="491"/>
      <c r="W511" s="491"/>
      <c r="X511" s="491"/>
      <c r="Y511" s="491"/>
      <c r="Z511" s="491"/>
      <c r="AA511" s="491"/>
      <c r="AB511" s="491"/>
      <c r="AC511" s="491"/>
      <c r="AD511" s="493"/>
    </row>
    <row r="512" spans="18:30" x14ac:dyDescent="0.25">
      <c r="R512" s="491"/>
      <c r="S512" s="491"/>
      <c r="T512" s="491"/>
      <c r="U512" s="491"/>
      <c r="V512" s="491"/>
      <c r="W512" s="491"/>
      <c r="X512" s="491"/>
      <c r="Y512" s="491"/>
      <c r="Z512" s="491"/>
      <c r="AA512" s="491"/>
      <c r="AB512" s="491"/>
      <c r="AC512" s="491"/>
      <c r="AD512" s="493"/>
    </row>
    <row r="513" spans="18:30" x14ac:dyDescent="0.25">
      <c r="R513" s="491"/>
      <c r="S513" s="491"/>
      <c r="T513" s="491"/>
      <c r="U513" s="491"/>
      <c r="V513" s="491"/>
      <c r="W513" s="491"/>
      <c r="X513" s="491"/>
      <c r="Y513" s="491"/>
      <c r="Z513" s="491"/>
      <c r="AA513" s="491"/>
      <c r="AB513" s="491"/>
      <c r="AC513" s="491"/>
      <c r="AD513" s="493"/>
    </row>
    <row r="514" spans="18:30" x14ac:dyDescent="0.25">
      <c r="R514" s="491"/>
      <c r="S514" s="491"/>
      <c r="T514" s="491"/>
      <c r="U514" s="491"/>
      <c r="V514" s="491"/>
      <c r="W514" s="491"/>
      <c r="X514" s="491"/>
      <c r="Y514" s="491"/>
      <c r="Z514" s="491"/>
      <c r="AA514" s="491"/>
      <c r="AB514" s="491"/>
      <c r="AC514" s="491"/>
      <c r="AD514" s="493"/>
    </row>
    <row r="515" spans="18:30" x14ac:dyDescent="0.25">
      <c r="R515" s="491"/>
      <c r="S515" s="491"/>
      <c r="T515" s="491"/>
      <c r="U515" s="491"/>
      <c r="V515" s="491"/>
      <c r="W515" s="491"/>
      <c r="X515" s="491"/>
      <c r="Y515" s="491"/>
      <c r="Z515" s="491"/>
      <c r="AA515" s="491"/>
      <c r="AB515" s="491"/>
      <c r="AC515" s="491"/>
      <c r="AD515" s="493"/>
    </row>
    <row r="516" spans="18:30" x14ac:dyDescent="0.25">
      <c r="R516" s="491"/>
      <c r="S516" s="491"/>
      <c r="T516" s="491"/>
      <c r="U516" s="491"/>
      <c r="V516" s="491"/>
      <c r="W516" s="491"/>
      <c r="X516" s="491"/>
      <c r="Y516" s="491"/>
      <c r="Z516" s="491"/>
      <c r="AA516" s="491"/>
      <c r="AB516" s="491"/>
      <c r="AC516" s="491"/>
      <c r="AD516" s="493"/>
    </row>
    <row r="517" spans="18:30" x14ac:dyDescent="0.25">
      <c r="R517" s="491"/>
      <c r="S517" s="491"/>
      <c r="T517" s="491"/>
      <c r="U517" s="491"/>
      <c r="V517" s="491"/>
      <c r="W517" s="491"/>
      <c r="X517" s="491"/>
      <c r="Y517" s="491"/>
      <c r="Z517" s="491"/>
      <c r="AA517" s="491"/>
      <c r="AB517" s="491"/>
      <c r="AC517" s="491"/>
      <c r="AD517" s="493"/>
    </row>
    <row r="518" spans="18:30" x14ac:dyDescent="0.25">
      <c r="R518" s="491"/>
      <c r="S518" s="491"/>
      <c r="T518" s="491"/>
      <c r="U518" s="491"/>
      <c r="V518" s="491"/>
      <c r="W518" s="491"/>
      <c r="X518" s="491"/>
      <c r="Y518" s="491"/>
      <c r="Z518" s="491"/>
      <c r="AA518" s="491"/>
      <c r="AB518" s="491"/>
      <c r="AC518" s="491"/>
      <c r="AD518" s="493"/>
    </row>
    <row r="519" spans="18:30" x14ac:dyDescent="0.25">
      <c r="R519" s="491"/>
      <c r="S519" s="491"/>
      <c r="T519" s="491"/>
      <c r="U519" s="491"/>
      <c r="V519" s="491"/>
      <c r="W519" s="491"/>
      <c r="X519" s="491"/>
      <c r="Y519" s="491"/>
      <c r="Z519" s="491"/>
      <c r="AA519" s="491"/>
      <c r="AB519" s="491"/>
      <c r="AC519" s="491"/>
      <c r="AD519" s="493"/>
    </row>
    <row r="520" spans="18:30" x14ac:dyDescent="0.25">
      <c r="R520" s="491"/>
      <c r="S520" s="491"/>
      <c r="T520" s="491"/>
      <c r="U520" s="491"/>
      <c r="V520" s="491"/>
      <c r="W520" s="491"/>
      <c r="X520" s="491"/>
      <c r="Y520" s="491"/>
      <c r="Z520" s="491"/>
      <c r="AA520" s="491"/>
      <c r="AB520" s="491"/>
      <c r="AC520" s="491"/>
      <c r="AD520" s="493"/>
    </row>
    <row r="521" spans="18:30" x14ac:dyDescent="0.25">
      <c r="R521" s="491"/>
      <c r="S521" s="491"/>
      <c r="T521" s="491"/>
      <c r="U521" s="491"/>
      <c r="V521" s="491"/>
      <c r="W521" s="491"/>
      <c r="X521" s="491"/>
      <c r="Y521" s="491"/>
      <c r="Z521" s="491"/>
      <c r="AA521" s="491"/>
      <c r="AB521" s="491"/>
      <c r="AC521" s="491"/>
      <c r="AD521" s="493"/>
    </row>
    <row r="522" spans="18:30" x14ac:dyDescent="0.25">
      <c r="R522" s="491"/>
      <c r="S522" s="491"/>
      <c r="T522" s="491"/>
      <c r="U522" s="491"/>
      <c r="V522" s="491"/>
      <c r="W522" s="491"/>
      <c r="X522" s="491"/>
      <c r="Y522" s="491"/>
      <c r="Z522" s="491"/>
      <c r="AA522" s="491"/>
      <c r="AB522" s="491"/>
      <c r="AC522" s="491"/>
      <c r="AD522" s="493"/>
    </row>
    <row r="523" spans="18:30" x14ac:dyDescent="0.25">
      <c r="R523" s="491"/>
      <c r="S523" s="491"/>
      <c r="T523" s="491"/>
      <c r="U523" s="491"/>
      <c r="V523" s="491"/>
      <c r="W523" s="491"/>
      <c r="X523" s="491"/>
      <c r="Y523" s="491"/>
      <c r="Z523" s="491"/>
      <c r="AA523" s="491"/>
      <c r="AB523" s="491"/>
      <c r="AC523" s="491"/>
      <c r="AD523" s="493"/>
    </row>
    <row r="524" spans="18:30" x14ac:dyDescent="0.25">
      <c r="R524" s="491"/>
      <c r="S524" s="491"/>
      <c r="T524" s="491"/>
      <c r="U524" s="491"/>
      <c r="V524" s="491"/>
      <c r="W524" s="491"/>
      <c r="X524" s="491"/>
      <c r="Y524" s="491"/>
      <c r="Z524" s="491"/>
      <c r="AA524" s="491"/>
      <c r="AB524" s="491"/>
      <c r="AC524" s="491"/>
      <c r="AD524" s="493"/>
    </row>
    <row r="525" spans="18:30" x14ac:dyDescent="0.25">
      <c r="R525" s="491"/>
      <c r="S525" s="491"/>
      <c r="T525" s="491"/>
      <c r="U525" s="491"/>
      <c r="V525" s="491"/>
      <c r="W525" s="491"/>
      <c r="X525" s="491"/>
      <c r="Y525" s="491"/>
      <c r="Z525" s="491"/>
      <c r="AA525" s="491"/>
      <c r="AB525" s="491"/>
      <c r="AC525" s="491"/>
      <c r="AD525" s="493"/>
    </row>
    <row r="526" spans="18:30" x14ac:dyDescent="0.25">
      <c r="R526" s="491"/>
      <c r="S526" s="491"/>
      <c r="T526" s="491"/>
      <c r="U526" s="491"/>
      <c r="V526" s="491"/>
      <c r="W526" s="491"/>
      <c r="X526" s="491"/>
      <c r="Y526" s="491"/>
      <c r="Z526" s="491"/>
      <c r="AA526" s="491"/>
      <c r="AB526" s="491"/>
      <c r="AC526" s="491"/>
      <c r="AD526" s="493"/>
    </row>
    <row r="527" spans="18:30" x14ac:dyDescent="0.25">
      <c r="R527" s="491"/>
      <c r="S527" s="491"/>
      <c r="T527" s="491"/>
      <c r="U527" s="491"/>
      <c r="V527" s="491"/>
      <c r="W527" s="491"/>
      <c r="X527" s="491"/>
      <c r="Y527" s="491"/>
      <c r="Z527" s="491"/>
      <c r="AA527" s="491"/>
      <c r="AB527" s="491"/>
      <c r="AC527" s="491"/>
      <c r="AD527" s="493"/>
    </row>
    <row r="528" spans="18:30" x14ac:dyDescent="0.25">
      <c r="R528" s="491"/>
      <c r="S528" s="491"/>
      <c r="T528" s="491"/>
      <c r="U528" s="491"/>
      <c r="V528" s="491"/>
      <c r="W528" s="491"/>
      <c r="X528" s="491"/>
      <c r="Y528" s="491"/>
      <c r="Z528" s="491"/>
      <c r="AA528" s="491"/>
      <c r="AB528" s="491"/>
      <c r="AC528" s="491"/>
      <c r="AD528" s="493"/>
    </row>
    <row r="529" spans="18:30" x14ac:dyDescent="0.25">
      <c r="R529" s="491"/>
      <c r="S529" s="491"/>
      <c r="T529" s="491"/>
      <c r="U529" s="491"/>
      <c r="V529" s="491"/>
      <c r="W529" s="491"/>
      <c r="X529" s="491"/>
      <c r="Y529" s="491"/>
      <c r="Z529" s="491"/>
      <c r="AA529" s="491"/>
      <c r="AB529" s="491"/>
      <c r="AC529" s="491"/>
      <c r="AD529" s="493"/>
    </row>
    <row r="530" spans="18:30" x14ac:dyDescent="0.25">
      <c r="R530" s="491"/>
      <c r="S530" s="491"/>
      <c r="T530" s="491"/>
      <c r="U530" s="491"/>
      <c r="V530" s="491"/>
      <c r="W530" s="491"/>
      <c r="X530" s="491"/>
      <c r="Y530" s="491"/>
      <c r="Z530" s="491"/>
      <c r="AA530" s="491"/>
      <c r="AB530" s="491"/>
      <c r="AC530" s="491"/>
      <c r="AD530" s="493"/>
    </row>
    <row r="531" spans="18:30" x14ac:dyDescent="0.25">
      <c r="R531" s="491"/>
      <c r="S531" s="491"/>
      <c r="T531" s="491"/>
      <c r="U531" s="491"/>
      <c r="V531" s="491"/>
      <c r="W531" s="491"/>
      <c r="X531" s="491"/>
      <c r="Y531" s="491"/>
      <c r="Z531" s="491"/>
      <c r="AA531" s="491"/>
      <c r="AB531" s="491"/>
      <c r="AC531" s="491"/>
      <c r="AD531" s="493"/>
    </row>
    <row r="532" spans="18:30" x14ac:dyDescent="0.25">
      <c r="R532" s="491"/>
      <c r="S532" s="491"/>
      <c r="T532" s="491"/>
      <c r="U532" s="491"/>
      <c r="V532" s="491"/>
      <c r="W532" s="491"/>
      <c r="X532" s="491"/>
      <c r="Y532" s="491"/>
      <c r="Z532" s="491"/>
      <c r="AA532" s="491"/>
      <c r="AB532" s="491"/>
      <c r="AC532" s="491"/>
      <c r="AD532" s="493"/>
    </row>
    <row r="533" spans="18:30" x14ac:dyDescent="0.25">
      <c r="R533" s="491"/>
      <c r="S533" s="491"/>
      <c r="T533" s="491"/>
      <c r="U533" s="491"/>
      <c r="V533" s="491"/>
      <c r="W533" s="491"/>
      <c r="X533" s="491"/>
      <c r="Y533" s="491"/>
      <c r="Z533" s="491"/>
      <c r="AA533" s="491"/>
      <c r="AB533" s="491"/>
      <c r="AC533" s="491"/>
      <c r="AD533" s="493"/>
    </row>
    <row r="534" spans="18:30" x14ac:dyDescent="0.25">
      <c r="R534" s="491"/>
      <c r="S534" s="491"/>
      <c r="T534" s="491"/>
      <c r="U534" s="491"/>
      <c r="V534" s="491"/>
      <c r="W534" s="491"/>
      <c r="X534" s="491"/>
      <c r="Y534" s="491"/>
      <c r="Z534" s="491"/>
      <c r="AA534" s="491"/>
      <c r="AB534" s="491"/>
      <c r="AC534" s="491"/>
      <c r="AD534" s="493"/>
    </row>
    <row r="535" spans="18:30" x14ac:dyDescent="0.25">
      <c r="R535" s="491"/>
      <c r="S535" s="491"/>
      <c r="T535" s="491"/>
      <c r="U535" s="491"/>
      <c r="V535" s="491"/>
      <c r="W535" s="491"/>
      <c r="X535" s="491"/>
      <c r="Y535" s="491"/>
      <c r="Z535" s="491"/>
      <c r="AA535" s="491"/>
      <c r="AB535" s="491"/>
      <c r="AC535" s="491"/>
      <c r="AD535" s="493"/>
    </row>
    <row r="536" spans="18:30" x14ac:dyDescent="0.25">
      <c r="R536" s="491"/>
      <c r="S536" s="491"/>
      <c r="T536" s="491"/>
      <c r="U536" s="491"/>
      <c r="V536" s="491"/>
      <c r="W536" s="491"/>
      <c r="X536" s="491"/>
      <c r="Y536" s="491"/>
      <c r="Z536" s="491"/>
      <c r="AA536" s="491"/>
      <c r="AB536" s="491"/>
      <c r="AC536" s="491"/>
      <c r="AD536" s="493"/>
    </row>
    <row r="537" spans="18:30" x14ac:dyDescent="0.25">
      <c r="R537" s="491"/>
      <c r="S537" s="491"/>
      <c r="T537" s="491"/>
      <c r="U537" s="491"/>
      <c r="V537" s="491"/>
      <c r="W537" s="491"/>
      <c r="X537" s="491"/>
      <c r="Y537" s="491"/>
      <c r="Z537" s="491"/>
      <c r="AA537" s="491"/>
      <c r="AB537" s="491"/>
      <c r="AC537" s="491"/>
      <c r="AD537" s="493"/>
    </row>
    <row r="538" spans="18:30" x14ac:dyDescent="0.25">
      <c r="R538" s="491"/>
      <c r="S538" s="491"/>
      <c r="T538" s="491"/>
      <c r="U538" s="491"/>
      <c r="V538" s="491"/>
      <c r="W538" s="491"/>
      <c r="X538" s="491"/>
      <c r="Y538" s="491"/>
      <c r="Z538" s="491"/>
      <c r="AA538" s="491"/>
      <c r="AB538" s="491"/>
      <c r="AC538" s="491"/>
      <c r="AD538" s="493"/>
    </row>
    <row r="539" spans="18:30" x14ac:dyDescent="0.25">
      <c r="R539" s="491"/>
      <c r="S539" s="491"/>
      <c r="T539" s="491"/>
      <c r="U539" s="491"/>
      <c r="V539" s="491"/>
      <c r="W539" s="491"/>
      <c r="X539" s="491"/>
      <c r="Y539" s="491"/>
      <c r="Z539" s="491"/>
      <c r="AA539" s="491"/>
      <c r="AB539" s="491"/>
      <c r="AC539" s="491"/>
      <c r="AD539" s="493"/>
    </row>
    <row r="540" spans="18:30" x14ac:dyDescent="0.25">
      <c r="R540" s="491"/>
      <c r="S540" s="491"/>
      <c r="T540" s="491"/>
      <c r="U540" s="491"/>
      <c r="V540" s="491"/>
      <c r="W540" s="491"/>
      <c r="X540" s="491"/>
      <c r="Y540" s="491"/>
      <c r="Z540" s="491"/>
      <c r="AA540" s="491"/>
      <c r="AB540" s="491"/>
      <c r="AC540" s="491"/>
      <c r="AD540" s="493"/>
    </row>
    <row r="541" spans="18:30" x14ac:dyDescent="0.25">
      <c r="R541" s="491"/>
      <c r="S541" s="491"/>
      <c r="T541" s="491"/>
      <c r="U541" s="491"/>
      <c r="V541" s="491"/>
      <c r="W541" s="491"/>
      <c r="X541" s="491"/>
      <c r="Y541" s="491"/>
      <c r="Z541" s="491"/>
      <c r="AA541" s="491"/>
      <c r="AB541" s="491"/>
      <c r="AC541" s="491"/>
      <c r="AD541" s="493"/>
    </row>
    <row r="542" spans="18:30" x14ac:dyDescent="0.25">
      <c r="R542" s="491"/>
      <c r="S542" s="491"/>
      <c r="T542" s="491"/>
      <c r="U542" s="491"/>
      <c r="V542" s="491"/>
      <c r="W542" s="491"/>
      <c r="X542" s="491"/>
      <c r="Y542" s="491"/>
      <c r="Z542" s="491"/>
      <c r="AA542" s="491"/>
      <c r="AB542" s="491"/>
      <c r="AC542" s="491"/>
      <c r="AD542" s="493"/>
    </row>
    <row r="543" spans="18:30" x14ac:dyDescent="0.25">
      <c r="R543" s="491"/>
      <c r="S543" s="491"/>
      <c r="T543" s="491"/>
      <c r="U543" s="491"/>
      <c r="V543" s="491"/>
      <c r="W543" s="491"/>
      <c r="X543" s="491"/>
      <c r="Y543" s="491"/>
      <c r="Z543" s="491"/>
      <c r="AA543" s="491"/>
      <c r="AB543" s="491"/>
      <c r="AC543" s="491"/>
      <c r="AD543" s="493"/>
    </row>
    <row r="544" spans="18:30" x14ac:dyDescent="0.25">
      <c r="R544" s="491"/>
      <c r="S544" s="491"/>
      <c r="T544" s="491"/>
      <c r="U544" s="491"/>
      <c r="V544" s="491"/>
      <c r="W544" s="491"/>
      <c r="X544" s="491"/>
      <c r="Y544" s="491"/>
      <c r="Z544" s="491"/>
      <c r="AA544" s="491"/>
      <c r="AB544" s="491"/>
      <c r="AC544" s="491"/>
      <c r="AD544" s="493"/>
    </row>
    <row r="545" spans="18:30" x14ac:dyDescent="0.25">
      <c r="R545" s="491"/>
      <c r="S545" s="491"/>
      <c r="T545" s="491"/>
      <c r="U545" s="491"/>
      <c r="V545" s="491"/>
      <c r="W545" s="491"/>
      <c r="X545" s="491"/>
      <c r="Y545" s="491"/>
      <c r="Z545" s="491"/>
      <c r="AA545" s="491"/>
      <c r="AB545" s="491"/>
      <c r="AC545" s="491"/>
      <c r="AD545" s="493"/>
    </row>
    <row r="546" spans="18:30" x14ac:dyDescent="0.25">
      <c r="R546" s="491"/>
      <c r="S546" s="491"/>
      <c r="T546" s="491"/>
      <c r="U546" s="491"/>
      <c r="V546" s="491"/>
      <c r="W546" s="491"/>
      <c r="X546" s="491"/>
      <c r="Y546" s="491"/>
      <c r="Z546" s="491"/>
      <c r="AA546" s="491"/>
      <c r="AB546" s="491"/>
      <c r="AC546" s="491"/>
      <c r="AD546" s="493"/>
    </row>
    <row r="547" spans="18:30" x14ac:dyDescent="0.25">
      <c r="R547" s="491"/>
      <c r="S547" s="491"/>
      <c r="T547" s="491"/>
      <c r="U547" s="491"/>
      <c r="V547" s="491"/>
      <c r="W547" s="491"/>
      <c r="X547" s="491"/>
      <c r="Y547" s="491"/>
      <c r="Z547" s="491"/>
      <c r="AA547" s="491"/>
      <c r="AB547" s="491"/>
      <c r="AC547" s="491"/>
      <c r="AD547" s="493"/>
    </row>
    <row r="548" spans="18:30" x14ac:dyDescent="0.25">
      <c r="R548" s="491"/>
      <c r="S548" s="491"/>
      <c r="T548" s="491"/>
      <c r="U548" s="491"/>
      <c r="V548" s="491"/>
      <c r="W548" s="491"/>
      <c r="X548" s="491"/>
      <c r="Y548" s="491"/>
      <c r="Z548" s="491"/>
      <c r="AA548" s="491"/>
      <c r="AB548" s="491"/>
      <c r="AC548" s="491"/>
      <c r="AD548" s="493"/>
    </row>
    <row r="549" spans="18:30" x14ac:dyDescent="0.25">
      <c r="R549" s="491"/>
      <c r="S549" s="491"/>
      <c r="T549" s="491"/>
      <c r="U549" s="491"/>
      <c r="V549" s="491"/>
      <c r="W549" s="491"/>
      <c r="X549" s="491"/>
      <c r="Y549" s="491"/>
      <c r="Z549" s="491"/>
      <c r="AA549" s="491"/>
      <c r="AB549" s="491"/>
      <c r="AC549" s="491"/>
      <c r="AD549" s="493"/>
    </row>
    <row r="550" spans="18:30" x14ac:dyDescent="0.25">
      <c r="R550" s="491"/>
      <c r="S550" s="491"/>
      <c r="T550" s="491"/>
      <c r="U550" s="491"/>
      <c r="V550" s="491"/>
      <c r="W550" s="491"/>
      <c r="X550" s="491"/>
      <c r="Y550" s="491"/>
      <c r="Z550" s="491"/>
      <c r="AA550" s="491"/>
      <c r="AB550" s="491"/>
      <c r="AC550" s="491"/>
      <c r="AD550" s="493"/>
    </row>
    <row r="551" spans="18:30" x14ac:dyDescent="0.25">
      <c r="R551" s="491"/>
      <c r="S551" s="491"/>
      <c r="T551" s="491"/>
      <c r="U551" s="491"/>
      <c r="V551" s="491"/>
      <c r="W551" s="491"/>
      <c r="X551" s="491"/>
      <c r="Y551" s="491"/>
      <c r="Z551" s="491"/>
      <c r="AA551" s="491"/>
      <c r="AB551" s="491"/>
      <c r="AC551" s="491"/>
      <c r="AD551" s="493"/>
    </row>
    <row r="552" spans="18:30" x14ac:dyDescent="0.25">
      <c r="R552" s="491"/>
      <c r="S552" s="491"/>
      <c r="T552" s="491"/>
      <c r="U552" s="491"/>
      <c r="V552" s="491"/>
      <c r="W552" s="491"/>
      <c r="X552" s="491"/>
      <c r="Y552" s="491"/>
      <c r="Z552" s="491"/>
      <c r="AA552" s="491"/>
      <c r="AB552" s="491"/>
      <c r="AC552" s="491"/>
      <c r="AD552" s="493"/>
    </row>
    <row r="553" spans="18:30" x14ac:dyDescent="0.25">
      <c r="R553" s="491"/>
      <c r="S553" s="491"/>
      <c r="T553" s="491"/>
      <c r="U553" s="491"/>
      <c r="V553" s="491"/>
      <c r="W553" s="491"/>
      <c r="X553" s="491"/>
      <c r="Y553" s="491"/>
      <c r="Z553" s="491"/>
      <c r="AA553" s="491"/>
      <c r="AB553" s="491"/>
      <c r="AC553" s="491"/>
      <c r="AD553" s="493"/>
    </row>
    <row r="554" spans="18:30" x14ac:dyDescent="0.25">
      <c r="R554" s="491"/>
      <c r="S554" s="491"/>
      <c r="T554" s="491"/>
      <c r="U554" s="491"/>
      <c r="V554" s="491"/>
      <c r="W554" s="491"/>
      <c r="X554" s="491"/>
      <c r="Y554" s="491"/>
      <c r="Z554" s="491"/>
      <c r="AA554" s="491"/>
      <c r="AB554" s="491"/>
      <c r="AC554" s="491"/>
      <c r="AD554" s="493"/>
    </row>
    <row r="555" spans="18:30" x14ac:dyDescent="0.25">
      <c r="R555" s="491"/>
      <c r="S555" s="491"/>
      <c r="T555" s="491"/>
      <c r="U555" s="491"/>
      <c r="V555" s="491"/>
      <c r="W555" s="491"/>
      <c r="X555" s="491"/>
      <c r="Y555" s="491"/>
      <c r="Z555" s="491"/>
      <c r="AA555" s="491"/>
      <c r="AB555" s="491"/>
      <c r="AC555" s="491"/>
      <c r="AD555" s="493"/>
    </row>
    <row r="556" spans="18:30" x14ac:dyDescent="0.25">
      <c r="R556" s="491"/>
      <c r="S556" s="491"/>
      <c r="T556" s="491"/>
      <c r="U556" s="491"/>
      <c r="V556" s="491"/>
      <c r="W556" s="491"/>
      <c r="X556" s="491"/>
      <c r="Y556" s="491"/>
      <c r="Z556" s="491"/>
      <c r="AA556" s="491"/>
      <c r="AB556" s="491"/>
      <c r="AC556" s="491"/>
      <c r="AD556" s="493"/>
    </row>
    <row r="557" spans="18:30" x14ac:dyDescent="0.25">
      <c r="R557" s="491"/>
      <c r="S557" s="491"/>
      <c r="T557" s="491"/>
      <c r="U557" s="491"/>
      <c r="V557" s="491"/>
      <c r="W557" s="491"/>
      <c r="X557" s="491"/>
      <c r="Y557" s="491"/>
      <c r="Z557" s="491"/>
      <c r="AA557" s="491"/>
      <c r="AB557" s="491"/>
      <c r="AC557" s="491"/>
      <c r="AD557" s="493"/>
    </row>
    <row r="558" spans="18:30" x14ac:dyDescent="0.25">
      <c r="R558" s="491"/>
      <c r="S558" s="491"/>
      <c r="T558" s="491"/>
      <c r="U558" s="491"/>
      <c r="V558" s="491"/>
      <c r="W558" s="491"/>
      <c r="X558" s="491"/>
      <c r="Y558" s="491"/>
      <c r="Z558" s="491"/>
      <c r="AA558" s="491"/>
      <c r="AB558" s="491"/>
      <c r="AC558" s="491"/>
      <c r="AD558" s="493"/>
    </row>
    <row r="559" spans="18:30" x14ac:dyDescent="0.25">
      <c r="R559" s="491"/>
      <c r="S559" s="491"/>
      <c r="T559" s="491"/>
      <c r="U559" s="491"/>
      <c r="V559" s="491"/>
      <c r="W559" s="491"/>
      <c r="X559" s="491"/>
      <c r="Y559" s="491"/>
      <c r="Z559" s="491"/>
      <c r="AA559" s="491"/>
      <c r="AB559" s="491"/>
      <c r="AC559" s="491"/>
      <c r="AD559" s="493"/>
    </row>
    <row r="560" spans="18:30" x14ac:dyDescent="0.25">
      <c r="R560" s="491"/>
      <c r="S560" s="491"/>
      <c r="T560" s="491"/>
      <c r="U560" s="491"/>
      <c r="V560" s="491"/>
      <c r="W560" s="491"/>
      <c r="X560" s="491"/>
      <c r="Y560" s="491"/>
      <c r="Z560" s="491"/>
      <c r="AA560" s="491"/>
      <c r="AB560" s="491"/>
      <c r="AC560" s="491"/>
      <c r="AD560" s="493"/>
    </row>
    <row r="561" spans="18:30" x14ac:dyDescent="0.25">
      <c r="R561" s="491"/>
      <c r="S561" s="491"/>
      <c r="T561" s="491"/>
      <c r="U561" s="491"/>
      <c r="V561" s="491"/>
      <c r="W561" s="491"/>
      <c r="X561" s="491"/>
      <c r="Y561" s="491"/>
      <c r="Z561" s="491"/>
      <c r="AA561" s="491"/>
      <c r="AB561" s="491"/>
      <c r="AC561" s="491"/>
      <c r="AD561" s="493"/>
    </row>
    <row r="562" spans="18:30" x14ac:dyDescent="0.25">
      <c r="R562" s="491"/>
      <c r="S562" s="491"/>
      <c r="T562" s="491"/>
      <c r="U562" s="491"/>
      <c r="V562" s="491"/>
      <c r="W562" s="491"/>
      <c r="X562" s="491"/>
      <c r="Y562" s="491"/>
      <c r="Z562" s="491"/>
      <c r="AA562" s="491"/>
      <c r="AB562" s="491"/>
      <c r="AC562" s="491"/>
      <c r="AD562" s="493"/>
    </row>
    <row r="563" spans="18:30" x14ac:dyDescent="0.25">
      <c r="R563" s="491"/>
      <c r="S563" s="491"/>
      <c r="T563" s="491"/>
      <c r="U563" s="491"/>
      <c r="V563" s="491"/>
      <c r="W563" s="491"/>
      <c r="X563" s="491"/>
      <c r="Y563" s="491"/>
      <c r="Z563" s="491"/>
      <c r="AA563" s="491"/>
      <c r="AB563" s="491"/>
      <c r="AC563" s="491"/>
      <c r="AD563" s="493"/>
    </row>
    <row r="564" spans="18:30" x14ac:dyDescent="0.25">
      <c r="R564" s="491"/>
      <c r="S564" s="491"/>
      <c r="T564" s="491"/>
      <c r="U564" s="491"/>
      <c r="V564" s="491"/>
      <c r="W564" s="491"/>
      <c r="X564" s="491"/>
      <c r="Y564" s="491"/>
      <c r="Z564" s="491"/>
      <c r="AA564" s="491"/>
      <c r="AB564" s="491"/>
      <c r="AC564" s="491"/>
      <c r="AD564" s="493"/>
    </row>
    <row r="565" spans="18:30" x14ac:dyDescent="0.25">
      <c r="R565" s="491"/>
      <c r="S565" s="491"/>
      <c r="T565" s="491"/>
      <c r="U565" s="491"/>
      <c r="V565" s="491"/>
      <c r="W565" s="491"/>
      <c r="X565" s="491"/>
      <c r="Y565" s="491"/>
      <c r="Z565" s="491"/>
      <c r="AA565" s="491"/>
      <c r="AB565" s="491"/>
      <c r="AC565" s="491"/>
      <c r="AD565" s="493"/>
    </row>
    <row r="566" spans="18:30" x14ac:dyDescent="0.25">
      <c r="R566" s="491"/>
      <c r="S566" s="491"/>
      <c r="T566" s="491"/>
      <c r="U566" s="491"/>
      <c r="V566" s="491"/>
      <c r="W566" s="491"/>
      <c r="X566" s="491"/>
      <c r="Y566" s="491"/>
      <c r="Z566" s="491"/>
      <c r="AA566" s="491"/>
      <c r="AB566" s="491"/>
      <c r="AC566" s="491"/>
      <c r="AD566" s="493"/>
    </row>
    <row r="567" spans="18:30" x14ac:dyDescent="0.25">
      <c r="R567" s="491"/>
      <c r="S567" s="491"/>
      <c r="T567" s="491"/>
      <c r="U567" s="491"/>
      <c r="V567" s="491"/>
      <c r="W567" s="491"/>
      <c r="X567" s="491"/>
      <c r="Y567" s="491"/>
      <c r="Z567" s="491"/>
      <c r="AA567" s="491"/>
      <c r="AB567" s="491"/>
      <c r="AC567" s="491"/>
      <c r="AD567" s="493"/>
    </row>
    <row r="568" spans="18:30" x14ac:dyDescent="0.25">
      <c r="R568" s="491"/>
      <c r="S568" s="491"/>
      <c r="T568" s="491"/>
      <c r="U568" s="491"/>
      <c r="V568" s="491"/>
      <c r="W568" s="491"/>
      <c r="X568" s="491"/>
      <c r="Y568" s="491"/>
      <c r="Z568" s="491"/>
      <c r="AA568" s="491"/>
      <c r="AB568" s="491"/>
      <c r="AC568" s="491"/>
      <c r="AD568" s="493"/>
    </row>
    <row r="569" spans="18:30" x14ac:dyDescent="0.25">
      <c r="R569" s="491"/>
      <c r="S569" s="491"/>
      <c r="T569" s="491"/>
      <c r="U569" s="491"/>
      <c r="V569" s="491"/>
      <c r="W569" s="491"/>
      <c r="X569" s="491"/>
      <c r="Y569" s="491"/>
      <c r="Z569" s="491"/>
      <c r="AA569" s="491"/>
      <c r="AB569" s="491"/>
      <c r="AC569" s="491"/>
      <c r="AD569" s="493"/>
    </row>
    <row r="570" spans="18:30" x14ac:dyDescent="0.25">
      <c r="R570" s="491"/>
      <c r="S570" s="491"/>
      <c r="T570" s="491"/>
      <c r="U570" s="491"/>
      <c r="V570" s="491"/>
      <c r="W570" s="491"/>
      <c r="X570" s="491"/>
      <c r="Y570" s="491"/>
      <c r="Z570" s="491"/>
      <c r="AA570" s="491"/>
      <c r="AB570" s="491"/>
      <c r="AC570" s="491"/>
      <c r="AD570" s="493"/>
    </row>
    <row r="571" spans="18:30" x14ac:dyDescent="0.25">
      <c r="R571" s="491"/>
      <c r="S571" s="491"/>
      <c r="T571" s="491"/>
      <c r="U571" s="491"/>
      <c r="V571" s="491"/>
      <c r="W571" s="491"/>
      <c r="X571" s="491"/>
      <c r="Y571" s="491"/>
      <c r="Z571" s="491"/>
      <c r="AA571" s="491"/>
      <c r="AB571" s="491"/>
      <c r="AC571" s="491"/>
      <c r="AD571" s="493"/>
    </row>
    <row r="572" spans="18:30" x14ac:dyDescent="0.25">
      <c r="R572" s="491"/>
      <c r="S572" s="491"/>
      <c r="T572" s="491"/>
      <c r="U572" s="491"/>
      <c r="V572" s="491"/>
      <c r="W572" s="491"/>
      <c r="X572" s="491"/>
      <c r="Y572" s="491"/>
      <c r="Z572" s="491"/>
      <c r="AA572" s="491"/>
      <c r="AB572" s="491"/>
      <c r="AC572" s="491"/>
      <c r="AD572" s="493"/>
    </row>
    <row r="573" spans="18:30" x14ac:dyDescent="0.25">
      <c r="R573" s="491"/>
      <c r="S573" s="491"/>
      <c r="T573" s="491"/>
      <c r="U573" s="491"/>
      <c r="V573" s="491"/>
      <c r="W573" s="491"/>
      <c r="X573" s="491"/>
      <c r="Y573" s="491"/>
      <c r="Z573" s="491"/>
      <c r="AA573" s="491"/>
      <c r="AB573" s="491"/>
      <c r="AC573" s="491"/>
      <c r="AD573" s="493"/>
    </row>
    <row r="574" spans="18:30" x14ac:dyDescent="0.25">
      <c r="R574" s="491"/>
      <c r="S574" s="491"/>
      <c r="T574" s="491"/>
      <c r="U574" s="491"/>
      <c r="V574" s="491"/>
      <c r="W574" s="491"/>
      <c r="X574" s="491"/>
      <c r="Y574" s="491"/>
      <c r="Z574" s="491"/>
      <c r="AA574" s="491"/>
      <c r="AB574" s="491"/>
      <c r="AC574" s="491"/>
      <c r="AD574" s="493"/>
    </row>
    <row r="575" spans="18:30" x14ac:dyDescent="0.25">
      <c r="R575" s="491"/>
      <c r="S575" s="491"/>
      <c r="T575" s="491"/>
      <c r="U575" s="491"/>
      <c r="V575" s="491"/>
      <c r="W575" s="491"/>
      <c r="X575" s="491"/>
      <c r="Y575" s="491"/>
      <c r="Z575" s="491"/>
      <c r="AA575" s="491"/>
      <c r="AB575" s="491"/>
      <c r="AC575" s="491"/>
      <c r="AD575" s="493"/>
    </row>
    <row r="576" spans="18:30" x14ac:dyDescent="0.25">
      <c r="R576" s="491"/>
      <c r="S576" s="491"/>
      <c r="T576" s="491"/>
      <c r="U576" s="491"/>
      <c r="V576" s="491"/>
      <c r="W576" s="491"/>
      <c r="X576" s="491"/>
      <c r="Y576" s="491"/>
      <c r="Z576" s="491"/>
      <c r="AA576" s="491"/>
      <c r="AB576" s="491"/>
      <c r="AC576" s="491"/>
      <c r="AD576" s="493"/>
    </row>
    <row r="577" spans="18:30" x14ac:dyDescent="0.25">
      <c r="R577" s="491"/>
      <c r="S577" s="491"/>
      <c r="T577" s="491"/>
      <c r="U577" s="491"/>
      <c r="V577" s="491"/>
      <c r="W577" s="491"/>
      <c r="X577" s="491"/>
      <c r="Y577" s="491"/>
      <c r="Z577" s="491"/>
      <c r="AA577" s="491"/>
      <c r="AB577" s="491"/>
      <c r="AC577" s="491"/>
      <c r="AD577" s="493"/>
    </row>
    <row r="578" spans="18:30" x14ac:dyDescent="0.25">
      <c r="R578" s="491"/>
      <c r="S578" s="491"/>
      <c r="T578" s="491"/>
      <c r="U578" s="491"/>
      <c r="V578" s="491"/>
      <c r="W578" s="491"/>
      <c r="X578" s="491"/>
      <c r="Y578" s="491"/>
      <c r="Z578" s="491"/>
      <c r="AA578" s="491"/>
      <c r="AB578" s="491"/>
      <c r="AC578" s="491"/>
      <c r="AD578" s="493"/>
    </row>
    <row r="579" spans="18:30" x14ac:dyDescent="0.25">
      <c r="R579" s="491"/>
      <c r="S579" s="491"/>
      <c r="T579" s="491"/>
      <c r="U579" s="491"/>
      <c r="V579" s="491"/>
      <c r="W579" s="491"/>
      <c r="X579" s="491"/>
      <c r="Y579" s="491"/>
      <c r="Z579" s="491"/>
      <c r="AA579" s="491"/>
      <c r="AB579" s="491"/>
      <c r="AC579" s="491"/>
      <c r="AD579" s="493"/>
    </row>
    <row r="580" spans="18:30" x14ac:dyDescent="0.25">
      <c r="R580" s="491"/>
      <c r="S580" s="491"/>
      <c r="T580" s="491"/>
      <c r="U580" s="491"/>
      <c r="V580" s="491"/>
      <c r="W580" s="491"/>
      <c r="X580" s="491"/>
      <c r="Y580" s="491"/>
      <c r="Z580" s="491"/>
      <c r="AA580" s="491"/>
      <c r="AB580" s="491"/>
      <c r="AC580" s="491"/>
      <c r="AD580" s="493"/>
    </row>
    <row r="581" spans="18:30" x14ac:dyDescent="0.25">
      <c r="R581" s="491"/>
      <c r="S581" s="491"/>
      <c r="T581" s="491"/>
      <c r="U581" s="491"/>
      <c r="V581" s="491"/>
      <c r="W581" s="491"/>
      <c r="X581" s="491"/>
      <c r="Y581" s="491"/>
      <c r="Z581" s="491"/>
      <c r="AA581" s="491"/>
      <c r="AB581" s="491"/>
      <c r="AC581" s="491"/>
      <c r="AD581" s="493"/>
    </row>
    <row r="582" spans="18:30" x14ac:dyDescent="0.25">
      <c r="R582" s="491"/>
      <c r="S582" s="491"/>
      <c r="T582" s="491"/>
      <c r="U582" s="491"/>
      <c r="V582" s="491"/>
      <c r="W582" s="491"/>
      <c r="X582" s="491"/>
      <c r="Y582" s="491"/>
      <c r="Z582" s="491"/>
      <c r="AA582" s="491"/>
      <c r="AB582" s="491"/>
      <c r="AC582" s="491"/>
      <c r="AD582" s="493"/>
    </row>
    <row r="583" spans="18:30" x14ac:dyDescent="0.25">
      <c r="R583" s="491"/>
      <c r="S583" s="491"/>
      <c r="T583" s="491"/>
      <c r="U583" s="491"/>
      <c r="V583" s="491"/>
      <c r="W583" s="491"/>
      <c r="X583" s="491"/>
      <c r="Y583" s="491"/>
      <c r="Z583" s="491"/>
      <c r="AA583" s="491"/>
      <c r="AB583" s="491"/>
      <c r="AC583" s="491"/>
      <c r="AD583" s="493"/>
    </row>
    <row r="584" spans="18:30" x14ac:dyDescent="0.25">
      <c r="R584" s="491"/>
      <c r="S584" s="491"/>
      <c r="T584" s="491"/>
      <c r="U584" s="491"/>
      <c r="V584" s="491"/>
      <c r="W584" s="491"/>
      <c r="X584" s="491"/>
      <c r="Y584" s="491"/>
      <c r="Z584" s="491"/>
      <c r="AA584" s="491"/>
      <c r="AB584" s="491"/>
      <c r="AC584" s="491"/>
      <c r="AD584" s="493"/>
    </row>
    <row r="585" spans="18:30" x14ac:dyDescent="0.25">
      <c r="R585" s="491"/>
      <c r="S585" s="491"/>
      <c r="T585" s="491"/>
      <c r="U585" s="491"/>
      <c r="V585" s="491"/>
      <c r="W585" s="491"/>
      <c r="X585" s="491"/>
      <c r="Y585" s="491"/>
      <c r="Z585" s="491"/>
      <c r="AA585" s="491"/>
      <c r="AB585" s="491"/>
      <c r="AC585" s="491"/>
      <c r="AD585" s="493"/>
    </row>
    <row r="586" spans="18:30" x14ac:dyDescent="0.25">
      <c r="R586" s="491"/>
      <c r="S586" s="491"/>
      <c r="T586" s="491"/>
      <c r="U586" s="491"/>
      <c r="V586" s="491"/>
      <c r="W586" s="491"/>
      <c r="X586" s="491"/>
      <c r="Y586" s="491"/>
      <c r="Z586" s="491"/>
      <c r="AA586" s="491"/>
      <c r="AB586" s="491"/>
      <c r="AC586" s="491"/>
      <c r="AD586" s="493"/>
    </row>
    <row r="587" spans="18:30" x14ac:dyDescent="0.25">
      <c r="R587" s="491"/>
      <c r="S587" s="491"/>
      <c r="T587" s="491"/>
      <c r="U587" s="491"/>
      <c r="V587" s="491"/>
      <c r="W587" s="491"/>
      <c r="X587" s="491"/>
      <c r="Y587" s="491"/>
      <c r="Z587" s="491"/>
      <c r="AA587" s="491"/>
      <c r="AB587" s="491"/>
      <c r="AC587" s="491"/>
      <c r="AD587" s="493"/>
    </row>
    <row r="588" spans="18:30" x14ac:dyDescent="0.25">
      <c r="R588" s="491"/>
      <c r="S588" s="491"/>
      <c r="T588" s="491"/>
      <c r="U588" s="491"/>
      <c r="V588" s="491"/>
      <c r="W588" s="491"/>
      <c r="X588" s="491"/>
      <c r="Y588" s="491"/>
      <c r="Z588" s="491"/>
      <c r="AA588" s="491"/>
      <c r="AB588" s="491"/>
      <c r="AC588" s="491"/>
      <c r="AD588" s="493"/>
    </row>
    <row r="589" spans="18:30" x14ac:dyDescent="0.25">
      <c r="R589" s="491"/>
      <c r="S589" s="491"/>
      <c r="T589" s="491"/>
      <c r="U589" s="491"/>
      <c r="V589" s="491"/>
      <c r="W589" s="491"/>
      <c r="X589" s="491"/>
      <c r="Y589" s="491"/>
      <c r="Z589" s="491"/>
      <c r="AA589" s="491"/>
      <c r="AB589" s="491"/>
      <c r="AC589" s="491"/>
      <c r="AD589" s="493"/>
    </row>
    <row r="590" spans="18:30" x14ac:dyDescent="0.25">
      <c r="R590" s="491"/>
      <c r="S590" s="491"/>
      <c r="T590" s="491"/>
      <c r="U590" s="491"/>
      <c r="V590" s="491"/>
      <c r="W590" s="491"/>
      <c r="X590" s="491"/>
      <c r="Y590" s="491"/>
      <c r="Z590" s="491"/>
      <c r="AA590" s="491"/>
      <c r="AB590" s="491"/>
      <c r="AC590" s="491"/>
      <c r="AD590" s="493"/>
    </row>
    <row r="591" spans="18:30" x14ac:dyDescent="0.25">
      <c r="R591" s="491"/>
      <c r="S591" s="491"/>
      <c r="T591" s="491"/>
      <c r="U591" s="491"/>
      <c r="V591" s="491"/>
      <c r="W591" s="491"/>
      <c r="X591" s="491"/>
      <c r="Y591" s="491"/>
      <c r="Z591" s="491"/>
      <c r="AA591" s="491"/>
      <c r="AB591" s="491"/>
      <c r="AC591" s="491"/>
      <c r="AD591" s="493"/>
    </row>
    <row r="592" spans="18:30" x14ac:dyDescent="0.25">
      <c r="R592" s="491"/>
      <c r="S592" s="491"/>
      <c r="T592" s="491"/>
      <c r="U592" s="491"/>
      <c r="V592" s="491"/>
      <c r="W592" s="491"/>
      <c r="X592" s="491"/>
      <c r="Y592" s="491"/>
      <c r="Z592" s="491"/>
      <c r="AA592" s="491"/>
      <c r="AB592" s="491"/>
      <c r="AC592" s="491"/>
      <c r="AD592" s="493"/>
    </row>
    <row r="593" spans="18:30" x14ac:dyDescent="0.25">
      <c r="R593" s="491"/>
      <c r="S593" s="491"/>
      <c r="T593" s="491"/>
      <c r="U593" s="491"/>
      <c r="V593" s="491"/>
      <c r="W593" s="491"/>
      <c r="X593" s="491"/>
      <c r="Y593" s="491"/>
      <c r="Z593" s="491"/>
      <c r="AA593" s="491"/>
      <c r="AB593" s="491"/>
      <c r="AC593" s="491"/>
      <c r="AD593" s="493"/>
    </row>
    <row r="594" spans="18:30" x14ac:dyDescent="0.25">
      <c r="R594" s="491"/>
      <c r="S594" s="491"/>
      <c r="T594" s="491"/>
      <c r="U594" s="491"/>
      <c r="V594" s="491"/>
      <c r="W594" s="491"/>
      <c r="X594" s="491"/>
      <c r="Y594" s="491"/>
      <c r="Z594" s="491"/>
      <c r="AA594" s="491"/>
      <c r="AB594" s="491"/>
      <c r="AC594" s="491"/>
      <c r="AD594" s="493"/>
    </row>
    <row r="595" spans="18:30" x14ac:dyDescent="0.25">
      <c r="R595" s="491"/>
      <c r="S595" s="491"/>
      <c r="T595" s="491"/>
      <c r="U595" s="491"/>
      <c r="V595" s="491"/>
      <c r="W595" s="491"/>
      <c r="X595" s="491"/>
      <c r="Y595" s="491"/>
      <c r="Z595" s="491"/>
      <c r="AA595" s="491"/>
      <c r="AB595" s="491"/>
      <c r="AC595" s="491"/>
      <c r="AD595" s="493"/>
    </row>
    <row r="596" spans="18:30" x14ac:dyDescent="0.25">
      <c r="R596" s="491"/>
      <c r="S596" s="491"/>
      <c r="T596" s="491"/>
      <c r="U596" s="491"/>
      <c r="V596" s="491"/>
      <c r="W596" s="491"/>
      <c r="X596" s="491"/>
      <c r="Y596" s="491"/>
      <c r="Z596" s="491"/>
      <c r="AA596" s="491"/>
      <c r="AB596" s="491"/>
      <c r="AC596" s="491"/>
      <c r="AD596" s="493"/>
    </row>
    <row r="597" spans="18:30" x14ac:dyDescent="0.25">
      <c r="R597" s="491"/>
      <c r="S597" s="491"/>
      <c r="T597" s="491"/>
      <c r="U597" s="491"/>
      <c r="V597" s="491"/>
      <c r="W597" s="491"/>
      <c r="X597" s="491"/>
      <c r="Y597" s="491"/>
      <c r="Z597" s="491"/>
      <c r="AA597" s="491"/>
      <c r="AB597" s="491"/>
      <c r="AC597" s="491"/>
      <c r="AD597" s="493"/>
    </row>
    <row r="598" spans="18:30" x14ac:dyDescent="0.25">
      <c r="R598" s="491"/>
      <c r="S598" s="491"/>
      <c r="T598" s="491"/>
      <c r="U598" s="491"/>
      <c r="V598" s="491"/>
      <c r="W598" s="491"/>
      <c r="X598" s="491"/>
      <c r="Y598" s="491"/>
      <c r="Z598" s="491"/>
      <c r="AA598" s="491"/>
      <c r="AB598" s="491"/>
      <c r="AC598" s="491"/>
      <c r="AD598" s="493"/>
    </row>
    <row r="599" spans="18:30" x14ac:dyDescent="0.25">
      <c r="R599" s="491"/>
      <c r="S599" s="491"/>
      <c r="T599" s="491"/>
      <c r="U599" s="491"/>
      <c r="V599" s="491"/>
      <c r="W599" s="491"/>
      <c r="X599" s="491"/>
      <c r="Y599" s="491"/>
      <c r="Z599" s="491"/>
      <c r="AA599" s="491"/>
      <c r="AB599" s="491"/>
      <c r="AC599" s="491"/>
      <c r="AD599" s="493"/>
    </row>
    <row r="600" spans="18:30" x14ac:dyDescent="0.25">
      <c r="R600" s="491"/>
      <c r="S600" s="491"/>
      <c r="T600" s="491"/>
      <c r="U600" s="491"/>
      <c r="V600" s="491"/>
      <c r="W600" s="491"/>
      <c r="X600" s="491"/>
      <c r="Y600" s="491"/>
      <c r="Z600" s="491"/>
      <c r="AA600" s="491"/>
      <c r="AB600" s="491"/>
      <c r="AC600" s="491"/>
      <c r="AD600" s="493"/>
    </row>
    <row r="601" spans="18:30" x14ac:dyDescent="0.25">
      <c r="R601" s="491"/>
      <c r="S601" s="491"/>
      <c r="T601" s="491"/>
      <c r="U601" s="491"/>
      <c r="V601" s="491"/>
      <c r="W601" s="491"/>
      <c r="X601" s="491"/>
      <c r="Y601" s="491"/>
      <c r="Z601" s="491"/>
      <c r="AA601" s="491"/>
      <c r="AB601" s="491"/>
      <c r="AC601" s="491"/>
      <c r="AD601" s="493"/>
    </row>
    <row r="602" spans="18:30" x14ac:dyDescent="0.25">
      <c r="R602" s="491"/>
      <c r="S602" s="491"/>
      <c r="T602" s="491"/>
      <c r="U602" s="491"/>
      <c r="V602" s="491"/>
      <c r="W602" s="491"/>
      <c r="X602" s="491"/>
      <c r="Y602" s="491"/>
      <c r="Z602" s="491"/>
      <c r="AA602" s="491"/>
      <c r="AB602" s="491"/>
      <c r="AC602" s="491"/>
      <c r="AD602" s="493"/>
    </row>
    <row r="603" spans="18:30" x14ac:dyDescent="0.25">
      <c r="R603" s="491"/>
      <c r="S603" s="491"/>
      <c r="T603" s="491"/>
      <c r="U603" s="491"/>
      <c r="V603" s="491"/>
      <c r="W603" s="491"/>
      <c r="X603" s="491"/>
      <c r="Y603" s="491"/>
      <c r="Z603" s="491"/>
      <c r="AA603" s="491"/>
      <c r="AB603" s="491"/>
      <c r="AC603" s="491"/>
      <c r="AD603" s="493"/>
    </row>
    <row r="604" spans="18:30" x14ac:dyDescent="0.25">
      <c r="R604" s="491"/>
      <c r="S604" s="491"/>
      <c r="T604" s="491"/>
      <c r="U604" s="491"/>
      <c r="V604" s="491"/>
      <c r="W604" s="491"/>
      <c r="X604" s="491"/>
      <c r="Y604" s="491"/>
      <c r="Z604" s="491"/>
      <c r="AA604" s="491"/>
      <c r="AB604" s="491"/>
      <c r="AC604" s="491"/>
      <c r="AD604" s="493"/>
    </row>
    <row r="605" spans="18:30" x14ac:dyDescent="0.25">
      <c r="R605" s="491"/>
      <c r="S605" s="491"/>
      <c r="T605" s="491"/>
      <c r="U605" s="491"/>
      <c r="V605" s="491"/>
      <c r="W605" s="491"/>
      <c r="X605" s="491"/>
      <c r="Y605" s="491"/>
      <c r="Z605" s="491"/>
      <c r="AA605" s="491"/>
      <c r="AB605" s="491"/>
      <c r="AC605" s="491"/>
      <c r="AD605" s="493"/>
    </row>
    <row r="606" spans="18:30" x14ac:dyDescent="0.25">
      <c r="R606" s="491"/>
      <c r="S606" s="491"/>
      <c r="T606" s="491"/>
      <c r="U606" s="491"/>
      <c r="V606" s="491"/>
      <c r="W606" s="491"/>
      <c r="X606" s="491"/>
      <c r="Y606" s="491"/>
      <c r="Z606" s="491"/>
      <c r="AA606" s="491"/>
      <c r="AB606" s="491"/>
      <c r="AC606" s="491"/>
      <c r="AD606" s="493"/>
    </row>
    <row r="607" spans="18:30" x14ac:dyDescent="0.25">
      <c r="R607" s="491"/>
      <c r="S607" s="491"/>
      <c r="T607" s="491"/>
      <c r="U607" s="491"/>
      <c r="V607" s="491"/>
      <c r="W607" s="491"/>
      <c r="X607" s="491"/>
      <c r="Y607" s="491"/>
      <c r="Z607" s="491"/>
      <c r="AA607" s="491"/>
      <c r="AB607" s="491"/>
      <c r="AC607" s="491"/>
      <c r="AD607" s="493"/>
    </row>
    <row r="608" spans="18:30" x14ac:dyDescent="0.25">
      <c r="R608" s="491"/>
      <c r="S608" s="491"/>
      <c r="T608" s="491"/>
      <c r="U608" s="491"/>
      <c r="V608" s="491"/>
      <c r="W608" s="491"/>
      <c r="X608" s="491"/>
      <c r="Y608" s="491"/>
      <c r="Z608" s="491"/>
      <c r="AA608" s="491"/>
      <c r="AB608" s="491"/>
      <c r="AC608" s="491"/>
      <c r="AD608" s="493"/>
    </row>
    <row r="609" spans="18:30" x14ac:dyDescent="0.25">
      <c r="R609" s="491"/>
      <c r="S609" s="491"/>
      <c r="T609" s="491"/>
      <c r="U609" s="491"/>
      <c r="V609" s="491"/>
      <c r="W609" s="491"/>
      <c r="X609" s="491"/>
      <c r="Y609" s="491"/>
      <c r="Z609" s="491"/>
      <c r="AA609" s="491"/>
      <c r="AB609" s="491"/>
      <c r="AC609" s="491"/>
      <c r="AD609" s="493"/>
    </row>
    <row r="610" spans="18:30" x14ac:dyDescent="0.25">
      <c r="R610" s="491"/>
      <c r="S610" s="491"/>
      <c r="T610" s="491"/>
      <c r="U610" s="491"/>
      <c r="V610" s="491"/>
      <c r="W610" s="491"/>
      <c r="X610" s="491"/>
      <c r="Y610" s="491"/>
      <c r="Z610" s="491"/>
      <c r="AA610" s="491"/>
      <c r="AB610" s="491"/>
      <c r="AC610" s="491"/>
      <c r="AD610" s="493"/>
    </row>
    <row r="611" spans="18:30" x14ac:dyDescent="0.25">
      <c r="R611" s="491"/>
      <c r="S611" s="491"/>
      <c r="T611" s="491"/>
      <c r="U611" s="491"/>
      <c r="V611" s="491"/>
      <c r="W611" s="491"/>
      <c r="X611" s="491"/>
      <c r="Y611" s="491"/>
      <c r="Z611" s="491"/>
      <c r="AA611" s="491"/>
      <c r="AB611" s="491"/>
      <c r="AC611" s="491"/>
      <c r="AD611" s="493"/>
    </row>
    <row r="612" spans="18:30" x14ac:dyDescent="0.25">
      <c r="R612" s="491"/>
      <c r="S612" s="491"/>
      <c r="T612" s="491"/>
      <c r="U612" s="491"/>
      <c r="V612" s="491"/>
      <c r="W612" s="491"/>
      <c r="X612" s="491"/>
      <c r="Y612" s="491"/>
      <c r="Z612" s="491"/>
      <c r="AA612" s="491"/>
      <c r="AB612" s="491"/>
      <c r="AC612" s="491"/>
      <c r="AD612" s="493"/>
    </row>
    <row r="613" spans="18:30" x14ac:dyDescent="0.25">
      <c r="R613" s="491"/>
      <c r="S613" s="491"/>
      <c r="T613" s="491"/>
      <c r="U613" s="491"/>
      <c r="V613" s="491"/>
      <c r="W613" s="491"/>
      <c r="X613" s="491"/>
      <c r="Y613" s="491"/>
      <c r="Z613" s="491"/>
      <c r="AA613" s="491"/>
      <c r="AB613" s="491"/>
      <c r="AC613" s="491"/>
      <c r="AD613" s="493"/>
    </row>
    <row r="614" spans="18:30" x14ac:dyDescent="0.25">
      <c r="R614" s="491"/>
      <c r="S614" s="491"/>
      <c r="T614" s="491"/>
      <c r="U614" s="491"/>
      <c r="V614" s="491"/>
      <c r="W614" s="491"/>
      <c r="X614" s="491"/>
      <c r="Y614" s="491"/>
      <c r="Z614" s="491"/>
      <c r="AA614" s="491"/>
      <c r="AB614" s="491"/>
      <c r="AC614" s="491"/>
      <c r="AD614" s="493"/>
    </row>
    <row r="615" spans="18:30" x14ac:dyDescent="0.25">
      <c r="R615" s="491"/>
      <c r="S615" s="491"/>
      <c r="T615" s="491"/>
      <c r="U615" s="491"/>
      <c r="V615" s="491"/>
      <c r="W615" s="491"/>
      <c r="X615" s="491"/>
      <c r="Y615" s="491"/>
      <c r="Z615" s="491"/>
      <c r="AA615" s="491"/>
      <c r="AB615" s="491"/>
      <c r="AC615" s="491"/>
      <c r="AD615" s="493"/>
    </row>
    <row r="616" spans="18:30" x14ac:dyDescent="0.25">
      <c r="R616" s="491"/>
      <c r="S616" s="491"/>
      <c r="T616" s="491"/>
      <c r="U616" s="491"/>
      <c r="V616" s="491"/>
      <c r="W616" s="491"/>
      <c r="X616" s="491"/>
      <c r="Y616" s="491"/>
      <c r="Z616" s="491"/>
      <c r="AA616" s="491"/>
      <c r="AB616" s="491"/>
      <c r="AC616" s="491"/>
      <c r="AD616" s="493"/>
    </row>
    <row r="617" spans="18:30" x14ac:dyDescent="0.25">
      <c r="R617" s="491"/>
      <c r="S617" s="491"/>
      <c r="T617" s="491"/>
      <c r="U617" s="491"/>
      <c r="V617" s="491"/>
      <c r="W617" s="491"/>
      <c r="X617" s="491"/>
      <c r="Y617" s="491"/>
      <c r="Z617" s="491"/>
      <c r="AA617" s="491"/>
      <c r="AB617" s="491"/>
      <c r="AC617" s="491"/>
      <c r="AD617" s="493"/>
    </row>
    <row r="618" spans="18:30" x14ac:dyDescent="0.25">
      <c r="R618" s="491"/>
      <c r="S618" s="491"/>
      <c r="T618" s="491"/>
      <c r="U618" s="491"/>
      <c r="V618" s="491"/>
      <c r="W618" s="491"/>
      <c r="X618" s="491"/>
      <c r="Y618" s="491"/>
      <c r="Z618" s="491"/>
      <c r="AA618" s="491"/>
      <c r="AB618" s="491"/>
      <c r="AC618" s="491"/>
      <c r="AD618" s="493"/>
    </row>
    <row r="619" spans="18:30" x14ac:dyDescent="0.25">
      <c r="R619" s="491"/>
      <c r="S619" s="491"/>
      <c r="T619" s="491"/>
      <c r="U619" s="491"/>
      <c r="V619" s="491"/>
      <c r="W619" s="491"/>
      <c r="X619" s="491"/>
      <c r="Y619" s="491"/>
      <c r="Z619" s="491"/>
      <c r="AA619" s="491"/>
      <c r="AB619" s="491"/>
      <c r="AC619" s="491"/>
      <c r="AD619" s="493"/>
    </row>
    <row r="620" spans="18:30" x14ac:dyDescent="0.25">
      <c r="R620" s="491"/>
      <c r="S620" s="491"/>
      <c r="T620" s="491"/>
      <c r="U620" s="491"/>
      <c r="V620" s="491"/>
      <c r="W620" s="491"/>
      <c r="X620" s="491"/>
      <c r="Y620" s="491"/>
      <c r="Z620" s="491"/>
      <c r="AA620" s="491"/>
      <c r="AB620" s="491"/>
      <c r="AC620" s="491"/>
      <c r="AD620" s="493"/>
    </row>
    <row r="621" spans="18:30" x14ac:dyDescent="0.25">
      <c r="R621" s="491"/>
      <c r="S621" s="491"/>
      <c r="T621" s="491"/>
      <c r="U621" s="491"/>
      <c r="V621" s="491"/>
      <c r="W621" s="491"/>
      <c r="X621" s="491"/>
      <c r="Y621" s="491"/>
      <c r="Z621" s="491"/>
      <c r="AA621" s="491"/>
      <c r="AB621" s="491"/>
      <c r="AC621" s="491"/>
      <c r="AD621" s="493"/>
    </row>
    <row r="622" spans="18:30" x14ac:dyDescent="0.25">
      <c r="R622" s="491"/>
      <c r="S622" s="491"/>
      <c r="T622" s="491"/>
      <c r="U622" s="491"/>
      <c r="V622" s="491"/>
      <c r="W622" s="491"/>
      <c r="X622" s="491"/>
      <c r="Y622" s="491"/>
      <c r="Z622" s="491"/>
      <c r="AA622" s="491"/>
      <c r="AB622" s="491"/>
      <c r="AC622" s="491"/>
      <c r="AD622" s="493"/>
    </row>
    <row r="623" spans="18:30" x14ac:dyDescent="0.25">
      <c r="R623" s="491"/>
      <c r="S623" s="491"/>
      <c r="T623" s="491"/>
      <c r="U623" s="491"/>
      <c r="V623" s="491"/>
      <c r="W623" s="491"/>
      <c r="X623" s="491"/>
      <c r="Y623" s="491"/>
      <c r="Z623" s="491"/>
      <c r="AA623" s="491"/>
      <c r="AB623" s="491"/>
      <c r="AC623" s="491"/>
      <c r="AD623" s="493"/>
    </row>
    <row r="624" spans="18:30" x14ac:dyDescent="0.25">
      <c r="R624" s="491"/>
      <c r="S624" s="491"/>
      <c r="T624" s="491"/>
      <c r="U624" s="491"/>
      <c r="V624" s="491"/>
      <c r="W624" s="491"/>
      <c r="X624" s="491"/>
      <c r="Y624" s="491"/>
      <c r="Z624" s="491"/>
      <c r="AA624" s="491"/>
      <c r="AB624" s="491"/>
      <c r="AC624" s="491"/>
      <c r="AD624" s="493"/>
    </row>
    <row r="625" spans="18:30" x14ac:dyDescent="0.25">
      <c r="R625" s="491"/>
      <c r="S625" s="491"/>
      <c r="T625" s="491"/>
      <c r="U625" s="491"/>
      <c r="V625" s="491"/>
      <c r="W625" s="491"/>
      <c r="X625" s="491"/>
      <c r="Y625" s="491"/>
      <c r="Z625" s="491"/>
      <c r="AA625" s="491"/>
      <c r="AB625" s="491"/>
      <c r="AC625" s="491"/>
      <c r="AD625" s="493"/>
    </row>
    <row r="626" spans="18:30" x14ac:dyDescent="0.25">
      <c r="R626" s="491"/>
      <c r="S626" s="491"/>
      <c r="T626" s="491"/>
      <c r="U626" s="491"/>
      <c r="V626" s="491"/>
      <c r="W626" s="491"/>
      <c r="X626" s="491"/>
      <c r="Y626" s="491"/>
      <c r="Z626" s="491"/>
      <c r="AA626" s="491"/>
      <c r="AB626" s="491"/>
      <c r="AC626" s="491"/>
      <c r="AD626" s="493"/>
    </row>
    <row r="627" spans="18:30" x14ac:dyDescent="0.25">
      <c r="R627" s="491"/>
      <c r="S627" s="491"/>
      <c r="T627" s="491"/>
      <c r="U627" s="491"/>
      <c r="V627" s="491"/>
      <c r="W627" s="491"/>
      <c r="X627" s="491"/>
      <c r="Y627" s="491"/>
      <c r="Z627" s="491"/>
      <c r="AA627" s="491"/>
      <c r="AB627" s="491"/>
      <c r="AC627" s="491"/>
      <c r="AD627" s="493"/>
    </row>
    <row r="628" spans="18:30" x14ac:dyDescent="0.25">
      <c r="R628" s="491"/>
      <c r="S628" s="491"/>
      <c r="T628" s="491"/>
      <c r="U628" s="491"/>
      <c r="V628" s="491"/>
      <c r="W628" s="491"/>
      <c r="X628" s="491"/>
      <c r="Y628" s="491"/>
      <c r="Z628" s="491"/>
      <c r="AA628" s="491"/>
      <c r="AB628" s="491"/>
      <c r="AC628" s="491"/>
      <c r="AD628" s="493"/>
    </row>
    <row r="629" spans="18:30" x14ac:dyDescent="0.25">
      <c r="R629" s="491"/>
      <c r="S629" s="491"/>
      <c r="T629" s="491"/>
      <c r="U629" s="491"/>
      <c r="V629" s="491"/>
      <c r="W629" s="491"/>
      <c r="X629" s="491"/>
      <c r="Y629" s="491"/>
      <c r="Z629" s="491"/>
      <c r="AA629" s="491"/>
      <c r="AB629" s="491"/>
      <c r="AC629" s="491"/>
      <c r="AD629" s="493"/>
    </row>
    <row r="630" spans="18:30" x14ac:dyDescent="0.25">
      <c r="R630" s="491"/>
      <c r="S630" s="491"/>
      <c r="T630" s="491"/>
      <c r="U630" s="491"/>
      <c r="V630" s="491"/>
      <c r="W630" s="491"/>
      <c r="X630" s="491"/>
      <c r="Y630" s="491"/>
      <c r="Z630" s="491"/>
      <c r="AA630" s="491"/>
      <c r="AB630" s="491"/>
      <c r="AC630" s="491"/>
      <c r="AD630" s="493"/>
    </row>
    <row r="631" spans="18:30" x14ac:dyDescent="0.25">
      <c r="R631" s="491"/>
      <c r="S631" s="491"/>
      <c r="T631" s="491"/>
      <c r="U631" s="491"/>
      <c r="V631" s="491"/>
      <c r="W631" s="491"/>
      <c r="X631" s="491"/>
      <c r="Y631" s="491"/>
      <c r="Z631" s="491"/>
      <c r="AA631" s="491"/>
      <c r="AB631" s="491"/>
      <c r="AC631" s="491"/>
      <c r="AD631" s="493"/>
    </row>
    <row r="632" spans="18:30" x14ac:dyDescent="0.25">
      <c r="R632" s="491"/>
      <c r="S632" s="491"/>
      <c r="T632" s="491"/>
      <c r="U632" s="491"/>
      <c r="V632" s="491"/>
      <c r="W632" s="491"/>
      <c r="X632" s="491"/>
      <c r="Y632" s="491"/>
      <c r="Z632" s="491"/>
      <c r="AA632" s="491"/>
      <c r="AB632" s="491"/>
      <c r="AC632" s="491"/>
      <c r="AD632" s="493"/>
    </row>
    <row r="633" spans="18:30" x14ac:dyDescent="0.25">
      <c r="R633" s="491"/>
      <c r="S633" s="491"/>
      <c r="T633" s="491"/>
      <c r="U633" s="491"/>
      <c r="V633" s="491"/>
      <c r="W633" s="491"/>
      <c r="X633" s="491"/>
      <c r="Y633" s="491"/>
      <c r="Z633" s="491"/>
      <c r="AA633" s="491"/>
      <c r="AB633" s="491"/>
      <c r="AC633" s="491"/>
      <c r="AD633" s="493"/>
    </row>
    <row r="634" spans="18:30" x14ac:dyDescent="0.25">
      <c r="R634" s="491"/>
      <c r="S634" s="491"/>
      <c r="T634" s="491"/>
      <c r="U634" s="491"/>
      <c r="V634" s="491"/>
      <c r="W634" s="491"/>
      <c r="X634" s="491"/>
      <c r="Y634" s="491"/>
      <c r="Z634" s="491"/>
      <c r="AA634" s="491"/>
      <c r="AB634" s="491"/>
      <c r="AC634" s="491"/>
      <c r="AD634" s="493"/>
    </row>
    <row r="635" spans="18:30" x14ac:dyDescent="0.25">
      <c r="R635" s="491"/>
      <c r="S635" s="491"/>
      <c r="T635" s="491"/>
      <c r="U635" s="491"/>
      <c r="V635" s="491"/>
      <c r="W635" s="491"/>
      <c r="X635" s="491"/>
      <c r="Y635" s="491"/>
      <c r="Z635" s="491"/>
      <c r="AA635" s="491"/>
      <c r="AB635" s="491"/>
      <c r="AC635" s="491"/>
      <c r="AD635" s="493"/>
    </row>
    <row r="636" spans="18:30" x14ac:dyDescent="0.25">
      <c r="R636" s="491"/>
      <c r="S636" s="491"/>
      <c r="T636" s="491"/>
      <c r="U636" s="491"/>
      <c r="V636" s="491"/>
      <c r="W636" s="491"/>
      <c r="X636" s="491"/>
      <c r="Y636" s="491"/>
      <c r="Z636" s="491"/>
      <c r="AA636" s="491"/>
      <c r="AB636" s="491"/>
      <c r="AC636" s="491"/>
      <c r="AD636" s="493"/>
    </row>
    <row r="637" spans="18:30" x14ac:dyDescent="0.25">
      <c r="R637" s="491"/>
      <c r="S637" s="491"/>
      <c r="T637" s="491"/>
      <c r="U637" s="491"/>
      <c r="V637" s="491"/>
      <c r="W637" s="491"/>
      <c r="X637" s="491"/>
      <c r="Y637" s="491"/>
      <c r="Z637" s="491"/>
      <c r="AA637" s="491"/>
      <c r="AB637" s="491"/>
      <c r="AC637" s="491"/>
      <c r="AD637" s="493"/>
    </row>
    <row r="638" spans="18:30" x14ac:dyDescent="0.25">
      <c r="R638" s="491"/>
      <c r="S638" s="491"/>
      <c r="T638" s="491"/>
      <c r="U638" s="491"/>
      <c r="V638" s="491"/>
      <c r="W638" s="491"/>
      <c r="X638" s="491"/>
      <c r="Y638" s="491"/>
      <c r="Z638" s="491"/>
      <c r="AA638" s="491"/>
      <c r="AB638" s="491"/>
      <c r="AC638" s="491"/>
      <c r="AD638" s="493"/>
    </row>
    <row r="639" spans="18:30" x14ac:dyDescent="0.25">
      <c r="R639" s="491"/>
      <c r="S639" s="491"/>
      <c r="T639" s="491"/>
      <c r="U639" s="491"/>
      <c r="V639" s="491"/>
      <c r="W639" s="491"/>
      <c r="X639" s="491"/>
      <c r="Y639" s="491"/>
      <c r="Z639" s="491"/>
      <c r="AA639" s="491"/>
      <c r="AB639" s="491"/>
      <c r="AC639" s="491"/>
      <c r="AD639" s="493"/>
    </row>
    <row r="640" spans="18:30" x14ac:dyDescent="0.25">
      <c r="R640" s="491"/>
      <c r="S640" s="491"/>
      <c r="T640" s="491"/>
      <c r="U640" s="491"/>
      <c r="V640" s="491"/>
      <c r="W640" s="491"/>
      <c r="X640" s="491"/>
      <c r="Y640" s="491"/>
      <c r="Z640" s="491"/>
      <c r="AA640" s="491"/>
      <c r="AB640" s="491"/>
      <c r="AC640" s="491"/>
      <c r="AD640" s="493"/>
    </row>
    <row r="641" spans="18:30" x14ac:dyDescent="0.25">
      <c r="R641" s="491"/>
      <c r="S641" s="491"/>
      <c r="T641" s="491"/>
      <c r="U641" s="491"/>
      <c r="V641" s="491"/>
      <c r="W641" s="491"/>
      <c r="X641" s="491"/>
      <c r="Y641" s="491"/>
      <c r="Z641" s="491"/>
      <c r="AA641" s="491"/>
      <c r="AB641" s="491"/>
      <c r="AC641" s="491"/>
      <c r="AD641" s="493"/>
    </row>
    <row r="642" spans="18:30" x14ac:dyDescent="0.25">
      <c r="R642" s="491"/>
      <c r="S642" s="491"/>
      <c r="T642" s="491"/>
      <c r="U642" s="491"/>
      <c r="V642" s="491"/>
      <c r="W642" s="491"/>
      <c r="X642" s="491"/>
      <c r="Y642" s="491"/>
      <c r="Z642" s="491"/>
      <c r="AA642" s="491"/>
      <c r="AB642" s="491"/>
      <c r="AC642" s="491"/>
      <c r="AD642" s="493"/>
    </row>
    <row r="643" spans="18:30" x14ac:dyDescent="0.25">
      <c r="R643" s="491"/>
      <c r="S643" s="491"/>
      <c r="T643" s="491"/>
      <c r="U643" s="491"/>
      <c r="V643" s="491"/>
      <c r="W643" s="491"/>
      <c r="X643" s="491"/>
      <c r="Y643" s="491"/>
      <c r="Z643" s="491"/>
      <c r="AA643" s="491"/>
      <c r="AB643" s="491"/>
      <c r="AC643" s="491"/>
      <c r="AD643" s="493"/>
    </row>
    <row r="644" spans="18:30" x14ac:dyDescent="0.25">
      <c r="R644" s="491"/>
      <c r="S644" s="491"/>
      <c r="T644" s="491"/>
      <c r="U644" s="491"/>
      <c r="V644" s="491"/>
      <c r="W644" s="491"/>
      <c r="X644" s="491"/>
      <c r="Y644" s="491"/>
      <c r="Z644" s="491"/>
      <c r="AA644" s="491"/>
      <c r="AB644" s="491"/>
      <c r="AC644" s="491"/>
      <c r="AD644" s="493"/>
    </row>
    <row r="645" spans="18:30" x14ac:dyDescent="0.25">
      <c r="R645" s="491"/>
      <c r="S645" s="491"/>
      <c r="T645" s="491"/>
      <c r="U645" s="491"/>
      <c r="V645" s="491"/>
      <c r="W645" s="491"/>
      <c r="X645" s="491"/>
      <c r="Y645" s="491"/>
      <c r="Z645" s="491"/>
      <c r="AA645" s="491"/>
      <c r="AB645" s="491"/>
      <c r="AC645" s="491"/>
      <c r="AD645" s="493"/>
    </row>
    <row r="646" spans="18:30" x14ac:dyDescent="0.25">
      <c r="R646" s="491"/>
      <c r="S646" s="491"/>
      <c r="T646" s="491"/>
      <c r="U646" s="491"/>
      <c r="V646" s="491"/>
      <c r="W646" s="491"/>
      <c r="X646" s="491"/>
      <c r="Y646" s="491"/>
      <c r="Z646" s="491"/>
      <c r="AA646" s="491"/>
      <c r="AB646" s="491"/>
      <c r="AC646" s="491"/>
      <c r="AD646" s="493"/>
    </row>
    <row r="647" spans="18:30" x14ac:dyDescent="0.25">
      <c r="R647" s="491"/>
      <c r="S647" s="491"/>
      <c r="T647" s="491"/>
      <c r="U647" s="491"/>
      <c r="V647" s="491"/>
      <c r="W647" s="491"/>
      <c r="X647" s="491"/>
      <c r="Y647" s="491"/>
      <c r="Z647" s="491"/>
      <c r="AA647" s="491"/>
      <c r="AB647" s="491"/>
      <c r="AC647" s="491"/>
      <c r="AD647" s="493"/>
    </row>
    <row r="648" spans="18:30" x14ac:dyDescent="0.25">
      <c r="R648" s="491"/>
      <c r="S648" s="491"/>
      <c r="T648" s="491"/>
      <c r="U648" s="491"/>
      <c r="V648" s="491"/>
      <c r="W648" s="491"/>
      <c r="X648" s="491"/>
      <c r="Y648" s="491"/>
      <c r="Z648" s="491"/>
      <c r="AA648" s="491"/>
      <c r="AB648" s="491"/>
      <c r="AC648" s="491"/>
      <c r="AD648" s="493"/>
    </row>
    <row r="649" spans="18:30" x14ac:dyDescent="0.25">
      <c r="R649" s="491"/>
      <c r="S649" s="491"/>
      <c r="T649" s="491"/>
      <c r="U649" s="491"/>
      <c r="V649" s="491"/>
      <c r="W649" s="491"/>
      <c r="X649" s="491"/>
      <c r="Y649" s="491"/>
      <c r="Z649" s="491"/>
      <c r="AA649" s="491"/>
      <c r="AB649" s="491"/>
      <c r="AC649" s="491"/>
      <c r="AD649" s="493"/>
    </row>
    <row r="650" spans="18:30" x14ac:dyDescent="0.25">
      <c r="R650" s="491"/>
      <c r="S650" s="491"/>
      <c r="T650" s="491"/>
      <c r="U650" s="491"/>
      <c r="V650" s="491"/>
      <c r="W650" s="491"/>
      <c r="X650" s="491"/>
      <c r="Y650" s="491"/>
      <c r="Z650" s="491"/>
      <c r="AA650" s="491"/>
      <c r="AB650" s="491"/>
      <c r="AC650" s="491"/>
      <c r="AD650" s="493"/>
    </row>
    <row r="651" spans="18:30" x14ac:dyDescent="0.25">
      <c r="R651" s="491"/>
      <c r="S651" s="491"/>
      <c r="T651" s="491"/>
      <c r="U651" s="491"/>
      <c r="V651" s="491"/>
      <c r="W651" s="491"/>
      <c r="X651" s="491"/>
      <c r="Y651" s="491"/>
      <c r="Z651" s="491"/>
      <c r="AA651" s="491"/>
      <c r="AB651" s="491"/>
      <c r="AC651" s="491"/>
      <c r="AD651" s="493"/>
    </row>
    <row r="652" spans="18:30" x14ac:dyDescent="0.25">
      <c r="R652" s="491"/>
      <c r="S652" s="491"/>
      <c r="T652" s="491"/>
      <c r="U652" s="491"/>
      <c r="V652" s="491"/>
      <c r="W652" s="491"/>
      <c r="X652" s="491"/>
      <c r="Y652" s="491"/>
      <c r="Z652" s="491"/>
      <c r="AA652" s="491"/>
      <c r="AB652" s="491"/>
      <c r="AC652" s="491"/>
      <c r="AD652" s="493"/>
    </row>
    <row r="653" spans="18:30" x14ac:dyDescent="0.25">
      <c r="R653" s="491"/>
      <c r="S653" s="491"/>
      <c r="T653" s="491"/>
      <c r="U653" s="491"/>
      <c r="V653" s="491"/>
      <c r="W653" s="491"/>
      <c r="X653" s="491"/>
      <c r="Y653" s="491"/>
      <c r="Z653" s="491"/>
      <c r="AA653" s="491"/>
      <c r="AB653" s="491"/>
      <c r="AC653" s="491"/>
      <c r="AD653" s="493"/>
    </row>
    <row r="654" spans="18:30" x14ac:dyDescent="0.25">
      <c r="R654" s="491"/>
      <c r="S654" s="491"/>
      <c r="T654" s="491"/>
      <c r="U654" s="491"/>
      <c r="V654" s="491"/>
      <c r="W654" s="491"/>
      <c r="X654" s="491"/>
      <c r="Y654" s="491"/>
      <c r="Z654" s="491"/>
      <c r="AA654" s="491"/>
      <c r="AB654" s="491"/>
      <c r="AC654" s="491"/>
      <c r="AD654" s="493"/>
    </row>
    <row r="655" spans="18:30" x14ac:dyDescent="0.25">
      <c r="R655" s="491"/>
      <c r="S655" s="491"/>
      <c r="T655" s="491"/>
      <c r="U655" s="491"/>
      <c r="V655" s="491"/>
      <c r="W655" s="491"/>
      <c r="X655" s="491"/>
      <c r="Y655" s="491"/>
      <c r="Z655" s="491"/>
      <c r="AA655" s="491"/>
      <c r="AB655" s="491"/>
      <c r="AC655" s="491"/>
      <c r="AD655" s="493"/>
    </row>
    <row r="656" spans="18:30" x14ac:dyDescent="0.25">
      <c r="R656" s="491"/>
      <c r="S656" s="491"/>
      <c r="T656" s="491"/>
      <c r="U656" s="491"/>
      <c r="V656" s="491"/>
      <c r="W656" s="491"/>
      <c r="X656" s="491"/>
      <c r="Y656" s="491"/>
      <c r="Z656" s="491"/>
      <c r="AA656" s="491"/>
      <c r="AB656" s="491"/>
      <c r="AC656" s="491"/>
      <c r="AD656" s="493"/>
    </row>
    <row r="657" spans="18:30" x14ac:dyDescent="0.25">
      <c r="R657" s="491"/>
      <c r="S657" s="491"/>
      <c r="T657" s="491"/>
      <c r="U657" s="491"/>
      <c r="V657" s="491"/>
      <c r="W657" s="491"/>
      <c r="X657" s="491"/>
      <c r="Y657" s="491"/>
      <c r="Z657" s="491"/>
      <c r="AA657" s="491"/>
      <c r="AB657" s="491"/>
      <c r="AC657" s="491"/>
      <c r="AD657" s="493"/>
    </row>
    <row r="658" spans="18:30" x14ac:dyDescent="0.25">
      <c r="R658" s="491"/>
      <c r="S658" s="491"/>
      <c r="T658" s="491"/>
      <c r="U658" s="491"/>
      <c r="V658" s="491"/>
      <c r="W658" s="491"/>
      <c r="X658" s="491"/>
      <c r="Y658" s="491"/>
      <c r="Z658" s="491"/>
      <c r="AA658" s="491"/>
      <c r="AB658" s="491"/>
      <c r="AC658" s="491"/>
      <c r="AD658" s="493"/>
    </row>
    <row r="659" spans="18:30" x14ac:dyDescent="0.25">
      <c r="R659" s="491"/>
      <c r="S659" s="491"/>
      <c r="T659" s="491"/>
      <c r="U659" s="491"/>
      <c r="V659" s="491"/>
      <c r="W659" s="491"/>
      <c r="X659" s="491"/>
      <c r="Y659" s="491"/>
      <c r="Z659" s="491"/>
      <c r="AA659" s="491"/>
      <c r="AB659" s="491"/>
      <c r="AC659" s="491"/>
      <c r="AD659" s="493"/>
    </row>
    <row r="660" spans="18:30" x14ac:dyDescent="0.25">
      <c r="R660" s="491"/>
      <c r="S660" s="491"/>
      <c r="T660" s="491"/>
      <c r="U660" s="491"/>
      <c r="V660" s="491"/>
      <c r="W660" s="491"/>
      <c r="X660" s="491"/>
      <c r="Y660" s="491"/>
      <c r="Z660" s="491"/>
      <c r="AA660" s="491"/>
      <c r="AB660" s="491"/>
      <c r="AC660" s="491"/>
      <c r="AD660" s="493"/>
    </row>
    <row r="661" spans="18:30" x14ac:dyDescent="0.25">
      <c r="R661" s="491"/>
      <c r="S661" s="491"/>
      <c r="T661" s="491"/>
      <c r="U661" s="491"/>
      <c r="V661" s="491"/>
      <c r="W661" s="491"/>
      <c r="X661" s="491"/>
      <c r="Y661" s="491"/>
      <c r="Z661" s="491"/>
      <c r="AA661" s="491"/>
      <c r="AB661" s="491"/>
      <c r="AC661" s="491"/>
      <c r="AD661" s="493"/>
    </row>
    <row r="662" spans="18:30" x14ac:dyDescent="0.25">
      <c r="R662" s="491"/>
      <c r="S662" s="491"/>
      <c r="T662" s="491"/>
      <c r="U662" s="491"/>
      <c r="V662" s="491"/>
      <c r="W662" s="491"/>
      <c r="X662" s="491"/>
      <c r="Y662" s="491"/>
      <c r="Z662" s="491"/>
      <c r="AA662" s="491"/>
      <c r="AB662" s="491"/>
      <c r="AC662" s="491"/>
      <c r="AD662" s="493"/>
    </row>
    <row r="663" spans="18:30" x14ac:dyDescent="0.25">
      <c r="R663" s="491"/>
      <c r="S663" s="491"/>
      <c r="T663" s="491"/>
      <c r="U663" s="491"/>
      <c r="V663" s="491"/>
      <c r="W663" s="491"/>
      <c r="X663" s="491"/>
      <c r="Y663" s="491"/>
      <c r="Z663" s="491"/>
      <c r="AA663" s="491"/>
      <c r="AB663" s="491"/>
      <c r="AC663" s="491"/>
      <c r="AD663" s="493"/>
    </row>
    <row r="664" spans="18:30" x14ac:dyDescent="0.25">
      <c r="R664" s="491"/>
      <c r="S664" s="491"/>
      <c r="T664" s="491"/>
      <c r="U664" s="491"/>
      <c r="V664" s="491"/>
      <c r="W664" s="491"/>
      <c r="X664" s="491"/>
      <c r="Y664" s="491"/>
      <c r="Z664" s="491"/>
      <c r="AA664" s="491"/>
      <c r="AB664" s="491"/>
      <c r="AC664" s="491"/>
      <c r="AD664" s="493"/>
    </row>
    <row r="665" spans="18:30" x14ac:dyDescent="0.25">
      <c r="R665" s="491"/>
      <c r="S665" s="491"/>
      <c r="T665" s="491"/>
      <c r="U665" s="491"/>
      <c r="V665" s="491"/>
      <c r="W665" s="491"/>
      <c r="X665" s="491"/>
      <c r="Y665" s="491"/>
      <c r="Z665" s="491"/>
      <c r="AA665" s="491"/>
      <c r="AB665" s="491"/>
      <c r="AC665" s="491"/>
      <c r="AD665" s="493"/>
    </row>
    <row r="666" spans="18:30" x14ac:dyDescent="0.25">
      <c r="R666" s="491"/>
      <c r="S666" s="491"/>
      <c r="T666" s="491"/>
      <c r="U666" s="491"/>
      <c r="V666" s="491"/>
      <c r="W666" s="491"/>
      <c r="X666" s="491"/>
      <c r="Y666" s="491"/>
      <c r="Z666" s="491"/>
      <c r="AA666" s="491"/>
      <c r="AB666" s="491"/>
      <c r="AC666" s="491"/>
      <c r="AD666" s="493"/>
    </row>
    <row r="667" spans="18:30" x14ac:dyDescent="0.25">
      <c r="R667" s="491"/>
      <c r="S667" s="491"/>
      <c r="T667" s="491"/>
      <c r="U667" s="491"/>
      <c r="V667" s="491"/>
      <c r="W667" s="491"/>
      <c r="X667" s="491"/>
      <c r="Y667" s="491"/>
      <c r="Z667" s="491"/>
      <c r="AA667" s="491"/>
      <c r="AB667" s="491"/>
      <c r="AC667" s="491"/>
      <c r="AD667" s="493"/>
    </row>
    <row r="668" spans="18:30" x14ac:dyDescent="0.25">
      <c r="R668" s="491"/>
      <c r="S668" s="491"/>
      <c r="T668" s="491"/>
      <c r="U668" s="491"/>
      <c r="V668" s="491"/>
      <c r="W668" s="491"/>
      <c r="X668" s="491"/>
      <c r="Y668" s="491"/>
      <c r="Z668" s="491"/>
      <c r="AA668" s="491"/>
      <c r="AB668" s="491"/>
      <c r="AC668" s="491"/>
      <c r="AD668" s="493"/>
    </row>
    <row r="669" spans="18:30" x14ac:dyDescent="0.25">
      <c r="R669" s="491"/>
      <c r="S669" s="491"/>
      <c r="T669" s="491"/>
      <c r="U669" s="491"/>
      <c r="V669" s="491"/>
      <c r="W669" s="491"/>
      <c r="X669" s="491"/>
      <c r="Y669" s="491"/>
      <c r="Z669" s="491"/>
      <c r="AA669" s="491"/>
      <c r="AB669" s="491"/>
      <c r="AC669" s="491"/>
      <c r="AD669" s="493"/>
    </row>
    <row r="670" spans="18:30" x14ac:dyDescent="0.25">
      <c r="R670" s="491"/>
      <c r="S670" s="491"/>
      <c r="T670" s="491"/>
      <c r="U670" s="491"/>
      <c r="V670" s="491"/>
      <c r="W670" s="491"/>
      <c r="X670" s="491"/>
      <c r="Y670" s="491"/>
      <c r="Z670" s="491"/>
      <c r="AA670" s="491"/>
      <c r="AB670" s="491"/>
      <c r="AC670" s="491"/>
      <c r="AD670" s="493"/>
    </row>
    <row r="671" spans="18:30" x14ac:dyDescent="0.25">
      <c r="R671" s="491"/>
      <c r="S671" s="491"/>
      <c r="T671" s="491"/>
      <c r="U671" s="491"/>
      <c r="V671" s="491"/>
      <c r="W671" s="491"/>
      <c r="X671" s="491"/>
      <c r="Y671" s="491"/>
      <c r="Z671" s="491"/>
      <c r="AA671" s="491"/>
      <c r="AB671" s="491"/>
      <c r="AC671" s="491"/>
      <c r="AD671" s="493"/>
    </row>
    <row r="672" spans="18:30" x14ac:dyDescent="0.25">
      <c r="R672" s="491"/>
      <c r="S672" s="491"/>
      <c r="T672" s="491"/>
      <c r="U672" s="491"/>
      <c r="V672" s="491"/>
      <c r="W672" s="491"/>
      <c r="X672" s="491"/>
      <c r="Y672" s="491"/>
      <c r="Z672" s="491"/>
      <c r="AA672" s="491"/>
      <c r="AB672" s="491"/>
      <c r="AC672" s="491"/>
      <c r="AD672" s="493"/>
    </row>
    <row r="673" spans="18:30" x14ac:dyDescent="0.25">
      <c r="R673" s="491"/>
      <c r="S673" s="491"/>
      <c r="T673" s="491"/>
      <c r="U673" s="491"/>
      <c r="V673" s="491"/>
      <c r="W673" s="491"/>
      <c r="X673" s="491"/>
      <c r="Y673" s="491"/>
      <c r="Z673" s="491"/>
      <c r="AA673" s="491"/>
      <c r="AB673" s="491"/>
      <c r="AC673" s="491"/>
      <c r="AD673" s="493"/>
    </row>
    <row r="674" spans="18:30" x14ac:dyDescent="0.25">
      <c r="R674" s="491"/>
      <c r="S674" s="491"/>
      <c r="T674" s="491"/>
      <c r="U674" s="491"/>
      <c r="V674" s="491"/>
      <c r="W674" s="491"/>
      <c r="X674" s="491"/>
      <c r="Y674" s="491"/>
      <c r="Z674" s="491"/>
      <c r="AA674" s="491"/>
      <c r="AB674" s="491"/>
      <c r="AC674" s="491"/>
      <c r="AD674" s="493"/>
    </row>
    <row r="675" spans="18:30" x14ac:dyDescent="0.25">
      <c r="R675" s="491"/>
      <c r="S675" s="491"/>
      <c r="T675" s="491"/>
      <c r="U675" s="491"/>
      <c r="V675" s="491"/>
      <c r="W675" s="491"/>
      <c r="X675" s="491"/>
      <c r="Y675" s="491"/>
      <c r="Z675" s="491"/>
      <c r="AA675" s="491"/>
      <c r="AB675" s="491"/>
      <c r="AC675" s="491"/>
      <c r="AD675" s="493"/>
    </row>
    <row r="676" spans="18:30" x14ac:dyDescent="0.25">
      <c r="R676" s="491"/>
      <c r="S676" s="491"/>
      <c r="T676" s="491"/>
      <c r="U676" s="491"/>
      <c r="V676" s="491"/>
      <c r="W676" s="491"/>
      <c r="X676" s="491"/>
      <c r="Y676" s="491"/>
      <c r="Z676" s="491"/>
      <c r="AA676" s="491"/>
      <c r="AB676" s="491"/>
      <c r="AC676" s="491"/>
      <c r="AD676" s="493"/>
    </row>
    <row r="677" spans="18:30" x14ac:dyDescent="0.25">
      <c r="R677" s="491"/>
      <c r="S677" s="491"/>
      <c r="T677" s="491"/>
      <c r="U677" s="491"/>
      <c r="V677" s="491"/>
      <c r="W677" s="491"/>
      <c r="X677" s="491"/>
      <c r="Y677" s="491"/>
      <c r="Z677" s="491"/>
      <c r="AA677" s="491"/>
      <c r="AB677" s="491"/>
      <c r="AC677" s="491"/>
      <c r="AD677" s="493"/>
    </row>
    <row r="678" spans="18:30" x14ac:dyDescent="0.25">
      <c r="R678" s="491"/>
      <c r="S678" s="491"/>
      <c r="T678" s="491"/>
      <c r="U678" s="491"/>
      <c r="V678" s="491"/>
      <c r="W678" s="491"/>
      <c r="X678" s="491"/>
      <c r="Y678" s="491"/>
      <c r="Z678" s="491"/>
      <c r="AA678" s="491"/>
      <c r="AB678" s="491"/>
      <c r="AC678" s="491"/>
      <c r="AD678" s="493"/>
    </row>
    <row r="679" spans="18:30" x14ac:dyDescent="0.25">
      <c r="R679" s="491"/>
      <c r="S679" s="491"/>
      <c r="T679" s="491"/>
      <c r="U679" s="491"/>
      <c r="V679" s="491"/>
      <c r="W679" s="491"/>
      <c r="X679" s="491"/>
      <c r="Y679" s="491"/>
      <c r="Z679" s="491"/>
      <c r="AA679" s="491"/>
      <c r="AB679" s="491"/>
      <c r="AC679" s="491"/>
      <c r="AD679" s="493"/>
    </row>
    <row r="680" spans="18:30" x14ac:dyDescent="0.25">
      <c r="R680" s="491"/>
      <c r="S680" s="491"/>
      <c r="T680" s="491"/>
      <c r="U680" s="491"/>
      <c r="V680" s="491"/>
      <c r="W680" s="491"/>
      <c r="X680" s="491"/>
      <c r="Y680" s="491"/>
      <c r="Z680" s="491"/>
      <c r="AA680" s="491"/>
      <c r="AB680" s="491"/>
      <c r="AC680" s="491"/>
      <c r="AD680" s="493"/>
    </row>
    <row r="681" spans="18:30" x14ac:dyDescent="0.25">
      <c r="R681" s="491"/>
      <c r="S681" s="491"/>
      <c r="T681" s="491"/>
      <c r="U681" s="491"/>
      <c r="V681" s="491"/>
      <c r="W681" s="491"/>
      <c r="X681" s="491"/>
      <c r="Y681" s="491"/>
      <c r="Z681" s="491"/>
      <c r="AA681" s="491"/>
      <c r="AB681" s="491"/>
      <c r="AC681" s="491"/>
      <c r="AD681" s="493"/>
    </row>
    <row r="682" spans="18:30" x14ac:dyDescent="0.25">
      <c r="R682" s="491"/>
      <c r="S682" s="491"/>
      <c r="T682" s="491"/>
      <c r="U682" s="491"/>
      <c r="V682" s="491"/>
      <c r="W682" s="491"/>
      <c r="X682" s="491"/>
      <c r="Y682" s="491"/>
      <c r="Z682" s="491"/>
      <c r="AA682" s="491"/>
      <c r="AB682" s="491"/>
      <c r="AC682" s="491"/>
      <c r="AD682" s="493"/>
    </row>
    <row r="683" spans="18:30" x14ac:dyDescent="0.25">
      <c r="R683" s="491"/>
      <c r="S683" s="491"/>
      <c r="T683" s="491"/>
      <c r="U683" s="491"/>
      <c r="V683" s="491"/>
      <c r="W683" s="491"/>
      <c r="X683" s="491"/>
      <c r="Y683" s="491"/>
      <c r="Z683" s="491"/>
      <c r="AA683" s="491"/>
      <c r="AB683" s="491"/>
      <c r="AC683" s="491"/>
      <c r="AD683" s="493"/>
    </row>
    <row r="684" spans="18:30" x14ac:dyDescent="0.25">
      <c r="R684" s="491"/>
      <c r="S684" s="491"/>
      <c r="T684" s="491"/>
      <c r="U684" s="491"/>
      <c r="V684" s="491"/>
      <c r="W684" s="491"/>
      <c r="X684" s="491"/>
      <c r="Y684" s="491"/>
      <c r="Z684" s="491"/>
      <c r="AA684" s="491"/>
      <c r="AB684" s="491"/>
      <c r="AC684" s="491"/>
      <c r="AD684" s="493"/>
    </row>
    <row r="685" spans="18:30" x14ac:dyDescent="0.25">
      <c r="R685" s="491"/>
      <c r="S685" s="491"/>
      <c r="T685" s="491"/>
      <c r="U685" s="491"/>
      <c r="V685" s="491"/>
      <c r="W685" s="491"/>
      <c r="X685" s="491"/>
      <c r="Y685" s="491"/>
      <c r="Z685" s="491"/>
      <c r="AA685" s="491"/>
      <c r="AB685" s="491"/>
      <c r="AC685" s="491"/>
      <c r="AD685" s="493"/>
    </row>
    <row r="686" spans="18:30" x14ac:dyDescent="0.25">
      <c r="R686" s="491"/>
      <c r="S686" s="491"/>
      <c r="T686" s="491"/>
      <c r="U686" s="491"/>
      <c r="V686" s="491"/>
      <c r="W686" s="491"/>
      <c r="X686" s="491"/>
      <c r="Y686" s="491"/>
      <c r="Z686" s="491"/>
      <c r="AA686" s="491"/>
      <c r="AB686" s="491"/>
      <c r="AC686" s="491"/>
      <c r="AD686" s="493"/>
    </row>
    <row r="687" spans="18:30" x14ac:dyDescent="0.25">
      <c r="R687" s="491"/>
      <c r="S687" s="491"/>
      <c r="T687" s="491"/>
      <c r="U687" s="491"/>
      <c r="V687" s="491"/>
      <c r="W687" s="491"/>
      <c r="X687" s="491"/>
      <c r="Y687" s="491"/>
      <c r="Z687" s="491"/>
      <c r="AA687" s="491"/>
      <c r="AB687" s="491"/>
      <c r="AC687" s="491"/>
      <c r="AD687" s="493"/>
    </row>
    <row r="688" spans="18:30" x14ac:dyDescent="0.25">
      <c r="R688" s="491"/>
      <c r="S688" s="491"/>
      <c r="T688" s="491"/>
      <c r="U688" s="491"/>
      <c r="V688" s="491"/>
      <c r="W688" s="491"/>
      <c r="X688" s="491"/>
      <c r="Y688" s="491"/>
      <c r="Z688" s="491"/>
      <c r="AA688" s="491"/>
      <c r="AB688" s="491"/>
      <c r="AC688" s="491"/>
      <c r="AD688" s="493"/>
    </row>
    <row r="689" spans="18:30" x14ac:dyDescent="0.25">
      <c r="R689" s="491"/>
      <c r="S689" s="491"/>
      <c r="T689" s="491"/>
      <c r="U689" s="491"/>
      <c r="V689" s="491"/>
      <c r="W689" s="491"/>
      <c r="X689" s="491"/>
      <c r="Y689" s="491"/>
      <c r="Z689" s="491"/>
      <c r="AA689" s="491"/>
      <c r="AB689" s="491"/>
      <c r="AC689" s="491"/>
      <c r="AD689" s="493"/>
    </row>
    <row r="690" spans="18:30" x14ac:dyDescent="0.25">
      <c r="R690" s="491"/>
      <c r="S690" s="491"/>
      <c r="T690" s="491"/>
      <c r="U690" s="491"/>
      <c r="V690" s="491"/>
      <c r="W690" s="491"/>
      <c r="X690" s="491"/>
      <c r="Y690" s="491"/>
      <c r="Z690" s="491"/>
      <c r="AA690" s="491"/>
      <c r="AB690" s="491"/>
      <c r="AC690" s="491"/>
      <c r="AD690" s="493"/>
    </row>
    <row r="691" spans="18:30" x14ac:dyDescent="0.25">
      <c r="R691" s="491"/>
      <c r="S691" s="491"/>
      <c r="T691" s="491"/>
      <c r="U691" s="491"/>
      <c r="V691" s="491"/>
      <c r="W691" s="491"/>
      <c r="X691" s="491"/>
      <c r="Y691" s="491"/>
      <c r="Z691" s="491"/>
      <c r="AA691" s="491"/>
      <c r="AB691" s="491"/>
      <c r="AC691" s="491"/>
      <c r="AD691" s="493"/>
    </row>
    <row r="692" spans="18:30" x14ac:dyDescent="0.25">
      <c r="R692" s="491"/>
      <c r="S692" s="491"/>
      <c r="T692" s="491"/>
      <c r="U692" s="491"/>
      <c r="V692" s="491"/>
      <c r="W692" s="491"/>
      <c r="X692" s="491"/>
      <c r="Y692" s="491"/>
      <c r="Z692" s="491"/>
      <c r="AA692" s="491"/>
      <c r="AB692" s="491"/>
      <c r="AC692" s="491"/>
      <c r="AD692" s="493"/>
    </row>
    <row r="693" spans="18:30" x14ac:dyDescent="0.25">
      <c r="R693" s="491"/>
      <c r="S693" s="491"/>
      <c r="T693" s="491"/>
      <c r="U693" s="491"/>
      <c r="V693" s="491"/>
      <c r="W693" s="491"/>
      <c r="X693" s="491"/>
      <c r="Y693" s="491"/>
      <c r="Z693" s="491"/>
      <c r="AA693" s="491"/>
      <c r="AB693" s="491"/>
      <c r="AC693" s="491"/>
      <c r="AD693" s="493"/>
    </row>
    <row r="694" spans="18:30" x14ac:dyDescent="0.25">
      <c r="R694" s="491"/>
      <c r="S694" s="491"/>
      <c r="T694" s="491"/>
      <c r="U694" s="491"/>
      <c r="V694" s="491"/>
      <c r="W694" s="491"/>
      <c r="X694" s="491"/>
      <c r="Y694" s="491"/>
      <c r="Z694" s="491"/>
      <c r="AA694" s="491"/>
      <c r="AB694" s="491"/>
      <c r="AC694" s="491"/>
      <c r="AD694" s="493"/>
    </row>
    <row r="695" spans="18:30" x14ac:dyDescent="0.25">
      <c r="R695" s="491"/>
      <c r="S695" s="491"/>
      <c r="T695" s="491"/>
      <c r="U695" s="491"/>
      <c r="V695" s="491"/>
      <c r="W695" s="491"/>
      <c r="X695" s="491"/>
      <c r="Y695" s="491"/>
      <c r="Z695" s="491"/>
      <c r="AA695" s="491"/>
      <c r="AB695" s="491"/>
      <c r="AC695" s="491"/>
      <c r="AD695" s="493"/>
    </row>
    <row r="696" spans="18:30" x14ac:dyDescent="0.25">
      <c r="R696" s="491"/>
      <c r="S696" s="491"/>
      <c r="T696" s="491"/>
      <c r="U696" s="491"/>
      <c r="V696" s="491"/>
      <c r="W696" s="491"/>
      <c r="X696" s="491"/>
      <c r="Y696" s="491"/>
      <c r="Z696" s="491"/>
      <c r="AA696" s="491"/>
      <c r="AB696" s="491"/>
      <c r="AC696" s="491"/>
      <c r="AD696" s="493"/>
    </row>
    <row r="697" spans="18:30" x14ac:dyDescent="0.25">
      <c r="R697" s="491"/>
      <c r="S697" s="491"/>
      <c r="T697" s="491"/>
      <c r="U697" s="491"/>
      <c r="V697" s="491"/>
      <c r="W697" s="491"/>
      <c r="X697" s="491"/>
      <c r="Y697" s="491"/>
      <c r="Z697" s="491"/>
      <c r="AA697" s="491"/>
      <c r="AB697" s="491"/>
      <c r="AC697" s="491"/>
      <c r="AD697" s="493"/>
    </row>
    <row r="698" spans="18:30" x14ac:dyDescent="0.25">
      <c r="R698" s="491"/>
      <c r="S698" s="491"/>
      <c r="T698" s="491"/>
      <c r="U698" s="491"/>
      <c r="V698" s="491"/>
      <c r="W698" s="491"/>
      <c r="X698" s="491"/>
      <c r="Y698" s="491"/>
      <c r="Z698" s="491"/>
      <c r="AA698" s="491"/>
      <c r="AB698" s="491"/>
      <c r="AC698" s="491"/>
      <c r="AD698" s="493"/>
    </row>
    <row r="699" spans="18:30" x14ac:dyDescent="0.25">
      <c r="R699" s="491"/>
      <c r="S699" s="491"/>
      <c r="T699" s="491"/>
      <c r="U699" s="491"/>
      <c r="V699" s="491"/>
      <c r="W699" s="491"/>
      <c r="X699" s="491"/>
      <c r="Y699" s="491"/>
      <c r="Z699" s="491"/>
      <c r="AA699" s="491"/>
      <c r="AB699" s="491"/>
      <c r="AC699" s="491"/>
      <c r="AD699" s="493"/>
    </row>
    <row r="700" spans="18:30" x14ac:dyDescent="0.25">
      <c r="R700" s="491"/>
      <c r="S700" s="491"/>
      <c r="T700" s="491"/>
      <c r="U700" s="491"/>
      <c r="V700" s="491"/>
      <c r="W700" s="491"/>
      <c r="X700" s="491"/>
      <c r="Y700" s="491"/>
      <c r="Z700" s="491"/>
      <c r="AA700" s="491"/>
      <c r="AB700" s="491"/>
      <c r="AC700" s="491"/>
      <c r="AD700" s="493"/>
    </row>
    <row r="701" spans="18:30" x14ac:dyDescent="0.25">
      <c r="R701" s="491"/>
      <c r="S701" s="491"/>
      <c r="T701" s="491"/>
      <c r="U701" s="491"/>
      <c r="V701" s="491"/>
      <c r="W701" s="491"/>
      <c r="X701" s="491"/>
      <c r="Y701" s="491"/>
      <c r="Z701" s="491"/>
      <c r="AA701" s="491"/>
      <c r="AB701" s="491"/>
      <c r="AC701" s="491"/>
      <c r="AD701" s="493"/>
    </row>
    <row r="702" spans="18:30" x14ac:dyDescent="0.25">
      <c r="R702" s="491"/>
      <c r="S702" s="491"/>
      <c r="T702" s="491"/>
      <c r="U702" s="491"/>
      <c r="V702" s="491"/>
      <c r="W702" s="491"/>
      <c r="X702" s="491"/>
      <c r="Y702" s="491"/>
      <c r="Z702" s="491"/>
      <c r="AA702" s="491"/>
      <c r="AB702" s="491"/>
      <c r="AC702" s="491"/>
      <c r="AD702" s="493"/>
    </row>
    <row r="703" spans="18:30" x14ac:dyDescent="0.25">
      <c r="R703" s="491"/>
      <c r="S703" s="491"/>
      <c r="T703" s="491"/>
      <c r="U703" s="491"/>
      <c r="V703" s="491"/>
      <c r="W703" s="491"/>
      <c r="X703" s="491"/>
      <c r="Y703" s="491"/>
      <c r="Z703" s="491"/>
      <c r="AA703" s="491"/>
      <c r="AB703" s="491"/>
      <c r="AC703" s="491"/>
      <c r="AD703" s="493"/>
    </row>
    <row r="704" spans="18:30" x14ac:dyDescent="0.25">
      <c r="R704" s="491"/>
      <c r="S704" s="491"/>
      <c r="T704" s="491"/>
      <c r="U704" s="491"/>
      <c r="V704" s="491"/>
      <c r="W704" s="491"/>
      <c r="X704" s="491"/>
      <c r="Y704" s="491"/>
      <c r="Z704" s="491"/>
      <c r="AA704" s="491"/>
      <c r="AB704" s="491"/>
      <c r="AC704" s="491"/>
      <c r="AD704" s="493"/>
    </row>
    <row r="705" spans="18:30" x14ac:dyDescent="0.25">
      <c r="R705" s="491"/>
      <c r="S705" s="491"/>
      <c r="T705" s="491"/>
      <c r="U705" s="491"/>
      <c r="V705" s="491"/>
      <c r="W705" s="491"/>
      <c r="X705" s="491"/>
      <c r="Y705" s="491"/>
      <c r="Z705" s="491"/>
      <c r="AA705" s="491"/>
      <c r="AB705" s="491"/>
      <c r="AC705" s="491"/>
      <c r="AD705" s="493"/>
    </row>
    <row r="706" spans="18:30" x14ac:dyDescent="0.25">
      <c r="R706" s="491"/>
      <c r="S706" s="491"/>
      <c r="T706" s="491"/>
      <c r="U706" s="491"/>
      <c r="V706" s="491"/>
      <c r="W706" s="491"/>
      <c r="X706" s="491"/>
      <c r="Y706" s="491"/>
      <c r="Z706" s="491"/>
      <c r="AA706" s="491"/>
      <c r="AB706" s="491"/>
      <c r="AC706" s="491"/>
      <c r="AD706" s="493"/>
    </row>
    <row r="707" spans="18:30" x14ac:dyDescent="0.25">
      <c r="R707" s="491"/>
      <c r="S707" s="491"/>
      <c r="T707" s="491"/>
      <c r="U707" s="491"/>
      <c r="V707" s="491"/>
      <c r="W707" s="491"/>
      <c r="X707" s="491"/>
      <c r="Y707" s="491"/>
      <c r="Z707" s="491"/>
      <c r="AA707" s="491"/>
      <c r="AB707" s="491"/>
      <c r="AC707" s="491"/>
      <c r="AD707" s="493"/>
    </row>
    <row r="708" spans="18:30" x14ac:dyDescent="0.25">
      <c r="R708" s="491"/>
      <c r="S708" s="491"/>
      <c r="T708" s="491"/>
      <c r="U708" s="491"/>
      <c r="V708" s="491"/>
      <c r="W708" s="491"/>
      <c r="X708" s="491"/>
      <c r="Y708" s="491"/>
      <c r="Z708" s="491"/>
      <c r="AA708" s="491"/>
      <c r="AB708" s="491"/>
      <c r="AC708" s="491"/>
      <c r="AD708" s="493"/>
    </row>
    <row r="709" spans="18:30" x14ac:dyDescent="0.25">
      <c r="R709" s="491"/>
      <c r="S709" s="491"/>
      <c r="T709" s="491"/>
      <c r="U709" s="491"/>
      <c r="V709" s="491"/>
      <c r="W709" s="491"/>
      <c r="X709" s="491"/>
      <c r="Y709" s="491"/>
      <c r="Z709" s="491"/>
      <c r="AA709" s="491"/>
      <c r="AB709" s="491"/>
      <c r="AC709" s="491"/>
      <c r="AD709" s="493"/>
    </row>
    <row r="710" spans="18:30" x14ac:dyDescent="0.25">
      <c r="R710" s="491"/>
      <c r="S710" s="491"/>
      <c r="T710" s="491"/>
      <c r="U710" s="491"/>
      <c r="V710" s="491"/>
      <c r="W710" s="491"/>
      <c r="X710" s="491"/>
      <c r="Y710" s="491"/>
      <c r="Z710" s="491"/>
      <c r="AA710" s="491"/>
      <c r="AB710" s="491"/>
      <c r="AC710" s="491"/>
      <c r="AD710" s="493"/>
    </row>
    <row r="711" spans="18:30" x14ac:dyDescent="0.25">
      <c r="R711" s="491"/>
      <c r="S711" s="491"/>
      <c r="T711" s="491"/>
      <c r="U711" s="491"/>
      <c r="V711" s="491"/>
      <c r="W711" s="491"/>
      <c r="X711" s="491"/>
      <c r="Y711" s="491"/>
      <c r="Z711" s="491"/>
      <c r="AA711" s="491"/>
      <c r="AB711" s="491"/>
      <c r="AC711" s="491"/>
      <c r="AD711" s="493"/>
    </row>
    <row r="712" spans="18:30" x14ac:dyDescent="0.25">
      <c r="R712" s="491"/>
      <c r="S712" s="491"/>
      <c r="T712" s="491"/>
      <c r="U712" s="491"/>
      <c r="V712" s="491"/>
      <c r="W712" s="491"/>
      <c r="X712" s="491"/>
      <c r="Y712" s="491"/>
      <c r="Z712" s="491"/>
      <c r="AA712" s="491"/>
      <c r="AB712" s="491"/>
      <c r="AC712" s="491"/>
      <c r="AD712" s="493"/>
    </row>
    <row r="713" spans="18:30" x14ac:dyDescent="0.25">
      <c r="R713" s="491"/>
      <c r="S713" s="491"/>
      <c r="T713" s="491"/>
      <c r="U713" s="491"/>
      <c r="V713" s="491"/>
      <c r="W713" s="491"/>
      <c r="X713" s="491"/>
      <c r="Y713" s="491"/>
      <c r="Z713" s="491"/>
      <c r="AA713" s="491"/>
      <c r="AB713" s="491"/>
      <c r="AC713" s="491"/>
      <c r="AD713" s="493"/>
    </row>
    <row r="714" spans="18:30" x14ac:dyDescent="0.25">
      <c r="R714" s="491"/>
      <c r="S714" s="491"/>
      <c r="T714" s="491"/>
      <c r="U714" s="491"/>
      <c r="V714" s="491"/>
      <c r="W714" s="491"/>
      <c r="X714" s="491"/>
      <c r="Y714" s="491"/>
      <c r="Z714" s="491"/>
      <c r="AA714" s="491"/>
      <c r="AB714" s="491"/>
      <c r="AC714" s="491"/>
      <c r="AD714" s="493"/>
    </row>
    <row r="715" spans="18:30" x14ac:dyDescent="0.25">
      <c r="R715" s="491"/>
      <c r="S715" s="491"/>
      <c r="T715" s="491"/>
      <c r="U715" s="491"/>
      <c r="V715" s="491"/>
      <c r="W715" s="491"/>
      <c r="X715" s="491"/>
      <c r="Y715" s="491"/>
      <c r="Z715" s="491"/>
      <c r="AA715" s="491"/>
      <c r="AB715" s="491"/>
      <c r="AC715" s="491"/>
      <c r="AD715" s="493"/>
    </row>
    <row r="716" spans="18:30" x14ac:dyDescent="0.25">
      <c r="R716" s="491"/>
      <c r="S716" s="491"/>
      <c r="T716" s="491"/>
      <c r="U716" s="491"/>
      <c r="V716" s="491"/>
      <c r="W716" s="491"/>
      <c r="X716" s="491"/>
      <c r="Y716" s="491"/>
      <c r="Z716" s="491"/>
      <c r="AA716" s="491"/>
      <c r="AB716" s="491"/>
      <c r="AC716" s="491"/>
      <c r="AD716" s="493"/>
    </row>
    <row r="717" spans="18:30" x14ac:dyDescent="0.25">
      <c r="R717" s="491"/>
      <c r="S717" s="491"/>
      <c r="T717" s="491"/>
      <c r="U717" s="491"/>
      <c r="V717" s="491"/>
      <c r="W717" s="491"/>
      <c r="X717" s="491"/>
      <c r="Y717" s="491"/>
      <c r="Z717" s="491"/>
      <c r="AA717" s="491"/>
      <c r="AB717" s="491"/>
      <c r="AC717" s="491"/>
      <c r="AD717" s="493"/>
    </row>
    <row r="718" spans="18:30" x14ac:dyDescent="0.25">
      <c r="R718" s="491"/>
      <c r="S718" s="491"/>
      <c r="T718" s="491"/>
      <c r="U718" s="491"/>
      <c r="V718" s="491"/>
      <c r="W718" s="491"/>
      <c r="X718" s="491"/>
      <c r="Y718" s="491"/>
      <c r="Z718" s="491"/>
      <c r="AA718" s="491"/>
      <c r="AB718" s="491"/>
      <c r="AC718" s="491"/>
      <c r="AD718" s="493"/>
    </row>
    <row r="719" spans="18:30" x14ac:dyDescent="0.25">
      <c r="R719" s="491"/>
      <c r="S719" s="491"/>
      <c r="T719" s="491"/>
      <c r="U719" s="491"/>
      <c r="V719" s="491"/>
      <c r="W719" s="491"/>
      <c r="X719" s="491"/>
      <c r="Y719" s="491"/>
      <c r="Z719" s="491"/>
      <c r="AA719" s="491"/>
      <c r="AB719" s="491"/>
      <c r="AC719" s="491"/>
      <c r="AD719" s="493"/>
    </row>
    <row r="720" spans="18:30" x14ac:dyDescent="0.25">
      <c r="R720" s="491"/>
      <c r="S720" s="491"/>
      <c r="T720" s="491"/>
      <c r="U720" s="491"/>
      <c r="V720" s="491"/>
      <c r="W720" s="491"/>
      <c r="X720" s="491"/>
      <c r="Y720" s="491"/>
      <c r="Z720" s="491"/>
      <c r="AA720" s="491"/>
      <c r="AB720" s="491"/>
      <c r="AC720" s="491"/>
      <c r="AD720" s="493"/>
    </row>
    <row r="721" spans="18:30" x14ac:dyDescent="0.25">
      <c r="R721" s="491"/>
      <c r="S721" s="491"/>
      <c r="T721" s="491"/>
      <c r="U721" s="491"/>
      <c r="V721" s="491"/>
      <c r="W721" s="491"/>
      <c r="X721" s="491"/>
      <c r="Y721" s="491"/>
      <c r="Z721" s="491"/>
      <c r="AA721" s="491"/>
      <c r="AB721" s="491"/>
      <c r="AC721" s="491"/>
      <c r="AD721" s="493"/>
    </row>
    <row r="722" spans="18:30" x14ac:dyDescent="0.25">
      <c r="R722" s="491"/>
      <c r="S722" s="491"/>
      <c r="T722" s="491"/>
      <c r="U722" s="491"/>
      <c r="V722" s="491"/>
      <c r="W722" s="491"/>
      <c r="X722" s="491"/>
      <c r="Y722" s="491"/>
      <c r="Z722" s="491"/>
      <c r="AA722" s="491"/>
      <c r="AB722" s="491"/>
      <c r="AC722" s="491"/>
      <c r="AD722" s="493"/>
    </row>
    <row r="723" spans="18:30" x14ac:dyDescent="0.25">
      <c r="R723" s="491"/>
      <c r="S723" s="491"/>
      <c r="T723" s="491"/>
      <c r="U723" s="491"/>
      <c r="V723" s="491"/>
      <c r="W723" s="491"/>
      <c r="X723" s="491"/>
      <c r="Y723" s="491"/>
      <c r="Z723" s="491"/>
      <c r="AA723" s="491"/>
      <c r="AB723" s="491"/>
      <c r="AC723" s="491"/>
      <c r="AD723" s="493"/>
    </row>
    <row r="724" spans="18:30" x14ac:dyDescent="0.25">
      <c r="R724" s="491"/>
      <c r="S724" s="491"/>
      <c r="T724" s="491"/>
      <c r="U724" s="491"/>
      <c r="V724" s="491"/>
      <c r="W724" s="491"/>
      <c r="X724" s="491"/>
      <c r="Y724" s="491"/>
      <c r="Z724" s="491"/>
      <c r="AA724" s="491"/>
      <c r="AB724" s="491"/>
      <c r="AC724" s="491"/>
      <c r="AD724" s="493"/>
    </row>
    <row r="725" spans="18:30" x14ac:dyDescent="0.25">
      <c r="R725" s="491"/>
      <c r="S725" s="491"/>
      <c r="T725" s="491"/>
      <c r="U725" s="491"/>
      <c r="V725" s="491"/>
      <c r="W725" s="491"/>
      <c r="X725" s="491"/>
      <c r="Y725" s="491"/>
      <c r="Z725" s="491"/>
      <c r="AA725" s="491"/>
      <c r="AB725" s="491"/>
      <c r="AC725" s="491"/>
      <c r="AD725" s="493"/>
    </row>
    <row r="726" spans="18:30" x14ac:dyDescent="0.25">
      <c r="R726" s="491"/>
      <c r="S726" s="491"/>
      <c r="T726" s="491"/>
      <c r="U726" s="491"/>
      <c r="V726" s="491"/>
      <c r="W726" s="491"/>
      <c r="X726" s="491"/>
      <c r="Y726" s="491"/>
      <c r="Z726" s="491"/>
      <c r="AA726" s="491"/>
      <c r="AB726" s="491"/>
      <c r="AC726" s="491"/>
      <c r="AD726" s="493"/>
    </row>
    <row r="727" spans="18:30" x14ac:dyDescent="0.25">
      <c r="R727" s="491"/>
      <c r="S727" s="491"/>
      <c r="T727" s="491"/>
      <c r="U727" s="491"/>
      <c r="V727" s="491"/>
      <c r="W727" s="491"/>
      <c r="X727" s="491"/>
      <c r="Y727" s="491"/>
      <c r="Z727" s="491"/>
      <c r="AA727" s="491"/>
      <c r="AB727" s="491"/>
      <c r="AC727" s="491"/>
      <c r="AD727" s="493"/>
    </row>
    <row r="728" spans="18:30" x14ac:dyDescent="0.25">
      <c r="R728" s="491"/>
      <c r="S728" s="491"/>
      <c r="T728" s="491"/>
      <c r="U728" s="491"/>
      <c r="V728" s="491"/>
      <c r="W728" s="491"/>
      <c r="X728" s="491"/>
      <c r="Y728" s="491"/>
      <c r="Z728" s="491"/>
      <c r="AA728" s="491"/>
      <c r="AB728" s="491"/>
      <c r="AC728" s="491"/>
      <c r="AD728" s="493"/>
    </row>
    <row r="729" spans="18:30" x14ac:dyDescent="0.25">
      <c r="R729" s="491"/>
      <c r="S729" s="491"/>
      <c r="T729" s="491"/>
      <c r="U729" s="491"/>
      <c r="V729" s="491"/>
      <c r="W729" s="491"/>
      <c r="X729" s="491"/>
      <c r="Y729" s="491"/>
      <c r="Z729" s="491"/>
      <c r="AA729" s="491"/>
      <c r="AB729" s="491"/>
      <c r="AC729" s="491"/>
      <c r="AD729" s="493"/>
    </row>
    <row r="730" spans="18:30" x14ac:dyDescent="0.25">
      <c r="R730" s="491"/>
      <c r="S730" s="491"/>
      <c r="T730" s="491"/>
      <c r="U730" s="491"/>
      <c r="V730" s="491"/>
      <c r="W730" s="491"/>
      <c r="X730" s="491"/>
      <c r="Y730" s="491"/>
      <c r="Z730" s="491"/>
      <c r="AA730" s="491"/>
      <c r="AB730" s="491"/>
      <c r="AC730" s="491"/>
      <c r="AD730" s="493"/>
    </row>
    <row r="731" spans="18:30" x14ac:dyDescent="0.25">
      <c r="R731" s="491"/>
      <c r="S731" s="491"/>
      <c r="T731" s="491"/>
      <c r="U731" s="491"/>
      <c r="V731" s="491"/>
      <c r="W731" s="491"/>
      <c r="X731" s="491"/>
      <c r="Y731" s="491"/>
      <c r="Z731" s="491"/>
      <c r="AA731" s="491"/>
      <c r="AB731" s="491"/>
      <c r="AC731" s="491"/>
      <c r="AD731" s="493"/>
    </row>
    <row r="732" spans="18:30" x14ac:dyDescent="0.25">
      <c r="R732" s="491"/>
      <c r="S732" s="491"/>
      <c r="T732" s="491"/>
      <c r="U732" s="491"/>
      <c r="V732" s="491"/>
      <c r="W732" s="491"/>
      <c r="X732" s="491"/>
      <c r="Y732" s="491"/>
      <c r="Z732" s="491"/>
      <c r="AA732" s="491"/>
      <c r="AB732" s="491"/>
      <c r="AC732" s="491"/>
      <c r="AD732" s="493"/>
    </row>
    <row r="733" spans="18:30" x14ac:dyDescent="0.25">
      <c r="R733" s="491"/>
      <c r="S733" s="491"/>
      <c r="T733" s="491"/>
      <c r="U733" s="491"/>
      <c r="V733" s="491"/>
      <c r="W733" s="491"/>
      <c r="X733" s="491"/>
      <c r="Y733" s="491"/>
      <c r="Z733" s="491"/>
      <c r="AA733" s="491"/>
      <c r="AB733" s="491"/>
      <c r="AC733" s="491"/>
      <c r="AD733" s="493"/>
    </row>
    <row r="734" spans="18:30" x14ac:dyDescent="0.25">
      <c r="R734" s="491"/>
      <c r="S734" s="491"/>
      <c r="T734" s="491"/>
      <c r="U734" s="491"/>
      <c r="V734" s="491"/>
      <c r="W734" s="491"/>
      <c r="X734" s="491"/>
      <c r="Y734" s="491"/>
      <c r="Z734" s="491"/>
      <c r="AA734" s="491"/>
      <c r="AB734" s="491"/>
      <c r="AC734" s="491"/>
      <c r="AD734" s="493"/>
    </row>
    <row r="735" spans="18:30" x14ac:dyDescent="0.25">
      <c r="R735" s="491"/>
      <c r="S735" s="491"/>
      <c r="T735" s="491"/>
      <c r="U735" s="491"/>
      <c r="V735" s="491"/>
      <c r="W735" s="491"/>
      <c r="X735" s="491"/>
      <c r="Y735" s="491"/>
      <c r="Z735" s="491"/>
      <c r="AA735" s="491"/>
      <c r="AB735" s="491"/>
      <c r="AC735" s="491"/>
      <c r="AD735" s="493"/>
    </row>
    <row r="736" spans="18:30" x14ac:dyDescent="0.25">
      <c r="R736" s="491"/>
      <c r="S736" s="491"/>
      <c r="T736" s="491"/>
      <c r="U736" s="491"/>
      <c r="V736" s="491"/>
      <c r="W736" s="491"/>
      <c r="X736" s="491"/>
      <c r="Y736" s="491"/>
      <c r="Z736" s="491"/>
      <c r="AA736" s="491"/>
      <c r="AB736" s="491"/>
      <c r="AC736" s="491"/>
      <c r="AD736" s="493"/>
    </row>
    <row r="737" spans="18:30" x14ac:dyDescent="0.25">
      <c r="R737" s="491"/>
      <c r="S737" s="491"/>
      <c r="T737" s="491"/>
      <c r="U737" s="491"/>
      <c r="V737" s="491"/>
      <c r="W737" s="491"/>
      <c r="X737" s="491"/>
      <c r="Y737" s="491"/>
      <c r="Z737" s="491"/>
      <c r="AA737" s="491"/>
      <c r="AB737" s="491"/>
      <c r="AC737" s="491"/>
      <c r="AD737" s="493"/>
    </row>
    <row r="738" spans="18:30" x14ac:dyDescent="0.25">
      <c r="R738" s="491"/>
      <c r="S738" s="491"/>
      <c r="T738" s="491"/>
      <c r="U738" s="491"/>
      <c r="V738" s="491"/>
      <c r="W738" s="491"/>
      <c r="X738" s="491"/>
      <c r="Y738" s="491"/>
      <c r="Z738" s="491"/>
      <c r="AA738" s="491"/>
      <c r="AB738" s="491"/>
      <c r="AC738" s="491"/>
      <c r="AD738" s="493"/>
    </row>
    <row r="739" spans="18:30" x14ac:dyDescent="0.25">
      <c r="R739" s="491"/>
      <c r="S739" s="491"/>
      <c r="T739" s="491"/>
      <c r="U739" s="491"/>
      <c r="V739" s="491"/>
      <c r="W739" s="491"/>
      <c r="X739" s="491"/>
      <c r="Y739" s="491"/>
      <c r="Z739" s="491"/>
      <c r="AA739" s="491"/>
      <c r="AB739" s="491"/>
      <c r="AC739" s="491"/>
      <c r="AD739" s="493"/>
    </row>
    <row r="740" spans="18:30" x14ac:dyDescent="0.25">
      <c r="R740" s="491"/>
      <c r="S740" s="491"/>
      <c r="T740" s="491"/>
      <c r="U740" s="491"/>
      <c r="V740" s="491"/>
      <c r="W740" s="491"/>
      <c r="X740" s="491"/>
      <c r="Y740" s="491"/>
      <c r="Z740" s="491"/>
      <c r="AA740" s="491"/>
      <c r="AB740" s="491"/>
      <c r="AC740" s="491"/>
      <c r="AD740" s="493"/>
    </row>
    <row r="741" spans="18:30" x14ac:dyDescent="0.25">
      <c r="R741" s="491"/>
      <c r="S741" s="491"/>
      <c r="T741" s="491"/>
      <c r="U741" s="491"/>
      <c r="V741" s="491"/>
      <c r="W741" s="491"/>
      <c r="X741" s="491"/>
      <c r="Y741" s="491"/>
      <c r="Z741" s="491"/>
      <c r="AA741" s="491"/>
      <c r="AB741" s="491"/>
      <c r="AC741" s="491"/>
      <c r="AD741" s="493"/>
    </row>
    <row r="742" spans="18:30" x14ac:dyDescent="0.25">
      <c r="R742" s="491"/>
      <c r="S742" s="491"/>
      <c r="T742" s="491"/>
      <c r="U742" s="491"/>
      <c r="V742" s="491"/>
      <c r="W742" s="491"/>
      <c r="X742" s="491"/>
      <c r="Y742" s="491"/>
      <c r="Z742" s="491"/>
      <c r="AA742" s="491"/>
      <c r="AB742" s="491"/>
      <c r="AC742" s="491"/>
      <c r="AD742" s="493"/>
    </row>
    <row r="743" spans="18:30" x14ac:dyDescent="0.25">
      <c r="R743" s="491"/>
      <c r="S743" s="491"/>
      <c r="T743" s="491"/>
      <c r="U743" s="491"/>
      <c r="V743" s="491"/>
      <c r="W743" s="491"/>
      <c r="X743" s="491"/>
      <c r="Y743" s="491"/>
      <c r="Z743" s="491"/>
      <c r="AA743" s="491"/>
      <c r="AB743" s="491"/>
      <c r="AC743" s="491"/>
      <c r="AD743" s="493"/>
    </row>
    <row r="744" spans="18:30" x14ac:dyDescent="0.25">
      <c r="R744" s="491"/>
      <c r="S744" s="491"/>
      <c r="T744" s="491"/>
      <c r="U744" s="491"/>
      <c r="V744" s="491"/>
      <c r="W744" s="491"/>
      <c r="X744" s="491"/>
      <c r="Y744" s="491"/>
      <c r="Z744" s="491"/>
      <c r="AA744" s="491"/>
      <c r="AB744" s="491"/>
      <c r="AC744" s="491"/>
      <c r="AD744" s="493"/>
    </row>
    <row r="745" spans="18:30" x14ac:dyDescent="0.25">
      <c r="R745" s="491"/>
      <c r="S745" s="491"/>
      <c r="T745" s="491"/>
      <c r="U745" s="491"/>
      <c r="V745" s="491"/>
      <c r="W745" s="491"/>
      <c r="X745" s="491"/>
      <c r="Y745" s="491"/>
      <c r="Z745" s="491"/>
      <c r="AA745" s="491"/>
      <c r="AB745" s="491"/>
      <c r="AC745" s="491"/>
      <c r="AD745" s="493"/>
    </row>
    <row r="746" spans="18:30" x14ac:dyDescent="0.25">
      <c r="R746" s="491"/>
      <c r="S746" s="491"/>
      <c r="T746" s="491"/>
      <c r="U746" s="491"/>
      <c r="V746" s="491"/>
      <c r="W746" s="491"/>
      <c r="X746" s="491"/>
      <c r="Y746" s="491"/>
      <c r="Z746" s="491"/>
      <c r="AA746" s="491"/>
      <c r="AB746" s="491"/>
      <c r="AC746" s="491"/>
      <c r="AD746" s="493"/>
    </row>
    <row r="747" spans="18:30" x14ac:dyDescent="0.25">
      <c r="R747" s="491"/>
      <c r="S747" s="491"/>
      <c r="T747" s="491"/>
      <c r="U747" s="491"/>
      <c r="V747" s="491"/>
      <c r="W747" s="491"/>
      <c r="X747" s="491"/>
      <c r="Y747" s="491"/>
      <c r="Z747" s="491"/>
      <c r="AA747" s="491"/>
      <c r="AB747" s="491"/>
      <c r="AC747" s="491"/>
      <c r="AD747" s="493"/>
    </row>
    <row r="748" spans="18:30" x14ac:dyDescent="0.25">
      <c r="R748" s="491"/>
      <c r="S748" s="491"/>
      <c r="T748" s="491"/>
      <c r="U748" s="491"/>
      <c r="V748" s="491"/>
      <c r="W748" s="491"/>
      <c r="X748" s="491"/>
      <c r="Y748" s="491"/>
      <c r="Z748" s="491"/>
      <c r="AA748" s="491"/>
      <c r="AB748" s="491"/>
      <c r="AC748" s="491"/>
      <c r="AD748" s="493"/>
    </row>
    <row r="749" spans="18:30" x14ac:dyDescent="0.25">
      <c r="R749" s="491"/>
      <c r="S749" s="491"/>
      <c r="T749" s="491"/>
      <c r="U749" s="491"/>
      <c r="V749" s="491"/>
      <c r="W749" s="491"/>
      <c r="X749" s="491"/>
      <c r="Y749" s="491"/>
      <c r="Z749" s="491"/>
      <c r="AA749" s="491"/>
      <c r="AB749" s="491"/>
      <c r="AC749" s="491"/>
      <c r="AD749" s="493"/>
    </row>
    <row r="750" spans="18:30" x14ac:dyDescent="0.25">
      <c r="R750" s="491"/>
      <c r="S750" s="491"/>
      <c r="T750" s="491"/>
      <c r="U750" s="491"/>
      <c r="V750" s="491"/>
      <c r="W750" s="491"/>
      <c r="X750" s="491"/>
      <c r="Y750" s="491"/>
      <c r="Z750" s="491"/>
      <c r="AA750" s="491"/>
      <c r="AB750" s="491"/>
      <c r="AC750" s="491"/>
      <c r="AD750" s="493"/>
    </row>
    <row r="751" spans="18:30" x14ac:dyDescent="0.25">
      <c r="R751" s="491"/>
      <c r="S751" s="491"/>
      <c r="T751" s="491"/>
      <c r="U751" s="491"/>
      <c r="V751" s="491"/>
      <c r="W751" s="491"/>
      <c r="X751" s="491"/>
      <c r="Y751" s="491"/>
      <c r="Z751" s="491"/>
      <c r="AA751" s="491"/>
      <c r="AB751" s="491"/>
      <c r="AC751" s="491"/>
      <c r="AD751" s="493"/>
    </row>
    <row r="752" spans="18:30" x14ac:dyDescent="0.25">
      <c r="R752" s="491"/>
      <c r="S752" s="491"/>
      <c r="T752" s="491"/>
      <c r="U752" s="491"/>
      <c r="V752" s="491"/>
      <c r="W752" s="491"/>
      <c r="X752" s="491"/>
      <c r="Y752" s="491"/>
      <c r="Z752" s="491"/>
      <c r="AA752" s="491"/>
      <c r="AB752" s="491"/>
      <c r="AC752" s="491"/>
      <c r="AD752" s="493"/>
    </row>
    <row r="753" spans="18:30" x14ac:dyDescent="0.25">
      <c r="R753" s="491"/>
      <c r="S753" s="491"/>
      <c r="T753" s="491"/>
      <c r="U753" s="491"/>
      <c r="V753" s="491"/>
      <c r="W753" s="491"/>
      <c r="X753" s="491"/>
      <c r="Y753" s="491"/>
      <c r="Z753" s="491"/>
      <c r="AA753" s="491"/>
      <c r="AB753" s="491"/>
      <c r="AC753" s="491"/>
      <c r="AD753" s="493"/>
    </row>
    <row r="754" spans="18:30" x14ac:dyDescent="0.25">
      <c r="R754" s="491"/>
      <c r="S754" s="491"/>
      <c r="T754" s="491"/>
      <c r="U754" s="491"/>
      <c r="V754" s="491"/>
      <c r="W754" s="491"/>
      <c r="X754" s="491"/>
      <c r="Y754" s="491"/>
      <c r="Z754" s="491"/>
      <c r="AA754" s="491"/>
      <c r="AB754" s="491"/>
      <c r="AC754" s="491"/>
      <c r="AD754" s="493"/>
    </row>
    <row r="755" spans="18:30" x14ac:dyDescent="0.25">
      <c r="R755" s="491"/>
      <c r="S755" s="491"/>
      <c r="T755" s="491"/>
      <c r="U755" s="491"/>
      <c r="V755" s="491"/>
      <c r="W755" s="491"/>
      <c r="X755" s="491"/>
      <c r="Y755" s="491"/>
      <c r="Z755" s="491"/>
      <c r="AA755" s="491"/>
      <c r="AB755" s="491"/>
      <c r="AC755" s="491"/>
      <c r="AD755" s="493"/>
    </row>
    <row r="756" spans="18:30" x14ac:dyDescent="0.25">
      <c r="R756" s="491"/>
      <c r="S756" s="491"/>
      <c r="T756" s="491"/>
      <c r="U756" s="491"/>
      <c r="V756" s="491"/>
      <c r="W756" s="491"/>
      <c r="X756" s="491"/>
      <c r="Y756" s="491"/>
      <c r="Z756" s="491"/>
      <c r="AA756" s="491"/>
      <c r="AB756" s="491"/>
      <c r="AC756" s="491"/>
      <c r="AD756" s="493"/>
    </row>
    <row r="757" spans="18:30" x14ac:dyDescent="0.25">
      <c r="R757" s="491"/>
      <c r="S757" s="491"/>
      <c r="T757" s="491"/>
      <c r="U757" s="491"/>
      <c r="V757" s="491"/>
      <c r="W757" s="491"/>
      <c r="X757" s="491"/>
      <c r="Y757" s="491"/>
      <c r="Z757" s="491"/>
      <c r="AA757" s="491"/>
      <c r="AB757" s="491"/>
      <c r="AC757" s="491"/>
      <c r="AD757" s="493"/>
    </row>
    <row r="758" spans="18:30" x14ac:dyDescent="0.25">
      <c r="R758" s="491"/>
      <c r="S758" s="491"/>
      <c r="T758" s="491"/>
      <c r="U758" s="491"/>
      <c r="V758" s="491"/>
      <c r="W758" s="491"/>
      <c r="X758" s="491"/>
      <c r="Y758" s="491"/>
      <c r="Z758" s="491"/>
      <c r="AA758" s="491"/>
      <c r="AB758" s="491"/>
      <c r="AC758" s="491"/>
      <c r="AD758" s="493"/>
    </row>
    <row r="759" spans="18:30" x14ac:dyDescent="0.25">
      <c r="R759" s="491"/>
      <c r="S759" s="491"/>
      <c r="T759" s="491"/>
      <c r="U759" s="491"/>
      <c r="V759" s="491"/>
      <c r="W759" s="491"/>
      <c r="X759" s="491"/>
      <c r="Y759" s="491"/>
      <c r="Z759" s="491"/>
      <c r="AA759" s="491"/>
      <c r="AB759" s="491"/>
      <c r="AC759" s="491"/>
      <c r="AD759" s="493"/>
    </row>
    <row r="760" spans="18:30" x14ac:dyDescent="0.25">
      <c r="R760" s="491"/>
      <c r="S760" s="491"/>
      <c r="T760" s="491"/>
      <c r="U760" s="491"/>
      <c r="V760" s="491"/>
      <c r="W760" s="491"/>
      <c r="X760" s="491"/>
      <c r="Y760" s="491"/>
      <c r="Z760" s="491"/>
      <c r="AA760" s="491"/>
      <c r="AB760" s="491"/>
      <c r="AC760" s="491"/>
      <c r="AD760" s="493"/>
    </row>
    <row r="761" spans="18:30" x14ac:dyDescent="0.25">
      <c r="R761" s="491"/>
      <c r="S761" s="491"/>
      <c r="T761" s="491"/>
      <c r="U761" s="491"/>
      <c r="V761" s="491"/>
      <c r="W761" s="491"/>
      <c r="X761" s="491"/>
      <c r="Y761" s="491"/>
      <c r="Z761" s="491"/>
      <c r="AA761" s="491"/>
      <c r="AB761" s="491"/>
      <c r="AC761" s="491"/>
      <c r="AD761" s="493"/>
    </row>
    <row r="762" spans="18:30" x14ac:dyDescent="0.25">
      <c r="R762" s="491"/>
      <c r="S762" s="491"/>
      <c r="T762" s="491"/>
      <c r="U762" s="491"/>
      <c r="V762" s="491"/>
      <c r="W762" s="491"/>
      <c r="X762" s="491"/>
      <c r="Y762" s="491"/>
      <c r="Z762" s="491"/>
      <c r="AA762" s="491"/>
      <c r="AB762" s="491"/>
      <c r="AC762" s="491"/>
      <c r="AD762" s="493"/>
    </row>
    <row r="763" spans="18:30" x14ac:dyDescent="0.25">
      <c r="R763" s="491"/>
      <c r="S763" s="491"/>
      <c r="T763" s="491"/>
      <c r="U763" s="491"/>
      <c r="V763" s="491"/>
      <c r="W763" s="491"/>
      <c r="X763" s="491"/>
      <c r="Y763" s="491"/>
      <c r="Z763" s="491"/>
      <c r="AA763" s="491"/>
      <c r="AB763" s="491"/>
      <c r="AC763" s="491"/>
      <c r="AD763" s="493"/>
    </row>
    <row r="764" spans="18:30" x14ac:dyDescent="0.25">
      <c r="R764" s="491"/>
      <c r="S764" s="491"/>
      <c r="T764" s="491"/>
      <c r="U764" s="491"/>
      <c r="V764" s="491"/>
      <c r="W764" s="491"/>
      <c r="X764" s="491"/>
      <c r="Y764" s="491"/>
      <c r="Z764" s="491"/>
      <c r="AA764" s="491"/>
      <c r="AB764" s="491"/>
      <c r="AC764" s="491"/>
      <c r="AD764" s="493"/>
    </row>
    <row r="765" spans="18:30" x14ac:dyDescent="0.25">
      <c r="R765" s="491"/>
      <c r="S765" s="491"/>
      <c r="T765" s="491"/>
      <c r="U765" s="491"/>
      <c r="V765" s="491"/>
      <c r="W765" s="491"/>
      <c r="X765" s="491"/>
      <c r="Y765" s="491"/>
      <c r="Z765" s="491"/>
      <c r="AA765" s="491"/>
      <c r="AB765" s="491"/>
      <c r="AC765" s="491"/>
      <c r="AD765" s="493"/>
    </row>
    <row r="766" spans="18:30" x14ac:dyDescent="0.25">
      <c r="R766" s="491"/>
      <c r="S766" s="491"/>
      <c r="T766" s="491"/>
      <c r="U766" s="491"/>
      <c r="V766" s="491"/>
      <c r="W766" s="491"/>
      <c r="X766" s="491"/>
      <c r="Y766" s="491"/>
      <c r="Z766" s="491"/>
      <c r="AA766" s="491"/>
      <c r="AB766" s="491"/>
      <c r="AC766" s="491"/>
      <c r="AD766" s="493"/>
    </row>
    <row r="767" spans="18:30" x14ac:dyDescent="0.25">
      <c r="R767" s="491"/>
      <c r="S767" s="491"/>
      <c r="T767" s="491"/>
      <c r="U767" s="491"/>
      <c r="V767" s="491"/>
      <c r="W767" s="491"/>
      <c r="X767" s="491"/>
      <c r="Y767" s="491"/>
      <c r="Z767" s="491"/>
      <c r="AA767" s="491"/>
      <c r="AB767" s="491"/>
      <c r="AC767" s="491"/>
      <c r="AD767" s="493"/>
    </row>
    <row r="768" spans="18:30" x14ac:dyDescent="0.25">
      <c r="R768" s="491"/>
      <c r="S768" s="491"/>
      <c r="T768" s="491"/>
      <c r="U768" s="491"/>
      <c r="V768" s="491"/>
      <c r="W768" s="491"/>
      <c r="X768" s="491"/>
      <c r="Y768" s="491"/>
      <c r="Z768" s="491"/>
      <c r="AA768" s="491"/>
      <c r="AB768" s="491"/>
      <c r="AC768" s="491"/>
      <c r="AD768" s="493"/>
    </row>
    <row r="769" spans="18:30" x14ac:dyDescent="0.25">
      <c r="R769" s="491"/>
      <c r="S769" s="491"/>
      <c r="T769" s="491"/>
      <c r="U769" s="491"/>
      <c r="V769" s="491"/>
      <c r="W769" s="491"/>
      <c r="X769" s="491"/>
      <c r="Y769" s="491"/>
      <c r="Z769" s="491"/>
      <c r="AA769" s="491"/>
      <c r="AB769" s="491"/>
      <c r="AC769" s="491"/>
      <c r="AD769" s="493"/>
    </row>
    <row r="770" spans="18:30" x14ac:dyDescent="0.25">
      <c r="R770" s="491"/>
      <c r="S770" s="491"/>
      <c r="T770" s="491"/>
      <c r="U770" s="491"/>
      <c r="V770" s="491"/>
      <c r="W770" s="491"/>
      <c r="X770" s="491"/>
      <c r="Y770" s="491"/>
      <c r="Z770" s="491"/>
      <c r="AA770" s="491"/>
      <c r="AB770" s="491"/>
      <c r="AC770" s="491"/>
      <c r="AD770" s="493"/>
    </row>
    <row r="771" spans="18:30" x14ac:dyDescent="0.25">
      <c r="R771" s="491"/>
      <c r="S771" s="491"/>
      <c r="T771" s="491"/>
      <c r="U771" s="491"/>
      <c r="V771" s="491"/>
      <c r="W771" s="491"/>
      <c r="X771" s="491"/>
      <c r="Y771" s="491"/>
      <c r="Z771" s="491"/>
      <c r="AA771" s="491"/>
      <c r="AB771" s="491"/>
      <c r="AC771" s="491"/>
      <c r="AD771" s="493"/>
    </row>
    <row r="772" spans="18:30" x14ac:dyDescent="0.25">
      <c r="R772" s="491"/>
      <c r="S772" s="491"/>
      <c r="T772" s="491"/>
      <c r="U772" s="491"/>
      <c r="V772" s="491"/>
      <c r="W772" s="491"/>
      <c r="X772" s="491"/>
      <c r="Y772" s="491"/>
      <c r="Z772" s="491"/>
      <c r="AA772" s="491"/>
      <c r="AB772" s="491"/>
      <c r="AC772" s="491"/>
      <c r="AD772" s="493"/>
    </row>
    <row r="773" spans="18:30" x14ac:dyDescent="0.25">
      <c r="R773" s="491"/>
      <c r="S773" s="491"/>
      <c r="T773" s="491"/>
      <c r="U773" s="491"/>
      <c r="V773" s="491"/>
      <c r="W773" s="491"/>
      <c r="X773" s="491"/>
      <c r="Y773" s="491"/>
      <c r="Z773" s="491"/>
      <c r="AA773" s="491"/>
      <c r="AB773" s="491"/>
      <c r="AC773" s="491"/>
      <c r="AD773" s="493"/>
    </row>
    <row r="774" spans="18:30" x14ac:dyDescent="0.25">
      <c r="R774" s="491"/>
      <c r="S774" s="491"/>
      <c r="T774" s="491"/>
      <c r="U774" s="491"/>
      <c r="V774" s="491"/>
      <c r="W774" s="491"/>
      <c r="X774" s="491"/>
      <c r="Y774" s="491"/>
      <c r="Z774" s="491"/>
      <c r="AA774" s="491"/>
      <c r="AB774" s="491"/>
      <c r="AC774" s="491"/>
      <c r="AD774" s="493"/>
    </row>
    <row r="775" spans="18:30" x14ac:dyDescent="0.25">
      <c r="R775" s="491"/>
      <c r="S775" s="491"/>
      <c r="T775" s="491"/>
      <c r="U775" s="491"/>
      <c r="V775" s="491"/>
      <c r="W775" s="491"/>
      <c r="X775" s="491"/>
      <c r="Y775" s="491"/>
      <c r="Z775" s="491"/>
      <c r="AA775" s="491"/>
      <c r="AB775" s="491"/>
      <c r="AC775" s="491"/>
      <c r="AD775" s="493"/>
    </row>
    <row r="776" spans="18:30" x14ac:dyDescent="0.25">
      <c r="R776" s="491"/>
      <c r="S776" s="491"/>
      <c r="T776" s="491"/>
      <c r="U776" s="491"/>
      <c r="V776" s="491"/>
      <c r="W776" s="491"/>
      <c r="X776" s="491"/>
      <c r="Y776" s="491"/>
      <c r="Z776" s="491"/>
      <c r="AA776" s="491"/>
      <c r="AB776" s="491"/>
      <c r="AC776" s="491"/>
      <c r="AD776" s="493"/>
    </row>
    <row r="777" spans="18:30" x14ac:dyDescent="0.25">
      <c r="R777" s="491"/>
      <c r="S777" s="491"/>
      <c r="T777" s="491"/>
      <c r="U777" s="491"/>
      <c r="V777" s="491"/>
      <c r="W777" s="491"/>
      <c r="X777" s="491"/>
      <c r="Y777" s="491"/>
      <c r="Z777" s="491"/>
      <c r="AA777" s="491"/>
      <c r="AB777" s="491"/>
      <c r="AC777" s="491"/>
      <c r="AD777" s="493"/>
    </row>
    <row r="778" spans="18:30" x14ac:dyDescent="0.25">
      <c r="R778" s="491"/>
      <c r="S778" s="491"/>
      <c r="T778" s="491"/>
      <c r="U778" s="491"/>
      <c r="V778" s="491"/>
      <c r="W778" s="491"/>
      <c r="X778" s="491"/>
      <c r="Y778" s="491"/>
      <c r="Z778" s="491"/>
      <c r="AA778" s="491"/>
      <c r="AB778" s="491"/>
      <c r="AC778" s="491"/>
      <c r="AD778" s="493"/>
    </row>
    <row r="779" spans="18:30" x14ac:dyDescent="0.25">
      <c r="R779" s="491"/>
      <c r="S779" s="491"/>
      <c r="T779" s="491"/>
      <c r="U779" s="491"/>
      <c r="V779" s="491"/>
      <c r="W779" s="491"/>
      <c r="X779" s="491"/>
      <c r="Y779" s="491"/>
      <c r="Z779" s="491"/>
      <c r="AA779" s="491"/>
      <c r="AB779" s="491"/>
      <c r="AC779" s="491"/>
      <c r="AD779" s="493"/>
    </row>
    <row r="780" spans="18:30" x14ac:dyDescent="0.25">
      <c r="R780" s="491"/>
      <c r="S780" s="491"/>
      <c r="T780" s="491"/>
      <c r="U780" s="491"/>
      <c r="V780" s="491"/>
      <c r="W780" s="491"/>
      <c r="X780" s="491"/>
      <c r="Y780" s="491"/>
      <c r="Z780" s="491"/>
      <c r="AA780" s="491"/>
      <c r="AB780" s="491"/>
      <c r="AC780" s="491"/>
      <c r="AD780" s="493"/>
    </row>
    <row r="781" spans="18:30" x14ac:dyDescent="0.25">
      <c r="R781" s="491"/>
      <c r="S781" s="491"/>
      <c r="T781" s="491"/>
      <c r="U781" s="491"/>
      <c r="V781" s="491"/>
      <c r="W781" s="491"/>
      <c r="X781" s="491"/>
      <c r="Y781" s="491"/>
      <c r="Z781" s="491"/>
      <c r="AA781" s="491"/>
      <c r="AB781" s="491"/>
      <c r="AC781" s="491"/>
      <c r="AD781" s="493"/>
    </row>
    <row r="782" spans="18:30" x14ac:dyDescent="0.25">
      <c r="R782" s="491"/>
      <c r="S782" s="491"/>
      <c r="T782" s="491"/>
      <c r="U782" s="491"/>
      <c r="V782" s="491"/>
      <c r="W782" s="491"/>
      <c r="X782" s="491"/>
      <c r="Y782" s="491"/>
      <c r="Z782" s="491"/>
      <c r="AA782" s="491"/>
      <c r="AB782" s="491"/>
      <c r="AC782" s="491"/>
      <c r="AD782" s="493"/>
    </row>
    <row r="783" spans="18:30" x14ac:dyDescent="0.25">
      <c r="R783" s="491"/>
      <c r="S783" s="491"/>
      <c r="T783" s="491"/>
      <c r="U783" s="491"/>
      <c r="V783" s="491"/>
      <c r="W783" s="491"/>
      <c r="X783" s="491"/>
      <c r="Y783" s="491"/>
      <c r="Z783" s="491"/>
      <c r="AA783" s="491"/>
      <c r="AB783" s="491"/>
      <c r="AC783" s="491"/>
      <c r="AD783" s="493"/>
    </row>
    <row r="784" spans="18:30" x14ac:dyDescent="0.25">
      <c r="R784" s="491"/>
      <c r="S784" s="491"/>
      <c r="T784" s="491"/>
      <c r="U784" s="491"/>
      <c r="V784" s="491"/>
      <c r="W784" s="491"/>
      <c r="X784" s="491"/>
      <c r="Y784" s="491"/>
      <c r="Z784" s="491"/>
      <c r="AA784" s="491"/>
      <c r="AB784" s="491"/>
      <c r="AC784" s="491"/>
      <c r="AD784" s="493"/>
    </row>
    <row r="785" spans="18:30" x14ac:dyDescent="0.25">
      <c r="R785" s="491"/>
      <c r="S785" s="491"/>
      <c r="T785" s="491"/>
      <c r="U785" s="491"/>
      <c r="V785" s="491"/>
      <c r="W785" s="491"/>
      <c r="X785" s="491"/>
      <c r="Y785" s="491"/>
      <c r="Z785" s="491"/>
      <c r="AA785" s="491"/>
      <c r="AB785" s="491"/>
      <c r="AC785" s="491"/>
      <c r="AD785" s="493"/>
    </row>
    <row r="786" spans="18:30" x14ac:dyDescent="0.25">
      <c r="R786" s="491"/>
      <c r="S786" s="491"/>
      <c r="T786" s="491"/>
      <c r="U786" s="491"/>
      <c r="V786" s="491"/>
      <c r="W786" s="491"/>
      <c r="X786" s="491"/>
      <c r="Y786" s="491"/>
      <c r="Z786" s="491"/>
      <c r="AA786" s="491"/>
      <c r="AB786" s="491"/>
      <c r="AC786" s="491"/>
      <c r="AD786" s="493"/>
    </row>
    <row r="787" spans="18:30" x14ac:dyDescent="0.25">
      <c r="R787" s="491"/>
      <c r="S787" s="491"/>
      <c r="T787" s="491"/>
      <c r="U787" s="491"/>
      <c r="V787" s="491"/>
      <c r="W787" s="491"/>
      <c r="X787" s="491"/>
      <c r="Y787" s="491"/>
      <c r="Z787" s="491"/>
      <c r="AA787" s="491"/>
      <c r="AB787" s="491"/>
      <c r="AC787" s="491"/>
      <c r="AD787" s="493"/>
    </row>
    <row r="788" spans="18:30" x14ac:dyDescent="0.25">
      <c r="R788" s="491"/>
      <c r="S788" s="491"/>
      <c r="T788" s="491"/>
      <c r="U788" s="491"/>
      <c r="V788" s="491"/>
      <c r="W788" s="491"/>
      <c r="X788" s="491"/>
      <c r="Y788" s="491"/>
      <c r="Z788" s="491"/>
      <c r="AA788" s="491"/>
      <c r="AB788" s="491"/>
      <c r="AC788" s="491"/>
      <c r="AD788" s="493"/>
    </row>
    <row r="789" spans="18:30" x14ac:dyDescent="0.25">
      <c r="R789" s="491"/>
      <c r="S789" s="491"/>
      <c r="T789" s="491"/>
      <c r="U789" s="491"/>
      <c r="V789" s="491"/>
      <c r="W789" s="491"/>
      <c r="X789" s="491"/>
      <c r="Y789" s="491"/>
      <c r="Z789" s="491"/>
      <c r="AA789" s="491"/>
      <c r="AB789" s="491"/>
      <c r="AC789" s="491"/>
      <c r="AD789" s="493"/>
    </row>
    <row r="790" spans="18:30" x14ac:dyDescent="0.25">
      <c r="R790" s="491"/>
      <c r="S790" s="491"/>
      <c r="T790" s="491"/>
      <c r="U790" s="491"/>
      <c r="V790" s="491"/>
      <c r="W790" s="491"/>
      <c r="X790" s="491"/>
      <c r="Y790" s="491"/>
      <c r="Z790" s="491"/>
      <c r="AA790" s="491"/>
      <c r="AB790" s="491"/>
      <c r="AC790" s="491"/>
      <c r="AD790" s="493"/>
    </row>
    <row r="791" spans="18:30" x14ac:dyDescent="0.25">
      <c r="R791" s="491"/>
      <c r="S791" s="491"/>
      <c r="T791" s="491"/>
      <c r="U791" s="491"/>
      <c r="V791" s="491"/>
      <c r="W791" s="491"/>
      <c r="X791" s="491"/>
      <c r="Y791" s="491"/>
      <c r="Z791" s="491"/>
      <c r="AA791" s="491"/>
      <c r="AB791" s="491"/>
      <c r="AC791" s="491"/>
      <c r="AD791" s="493"/>
    </row>
    <row r="792" spans="18:30" x14ac:dyDescent="0.25">
      <c r="R792" s="491"/>
      <c r="S792" s="491"/>
      <c r="T792" s="491"/>
      <c r="U792" s="491"/>
      <c r="V792" s="491"/>
      <c r="W792" s="491"/>
      <c r="X792" s="491"/>
      <c r="Y792" s="491"/>
      <c r="Z792" s="491"/>
      <c r="AA792" s="491"/>
      <c r="AB792" s="491"/>
      <c r="AC792" s="491"/>
      <c r="AD792" s="493"/>
    </row>
    <row r="793" spans="18:30" x14ac:dyDescent="0.25">
      <c r="R793" s="491"/>
      <c r="S793" s="491"/>
      <c r="T793" s="491"/>
      <c r="U793" s="491"/>
      <c r="V793" s="491"/>
      <c r="W793" s="491"/>
      <c r="X793" s="491"/>
      <c r="Y793" s="491"/>
      <c r="Z793" s="491"/>
      <c r="AA793" s="491"/>
      <c r="AB793" s="491"/>
      <c r="AC793" s="491"/>
      <c r="AD793" s="493"/>
    </row>
    <row r="794" spans="18:30" x14ac:dyDescent="0.25">
      <c r="R794" s="491"/>
      <c r="S794" s="491"/>
      <c r="T794" s="491"/>
      <c r="U794" s="491"/>
      <c r="V794" s="491"/>
      <c r="W794" s="491"/>
      <c r="X794" s="491"/>
      <c r="Y794" s="491"/>
      <c r="Z794" s="491"/>
      <c r="AA794" s="491"/>
      <c r="AB794" s="491"/>
      <c r="AC794" s="491"/>
      <c r="AD794" s="493"/>
    </row>
    <row r="795" spans="18:30" x14ac:dyDescent="0.25">
      <c r="R795" s="491"/>
      <c r="S795" s="491"/>
      <c r="T795" s="491"/>
      <c r="U795" s="491"/>
      <c r="V795" s="491"/>
      <c r="W795" s="491"/>
      <c r="X795" s="491"/>
      <c r="Y795" s="491"/>
      <c r="Z795" s="491"/>
      <c r="AA795" s="491"/>
      <c r="AB795" s="491"/>
      <c r="AC795" s="491"/>
      <c r="AD795" s="493"/>
    </row>
    <row r="796" spans="18:30" x14ac:dyDescent="0.25">
      <c r="R796" s="491"/>
      <c r="S796" s="491"/>
      <c r="T796" s="491"/>
      <c r="U796" s="491"/>
      <c r="V796" s="491"/>
      <c r="W796" s="491"/>
      <c r="X796" s="491"/>
      <c r="Y796" s="491"/>
      <c r="Z796" s="491"/>
      <c r="AA796" s="491"/>
      <c r="AB796" s="491"/>
      <c r="AC796" s="491"/>
      <c r="AD796" s="493"/>
    </row>
    <row r="797" spans="18:30" x14ac:dyDescent="0.25">
      <c r="R797" s="491"/>
      <c r="S797" s="491"/>
      <c r="T797" s="491"/>
      <c r="U797" s="491"/>
      <c r="V797" s="491"/>
      <c r="W797" s="491"/>
      <c r="X797" s="491"/>
      <c r="Y797" s="491"/>
      <c r="Z797" s="491"/>
      <c r="AA797" s="491"/>
      <c r="AB797" s="491"/>
      <c r="AC797" s="491"/>
      <c r="AD797" s="493"/>
    </row>
    <row r="798" spans="18:30" x14ac:dyDescent="0.25">
      <c r="R798" s="491"/>
      <c r="S798" s="491"/>
      <c r="T798" s="491"/>
      <c r="U798" s="491"/>
      <c r="V798" s="491"/>
      <c r="W798" s="491"/>
      <c r="X798" s="491"/>
      <c r="Y798" s="491"/>
      <c r="Z798" s="491"/>
      <c r="AA798" s="491"/>
      <c r="AB798" s="491"/>
      <c r="AC798" s="491"/>
      <c r="AD798" s="493"/>
    </row>
    <row r="799" spans="18:30" x14ac:dyDescent="0.25">
      <c r="R799" s="491"/>
      <c r="S799" s="491"/>
      <c r="T799" s="491"/>
      <c r="U799" s="491"/>
      <c r="V799" s="491"/>
      <c r="W799" s="491"/>
      <c r="X799" s="491"/>
      <c r="Y799" s="491"/>
      <c r="Z799" s="491"/>
      <c r="AA799" s="491"/>
      <c r="AB799" s="491"/>
      <c r="AC799" s="491"/>
      <c r="AD799" s="493"/>
    </row>
    <row r="800" spans="18:30" x14ac:dyDescent="0.25">
      <c r="R800" s="491"/>
      <c r="S800" s="491"/>
      <c r="T800" s="491"/>
      <c r="U800" s="491"/>
      <c r="V800" s="491"/>
      <c r="W800" s="491"/>
      <c r="X800" s="491"/>
      <c r="Y800" s="491"/>
      <c r="Z800" s="491"/>
      <c r="AA800" s="491"/>
      <c r="AB800" s="491"/>
      <c r="AC800" s="491"/>
      <c r="AD800" s="493"/>
    </row>
    <row r="801" spans="18:30" x14ac:dyDescent="0.25">
      <c r="R801" s="491"/>
      <c r="S801" s="491"/>
      <c r="T801" s="491"/>
      <c r="U801" s="491"/>
      <c r="V801" s="491"/>
      <c r="W801" s="491"/>
      <c r="X801" s="491"/>
      <c r="Y801" s="491"/>
      <c r="Z801" s="491"/>
      <c r="AA801" s="491"/>
      <c r="AB801" s="491"/>
      <c r="AC801" s="491"/>
      <c r="AD801" s="493"/>
    </row>
    <row r="802" spans="18:30" x14ac:dyDescent="0.25">
      <c r="R802" s="491"/>
      <c r="S802" s="491"/>
      <c r="T802" s="491"/>
      <c r="U802" s="491"/>
      <c r="V802" s="491"/>
      <c r="W802" s="491"/>
      <c r="X802" s="491"/>
      <c r="Y802" s="491"/>
      <c r="Z802" s="491"/>
      <c r="AA802" s="491"/>
      <c r="AB802" s="491"/>
      <c r="AC802" s="491"/>
      <c r="AD802" s="493"/>
    </row>
    <row r="803" spans="18:30" x14ac:dyDescent="0.25">
      <c r="R803" s="491"/>
      <c r="S803" s="491"/>
      <c r="T803" s="491"/>
      <c r="U803" s="491"/>
      <c r="V803" s="491"/>
      <c r="W803" s="491"/>
      <c r="X803" s="491"/>
      <c r="Y803" s="491"/>
      <c r="Z803" s="491"/>
      <c r="AA803" s="491"/>
      <c r="AB803" s="491"/>
      <c r="AC803" s="491"/>
      <c r="AD803" s="493"/>
    </row>
    <row r="804" spans="18:30" x14ac:dyDescent="0.25">
      <c r="R804" s="491"/>
      <c r="S804" s="491"/>
      <c r="T804" s="491"/>
      <c r="U804" s="491"/>
      <c r="V804" s="491"/>
      <c r="W804" s="491"/>
      <c r="X804" s="491"/>
      <c r="Y804" s="491"/>
      <c r="Z804" s="491"/>
      <c r="AA804" s="491"/>
      <c r="AB804" s="491"/>
      <c r="AC804" s="491"/>
      <c r="AD804" s="493"/>
    </row>
    <row r="805" spans="18:30" x14ac:dyDescent="0.25">
      <c r="R805" s="491"/>
      <c r="S805" s="491"/>
      <c r="T805" s="491"/>
      <c r="U805" s="491"/>
      <c r="V805" s="491"/>
      <c r="W805" s="491"/>
      <c r="X805" s="491"/>
      <c r="Y805" s="491"/>
      <c r="Z805" s="491"/>
      <c r="AA805" s="491"/>
      <c r="AB805" s="491"/>
      <c r="AC805" s="491"/>
      <c r="AD805" s="493"/>
    </row>
    <row r="806" spans="18:30" x14ac:dyDescent="0.25">
      <c r="R806" s="491"/>
      <c r="S806" s="491"/>
      <c r="T806" s="491"/>
      <c r="U806" s="491"/>
      <c r="V806" s="491"/>
      <c r="W806" s="491"/>
      <c r="X806" s="491"/>
      <c r="Y806" s="491"/>
      <c r="Z806" s="491"/>
      <c r="AA806" s="491"/>
      <c r="AB806" s="491"/>
      <c r="AC806" s="491"/>
      <c r="AD806" s="493"/>
    </row>
    <row r="807" spans="18:30" x14ac:dyDescent="0.25">
      <c r="R807" s="491"/>
      <c r="S807" s="491"/>
      <c r="T807" s="491"/>
      <c r="U807" s="491"/>
      <c r="V807" s="491"/>
      <c r="W807" s="491"/>
      <c r="X807" s="491"/>
      <c r="Y807" s="491"/>
      <c r="Z807" s="491"/>
      <c r="AA807" s="491"/>
      <c r="AB807" s="491"/>
      <c r="AC807" s="491"/>
      <c r="AD807" s="493"/>
    </row>
    <row r="808" spans="18:30" x14ac:dyDescent="0.25">
      <c r="R808" s="491"/>
      <c r="S808" s="491"/>
      <c r="T808" s="491"/>
      <c r="U808" s="491"/>
      <c r="V808" s="491"/>
      <c r="W808" s="491"/>
      <c r="X808" s="491"/>
      <c r="Y808" s="491"/>
      <c r="Z808" s="491"/>
      <c r="AA808" s="491"/>
      <c r="AB808" s="491"/>
      <c r="AC808" s="491"/>
      <c r="AD808" s="493"/>
    </row>
    <row r="809" spans="18:30" x14ac:dyDescent="0.25">
      <c r="R809" s="491"/>
      <c r="S809" s="491"/>
      <c r="T809" s="491"/>
      <c r="U809" s="491"/>
      <c r="V809" s="491"/>
      <c r="W809" s="491"/>
      <c r="X809" s="491"/>
      <c r="Y809" s="491"/>
      <c r="Z809" s="491"/>
      <c r="AA809" s="491"/>
      <c r="AB809" s="491"/>
      <c r="AC809" s="491"/>
      <c r="AD809" s="493"/>
    </row>
    <row r="810" spans="18:30" x14ac:dyDescent="0.25">
      <c r="R810" s="491"/>
      <c r="S810" s="491"/>
      <c r="T810" s="491"/>
      <c r="U810" s="491"/>
      <c r="V810" s="491"/>
      <c r="W810" s="491"/>
      <c r="X810" s="491"/>
      <c r="Y810" s="491"/>
      <c r="Z810" s="491"/>
      <c r="AA810" s="491"/>
      <c r="AB810" s="491"/>
      <c r="AC810" s="491"/>
      <c r="AD810" s="493"/>
    </row>
    <row r="811" spans="18:30" x14ac:dyDescent="0.25">
      <c r="R811" s="491"/>
      <c r="S811" s="491"/>
      <c r="T811" s="491"/>
      <c r="U811" s="491"/>
      <c r="V811" s="491"/>
      <c r="W811" s="491"/>
      <c r="X811" s="491"/>
      <c r="Y811" s="491"/>
      <c r="Z811" s="491"/>
      <c r="AA811" s="491"/>
      <c r="AB811" s="491"/>
      <c r="AC811" s="491"/>
      <c r="AD811" s="493"/>
    </row>
    <row r="812" spans="18:30" x14ac:dyDescent="0.25">
      <c r="R812" s="491"/>
      <c r="S812" s="491"/>
      <c r="T812" s="491"/>
      <c r="U812" s="491"/>
      <c r="V812" s="491"/>
      <c r="W812" s="491"/>
      <c r="X812" s="491"/>
      <c r="Y812" s="491"/>
      <c r="Z812" s="491"/>
      <c r="AA812" s="491"/>
      <c r="AB812" s="491"/>
      <c r="AC812" s="491"/>
      <c r="AD812" s="493"/>
    </row>
    <row r="813" spans="18:30" x14ac:dyDescent="0.25">
      <c r="R813" s="491"/>
      <c r="S813" s="491"/>
      <c r="T813" s="491"/>
      <c r="U813" s="491"/>
      <c r="V813" s="491"/>
      <c r="W813" s="491"/>
      <c r="X813" s="491"/>
      <c r="Y813" s="491"/>
      <c r="Z813" s="491"/>
      <c r="AA813" s="491"/>
      <c r="AB813" s="491"/>
      <c r="AC813" s="491"/>
      <c r="AD813" s="493"/>
    </row>
    <row r="814" spans="18:30" x14ac:dyDescent="0.25">
      <c r="R814" s="491"/>
      <c r="S814" s="491"/>
      <c r="T814" s="491"/>
      <c r="U814" s="491"/>
      <c r="V814" s="491"/>
      <c r="W814" s="491"/>
      <c r="X814" s="491"/>
      <c r="Y814" s="491"/>
      <c r="Z814" s="491"/>
      <c r="AA814" s="491"/>
      <c r="AB814" s="491"/>
      <c r="AC814" s="491"/>
      <c r="AD814" s="493"/>
    </row>
    <row r="815" spans="18:30" x14ac:dyDescent="0.25">
      <c r="R815" s="491"/>
      <c r="S815" s="491"/>
      <c r="T815" s="491"/>
      <c r="U815" s="491"/>
      <c r="V815" s="491"/>
      <c r="W815" s="491"/>
      <c r="X815" s="491"/>
      <c r="Y815" s="491"/>
      <c r="Z815" s="491"/>
      <c r="AA815" s="491"/>
      <c r="AB815" s="491"/>
      <c r="AC815" s="491"/>
      <c r="AD815" s="493"/>
    </row>
    <row r="816" spans="18:30" x14ac:dyDescent="0.25">
      <c r="R816" s="491"/>
      <c r="S816" s="491"/>
      <c r="T816" s="491"/>
      <c r="U816" s="491"/>
      <c r="V816" s="491"/>
      <c r="W816" s="491"/>
      <c r="X816" s="491"/>
      <c r="Y816" s="491"/>
      <c r="Z816" s="491"/>
      <c r="AA816" s="491"/>
      <c r="AB816" s="491"/>
      <c r="AC816" s="491"/>
      <c r="AD816" s="493"/>
    </row>
    <row r="817" spans="18:30" x14ac:dyDescent="0.25">
      <c r="R817" s="491"/>
      <c r="S817" s="491"/>
      <c r="T817" s="491"/>
      <c r="U817" s="491"/>
      <c r="V817" s="491"/>
      <c r="W817" s="491"/>
      <c r="X817" s="491"/>
      <c r="Y817" s="491"/>
      <c r="Z817" s="491"/>
      <c r="AA817" s="491"/>
      <c r="AB817" s="491"/>
      <c r="AC817" s="491"/>
      <c r="AD817" s="493"/>
    </row>
    <row r="818" spans="18:30" x14ac:dyDescent="0.25">
      <c r="R818" s="491"/>
      <c r="S818" s="491"/>
      <c r="T818" s="491"/>
      <c r="U818" s="491"/>
      <c r="V818" s="491"/>
      <c r="W818" s="491"/>
      <c r="X818" s="491"/>
      <c r="Y818" s="491"/>
      <c r="Z818" s="491"/>
      <c r="AA818" s="491"/>
      <c r="AB818" s="491"/>
      <c r="AC818" s="491"/>
      <c r="AD818" s="493"/>
    </row>
    <row r="819" spans="18:30" x14ac:dyDescent="0.25">
      <c r="R819" s="491"/>
      <c r="S819" s="491"/>
      <c r="T819" s="491"/>
      <c r="U819" s="491"/>
      <c r="V819" s="491"/>
      <c r="W819" s="491"/>
      <c r="X819" s="491"/>
      <c r="Y819" s="491"/>
      <c r="Z819" s="491"/>
      <c r="AA819" s="491"/>
      <c r="AB819" s="491"/>
      <c r="AC819" s="491"/>
      <c r="AD819" s="493"/>
    </row>
    <row r="820" spans="18:30" x14ac:dyDescent="0.25">
      <c r="R820" s="491"/>
      <c r="S820" s="491"/>
      <c r="T820" s="491"/>
      <c r="U820" s="491"/>
      <c r="V820" s="491"/>
      <c r="W820" s="491"/>
      <c r="X820" s="491"/>
      <c r="Y820" s="491"/>
      <c r="Z820" s="491"/>
      <c r="AA820" s="491"/>
      <c r="AB820" s="491"/>
      <c r="AC820" s="491"/>
      <c r="AD820" s="493"/>
    </row>
    <row r="821" spans="18:30" x14ac:dyDescent="0.25">
      <c r="R821" s="491"/>
      <c r="S821" s="491"/>
      <c r="T821" s="491"/>
      <c r="U821" s="491"/>
      <c r="V821" s="491"/>
      <c r="W821" s="491"/>
      <c r="X821" s="491"/>
      <c r="Y821" s="491"/>
      <c r="Z821" s="491"/>
      <c r="AA821" s="491"/>
      <c r="AB821" s="491"/>
      <c r="AC821" s="491"/>
      <c r="AD821" s="493"/>
    </row>
    <row r="822" spans="18:30" x14ac:dyDescent="0.25">
      <c r="R822" s="491"/>
      <c r="S822" s="491"/>
      <c r="T822" s="491"/>
      <c r="U822" s="491"/>
      <c r="V822" s="491"/>
      <c r="W822" s="491"/>
      <c r="X822" s="491"/>
      <c r="Y822" s="491"/>
      <c r="Z822" s="491"/>
      <c r="AA822" s="491"/>
      <c r="AB822" s="491"/>
      <c r="AC822" s="491"/>
      <c r="AD822" s="493"/>
    </row>
    <row r="823" spans="18:30" x14ac:dyDescent="0.25">
      <c r="R823" s="491"/>
      <c r="S823" s="491"/>
      <c r="T823" s="491"/>
      <c r="U823" s="491"/>
      <c r="V823" s="491"/>
      <c r="W823" s="491"/>
      <c r="X823" s="491"/>
      <c r="Y823" s="491"/>
      <c r="Z823" s="491"/>
      <c r="AA823" s="491"/>
      <c r="AB823" s="491"/>
      <c r="AC823" s="491"/>
      <c r="AD823" s="493"/>
    </row>
    <row r="824" spans="18:30" x14ac:dyDescent="0.25">
      <c r="R824" s="491"/>
      <c r="S824" s="491"/>
      <c r="T824" s="491"/>
      <c r="U824" s="491"/>
      <c r="V824" s="491"/>
      <c r="W824" s="491"/>
      <c r="X824" s="491"/>
      <c r="Y824" s="491"/>
      <c r="Z824" s="491"/>
      <c r="AA824" s="491"/>
      <c r="AB824" s="491"/>
      <c r="AC824" s="491"/>
      <c r="AD824" s="493"/>
    </row>
    <row r="825" spans="18:30" x14ac:dyDescent="0.25">
      <c r="R825" s="491"/>
      <c r="S825" s="491"/>
      <c r="T825" s="491"/>
      <c r="U825" s="491"/>
      <c r="V825" s="491"/>
      <c r="W825" s="491"/>
      <c r="X825" s="491"/>
      <c r="Y825" s="491"/>
      <c r="Z825" s="491"/>
      <c r="AA825" s="491"/>
      <c r="AB825" s="491"/>
      <c r="AC825" s="491"/>
      <c r="AD825" s="493"/>
    </row>
    <row r="826" spans="18:30" x14ac:dyDescent="0.25">
      <c r="R826" s="491"/>
      <c r="S826" s="491"/>
      <c r="T826" s="491"/>
      <c r="U826" s="491"/>
      <c r="V826" s="491"/>
      <c r="W826" s="491"/>
      <c r="X826" s="491"/>
      <c r="Y826" s="491"/>
      <c r="Z826" s="491"/>
      <c r="AA826" s="491"/>
      <c r="AB826" s="491"/>
      <c r="AC826" s="491"/>
      <c r="AD826" s="493"/>
    </row>
    <row r="827" spans="18:30" x14ac:dyDescent="0.25">
      <c r="R827" s="491"/>
      <c r="S827" s="491"/>
      <c r="T827" s="491"/>
      <c r="U827" s="491"/>
      <c r="V827" s="491"/>
      <c r="W827" s="491"/>
      <c r="X827" s="491"/>
      <c r="Y827" s="491"/>
      <c r="Z827" s="491"/>
      <c r="AA827" s="491"/>
      <c r="AB827" s="491"/>
      <c r="AC827" s="491"/>
      <c r="AD827" s="493"/>
    </row>
    <row r="828" spans="18:30" x14ac:dyDescent="0.25">
      <c r="R828" s="491"/>
      <c r="S828" s="491"/>
      <c r="T828" s="491"/>
      <c r="U828" s="491"/>
      <c r="V828" s="491"/>
      <c r="W828" s="491"/>
      <c r="X828" s="491"/>
      <c r="Y828" s="491"/>
      <c r="Z828" s="491"/>
      <c r="AA828" s="491"/>
      <c r="AB828" s="491"/>
      <c r="AC828" s="491"/>
      <c r="AD828" s="493"/>
    </row>
    <row r="829" spans="18:30" x14ac:dyDescent="0.25">
      <c r="R829" s="491"/>
      <c r="S829" s="491"/>
      <c r="T829" s="491"/>
      <c r="U829" s="491"/>
      <c r="V829" s="491"/>
      <c r="W829" s="491"/>
      <c r="X829" s="491"/>
      <c r="Y829" s="491"/>
      <c r="Z829" s="491"/>
      <c r="AA829" s="491"/>
      <c r="AB829" s="491"/>
      <c r="AC829" s="491"/>
      <c r="AD829" s="493"/>
    </row>
    <row r="830" spans="18:30" x14ac:dyDescent="0.25">
      <c r="R830" s="491"/>
      <c r="S830" s="491"/>
      <c r="T830" s="491"/>
      <c r="U830" s="491"/>
      <c r="V830" s="491"/>
      <c r="W830" s="491"/>
      <c r="X830" s="491"/>
      <c r="Y830" s="491"/>
      <c r="Z830" s="491"/>
      <c r="AA830" s="491"/>
      <c r="AB830" s="491"/>
      <c r="AC830" s="491"/>
      <c r="AD830" s="493"/>
    </row>
    <row r="831" spans="18:30" x14ac:dyDescent="0.25">
      <c r="R831" s="491"/>
      <c r="S831" s="491"/>
      <c r="T831" s="491"/>
      <c r="U831" s="491"/>
      <c r="V831" s="491"/>
      <c r="W831" s="491"/>
      <c r="X831" s="491"/>
      <c r="Y831" s="491"/>
      <c r="Z831" s="491"/>
      <c r="AA831" s="491"/>
      <c r="AB831" s="491"/>
      <c r="AC831" s="491"/>
      <c r="AD831" s="493"/>
    </row>
    <row r="832" spans="18:30" x14ac:dyDescent="0.25">
      <c r="R832" s="491"/>
      <c r="S832" s="491"/>
      <c r="T832" s="491"/>
      <c r="U832" s="491"/>
      <c r="V832" s="491"/>
      <c r="W832" s="491"/>
      <c r="X832" s="491"/>
      <c r="Y832" s="491"/>
      <c r="Z832" s="491"/>
      <c r="AA832" s="491"/>
      <c r="AB832" s="491"/>
      <c r="AC832" s="491"/>
      <c r="AD832" s="493"/>
    </row>
    <row r="833" spans="18:30" x14ac:dyDescent="0.25">
      <c r="R833" s="491"/>
      <c r="S833" s="491"/>
      <c r="T833" s="491"/>
      <c r="U833" s="491"/>
      <c r="V833" s="491"/>
      <c r="W833" s="491"/>
      <c r="X833" s="491"/>
      <c r="Y833" s="491"/>
      <c r="Z833" s="491"/>
      <c r="AA833" s="491"/>
      <c r="AB833" s="491"/>
      <c r="AC833" s="491"/>
      <c r="AD833" s="493"/>
    </row>
    <row r="834" spans="18:30" x14ac:dyDescent="0.25">
      <c r="R834" s="491"/>
      <c r="S834" s="491"/>
      <c r="T834" s="491"/>
      <c r="U834" s="491"/>
      <c r="V834" s="491"/>
      <c r="W834" s="491"/>
      <c r="X834" s="491"/>
      <c r="Y834" s="491"/>
      <c r="Z834" s="491"/>
      <c r="AA834" s="491"/>
      <c r="AB834" s="491"/>
      <c r="AC834" s="491"/>
      <c r="AD834" s="493"/>
    </row>
    <row r="835" spans="18:30" x14ac:dyDescent="0.25">
      <c r="R835" s="491"/>
      <c r="S835" s="491"/>
      <c r="T835" s="491"/>
      <c r="U835" s="491"/>
      <c r="V835" s="491"/>
      <c r="W835" s="491"/>
      <c r="X835" s="491"/>
      <c r="Y835" s="491"/>
      <c r="Z835" s="491"/>
      <c r="AA835" s="491"/>
      <c r="AB835" s="491"/>
      <c r="AC835" s="491"/>
      <c r="AD835" s="493"/>
    </row>
    <row r="836" spans="18:30" x14ac:dyDescent="0.25">
      <c r="R836" s="491"/>
      <c r="S836" s="491"/>
      <c r="T836" s="491"/>
      <c r="U836" s="491"/>
      <c r="V836" s="491"/>
      <c r="W836" s="491"/>
      <c r="X836" s="491"/>
      <c r="Y836" s="491"/>
      <c r="Z836" s="491"/>
      <c r="AA836" s="491"/>
      <c r="AB836" s="491"/>
      <c r="AC836" s="491"/>
      <c r="AD836" s="493"/>
    </row>
    <row r="837" spans="18:30" x14ac:dyDescent="0.25">
      <c r="R837" s="491"/>
      <c r="S837" s="491"/>
      <c r="T837" s="491"/>
      <c r="U837" s="491"/>
      <c r="V837" s="491"/>
      <c r="W837" s="491"/>
      <c r="X837" s="491"/>
      <c r="Y837" s="491"/>
      <c r="Z837" s="491"/>
      <c r="AA837" s="491"/>
      <c r="AB837" s="491"/>
      <c r="AC837" s="491"/>
      <c r="AD837" s="493"/>
    </row>
    <row r="838" spans="18:30" x14ac:dyDescent="0.25">
      <c r="R838" s="491"/>
      <c r="S838" s="491"/>
      <c r="T838" s="491"/>
      <c r="U838" s="491"/>
      <c r="V838" s="491"/>
      <c r="W838" s="491"/>
      <c r="X838" s="491"/>
      <c r="Y838" s="491"/>
      <c r="Z838" s="491"/>
      <c r="AA838" s="491"/>
      <c r="AB838" s="491"/>
      <c r="AC838" s="491"/>
      <c r="AD838" s="493"/>
    </row>
    <row r="839" spans="18:30" x14ac:dyDescent="0.25">
      <c r="R839" s="491"/>
      <c r="S839" s="491"/>
      <c r="T839" s="491"/>
      <c r="U839" s="491"/>
      <c r="V839" s="491"/>
      <c r="W839" s="491"/>
      <c r="X839" s="491"/>
      <c r="Y839" s="491"/>
      <c r="Z839" s="491"/>
      <c r="AA839" s="491"/>
      <c r="AB839" s="491"/>
      <c r="AC839" s="491"/>
      <c r="AD839" s="493"/>
    </row>
    <row r="840" spans="18:30" x14ac:dyDescent="0.25">
      <c r="R840" s="491"/>
      <c r="S840" s="491"/>
      <c r="T840" s="491"/>
      <c r="U840" s="491"/>
      <c r="V840" s="491"/>
      <c r="W840" s="491"/>
      <c r="X840" s="491"/>
      <c r="Y840" s="491"/>
      <c r="Z840" s="491"/>
      <c r="AA840" s="491"/>
      <c r="AB840" s="491"/>
      <c r="AC840" s="491"/>
      <c r="AD840" s="493"/>
    </row>
    <row r="841" spans="18:30" x14ac:dyDescent="0.25">
      <c r="R841" s="491"/>
      <c r="S841" s="491"/>
      <c r="T841" s="491"/>
      <c r="U841" s="491"/>
      <c r="V841" s="491"/>
      <c r="W841" s="491"/>
      <c r="X841" s="491"/>
      <c r="Y841" s="491"/>
      <c r="Z841" s="491"/>
      <c r="AA841" s="491"/>
      <c r="AB841" s="491"/>
      <c r="AC841" s="491"/>
      <c r="AD841" s="493"/>
    </row>
    <row r="842" spans="18:30" x14ac:dyDescent="0.25">
      <c r="R842" s="491"/>
      <c r="S842" s="491"/>
      <c r="T842" s="491"/>
      <c r="U842" s="491"/>
      <c r="V842" s="491"/>
      <c r="W842" s="491"/>
      <c r="X842" s="491"/>
      <c r="Y842" s="491"/>
      <c r="Z842" s="491"/>
      <c r="AA842" s="491"/>
      <c r="AB842" s="491"/>
      <c r="AC842" s="491"/>
      <c r="AD842" s="493"/>
    </row>
    <row r="843" spans="18:30" x14ac:dyDescent="0.25">
      <c r="R843" s="491"/>
      <c r="S843" s="491"/>
      <c r="T843" s="491"/>
      <c r="U843" s="491"/>
      <c r="V843" s="491"/>
      <c r="W843" s="491"/>
      <c r="X843" s="491"/>
      <c r="Y843" s="491"/>
      <c r="Z843" s="491"/>
      <c r="AA843" s="491"/>
      <c r="AB843" s="491"/>
      <c r="AC843" s="491"/>
      <c r="AD843" s="493"/>
    </row>
    <row r="844" spans="18:30" x14ac:dyDescent="0.25">
      <c r="R844" s="491"/>
      <c r="S844" s="491"/>
      <c r="T844" s="491"/>
      <c r="U844" s="491"/>
      <c r="V844" s="491"/>
      <c r="W844" s="491"/>
      <c r="X844" s="491"/>
      <c r="Y844" s="491"/>
      <c r="Z844" s="491"/>
      <c r="AA844" s="491"/>
      <c r="AB844" s="491"/>
      <c r="AC844" s="491"/>
      <c r="AD844" s="493"/>
    </row>
    <row r="845" spans="18:30" x14ac:dyDescent="0.25">
      <c r="R845" s="491"/>
      <c r="S845" s="491"/>
      <c r="T845" s="491"/>
      <c r="U845" s="491"/>
      <c r="V845" s="491"/>
      <c r="W845" s="491"/>
      <c r="X845" s="491"/>
      <c r="Y845" s="491"/>
      <c r="Z845" s="491"/>
      <c r="AA845" s="491"/>
      <c r="AB845" s="491"/>
      <c r="AC845" s="491"/>
      <c r="AD845" s="493"/>
    </row>
    <row r="846" spans="18:30" x14ac:dyDescent="0.25">
      <c r="R846" s="491"/>
      <c r="S846" s="491"/>
      <c r="T846" s="491"/>
      <c r="U846" s="491"/>
      <c r="V846" s="491"/>
      <c r="W846" s="491"/>
      <c r="X846" s="491"/>
      <c r="Y846" s="491"/>
      <c r="Z846" s="491"/>
      <c r="AA846" s="491"/>
      <c r="AB846" s="491"/>
      <c r="AC846" s="491"/>
      <c r="AD846" s="493"/>
    </row>
    <row r="847" spans="18:30" x14ac:dyDescent="0.25">
      <c r="R847" s="491"/>
      <c r="S847" s="491"/>
      <c r="T847" s="491"/>
      <c r="U847" s="491"/>
      <c r="V847" s="491"/>
      <c r="W847" s="491"/>
      <c r="X847" s="491"/>
      <c r="Y847" s="491"/>
      <c r="Z847" s="491"/>
      <c r="AA847" s="491"/>
      <c r="AB847" s="491"/>
      <c r="AC847" s="491"/>
      <c r="AD847" s="493"/>
    </row>
    <row r="848" spans="18:30" x14ac:dyDescent="0.25">
      <c r="R848" s="491"/>
      <c r="S848" s="491"/>
      <c r="T848" s="491"/>
      <c r="U848" s="491"/>
      <c r="V848" s="491"/>
      <c r="W848" s="491"/>
      <c r="X848" s="491"/>
      <c r="Y848" s="491"/>
      <c r="Z848" s="491"/>
      <c r="AA848" s="491"/>
      <c r="AB848" s="491"/>
      <c r="AC848" s="491"/>
      <c r="AD848" s="493"/>
    </row>
    <row r="849" spans="18:30" x14ac:dyDescent="0.25">
      <c r="R849" s="491"/>
      <c r="S849" s="491"/>
      <c r="T849" s="491"/>
      <c r="U849" s="491"/>
      <c r="V849" s="491"/>
      <c r="W849" s="491"/>
      <c r="X849" s="491"/>
      <c r="Y849" s="491"/>
      <c r="Z849" s="491"/>
      <c r="AA849" s="491"/>
      <c r="AB849" s="491"/>
      <c r="AC849" s="491"/>
      <c r="AD849" s="493"/>
    </row>
    <row r="850" spans="18:30" x14ac:dyDescent="0.25">
      <c r="R850" s="491"/>
      <c r="S850" s="491"/>
      <c r="T850" s="491"/>
      <c r="U850" s="491"/>
      <c r="V850" s="491"/>
      <c r="W850" s="491"/>
      <c r="X850" s="491"/>
      <c r="Y850" s="491"/>
      <c r="Z850" s="491"/>
      <c r="AA850" s="491"/>
      <c r="AB850" s="491"/>
      <c r="AC850" s="491"/>
      <c r="AD850" s="493"/>
    </row>
    <row r="851" spans="18:30" x14ac:dyDescent="0.25">
      <c r="R851" s="491"/>
      <c r="S851" s="491"/>
      <c r="T851" s="491"/>
      <c r="U851" s="491"/>
      <c r="V851" s="491"/>
      <c r="W851" s="491"/>
      <c r="X851" s="491"/>
      <c r="Y851" s="491"/>
      <c r="Z851" s="491"/>
      <c r="AA851" s="491"/>
      <c r="AB851" s="491"/>
      <c r="AC851" s="491"/>
      <c r="AD851" s="493"/>
    </row>
    <row r="852" spans="18:30" x14ac:dyDescent="0.25">
      <c r="R852" s="491"/>
      <c r="S852" s="491"/>
      <c r="T852" s="491"/>
      <c r="U852" s="491"/>
      <c r="V852" s="491"/>
      <c r="W852" s="491"/>
      <c r="X852" s="491"/>
      <c r="Y852" s="491"/>
      <c r="Z852" s="491"/>
      <c r="AA852" s="491"/>
      <c r="AB852" s="491"/>
      <c r="AC852" s="491"/>
      <c r="AD852" s="493"/>
    </row>
    <row r="853" spans="18:30" x14ac:dyDescent="0.25">
      <c r="R853" s="491"/>
      <c r="S853" s="491"/>
      <c r="T853" s="491"/>
      <c r="U853" s="491"/>
      <c r="V853" s="491"/>
      <c r="W853" s="491"/>
      <c r="X853" s="491"/>
      <c r="Y853" s="491"/>
      <c r="Z853" s="491"/>
      <c r="AA853" s="491"/>
      <c r="AB853" s="491"/>
      <c r="AC853" s="491"/>
      <c r="AD853" s="493"/>
    </row>
    <row r="854" spans="18:30" x14ac:dyDescent="0.25">
      <c r="R854" s="491"/>
      <c r="S854" s="491"/>
      <c r="T854" s="491"/>
      <c r="U854" s="491"/>
      <c r="V854" s="491"/>
      <c r="W854" s="491"/>
      <c r="X854" s="491"/>
      <c r="Y854" s="491"/>
      <c r="Z854" s="491"/>
      <c r="AA854" s="491"/>
      <c r="AB854" s="491"/>
      <c r="AC854" s="491"/>
      <c r="AD854" s="493"/>
    </row>
    <row r="855" spans="18:30" x14ac:dyDescent="0.25">
      <c r="R855" s="491"/>
      <c r="S855" s="491"/>
      <c r="T855" s="491"/>
      <c r="U855" s="491"/>
      <c r="V855" s="491"/>
      <c r="W855" s="491"/>
      <c r="X855" s="491"/>
      <c r="Y855" s="491"/>
      <c r="Z855" s="491"/>
      <c r="AA855" s="491"/>
      <c r="AB855" s="491"/>
      <c r="AC855" s="491"/>
      <c r="AD855" s="493"/>
    </row>
    <row r="856" spans="18:30" x14ac:dyDescent="0.25">
      <c r="R856" s="491"/>
      <c r="S856" s="491"/>
      <c r="T856" s="491"/>
      <c r="U856" s="491"/>
      <c r="V856" s="491"/>
      <c r="W856" s="491"/>
      <c r="X856" s="491"/>
      <c r="Y856" s="491"/>
      <c r="Z856" s="491"/>
      <c r="AA856" s="491"/>
      <c r="AB856" s="491"/>
      <c r="AC856" s="491"/>
      <c r="AD856" s="493"/>
    </row>
    <row r="857" spans="18:30" x14ac:dyDescent="0.25">
      <c r="R857" s="491"/>
      <c r="S857" s="491"/>
      <c r="T857" s="491"/>
      <c r="U857" s="491"/>
      <c r="V857" s="491"/>
      <c r="W857" s="491"/>
      <c r="X857" s="491"/>
      <c r="Y857" s="491"/>
      <c r="Z857" s="491"/>
      <c r="AA857" s="491"/>
      <c r="AB857" s="491"/>
      <c r="AC857" s="491"/>
      <c r="AD857" s="493"/>
    </row>
    <row r="858" spans="18:30" x14ac:dyDescent="0.25">
      <c r="R858" s="491"/>
      <c r="S858" s="491"/>
      <c r="T858" s="491"/>
      <c r="U858" s="491"/>
      <c r="V858" s="491"/>
      <c r="W858" s="491"/>
      <c r="X858" s="491"/>
      <c r="Y858" s="491"/>
      <c r="Z858" s="491"/>
      <c r="AA858" s="491"/>
      <c r="AB858" s="491"/>
      <c r="AC858" s="491"/>
      <c r="AD858" s="493"/>
    </row>
    <row r="859" spans="18:30" x14ac:dyDescent="0.25">
      <c r="R859" s="491"/>
      <c r="S859" s="491"/>
      <c r="T859" s="491"/>
      <c r="U859" s="491"/>
      <c r="V859" s="491"/>
      <c r="W859" s="491"/>
      <c r="X859" s="491"/>
      <c r="Y859" s="491"/>
      <c r="Z859" s="491"/>
      <c r="AA859" s="491"/>
      <c r="AB859" s="491"/>
      <c r="AC859" s="491"/>
      <c r="AD859" s="493"/>
    </row>
    <row r="860" spans="18:30" x14ac:dyDescent="0.25">
      <c r="R860" s="491"/>
      <c r="S860" s="491"/>
      <c r="T860" s="491"/>
      <c r="U860" s="491"/>
      <c r="V860" s="491"/>
      <c r="W860" s="491"/>
      <c r="X860" s="491"/>
      <c r="Y860" s="491"/>
      <c r="Z860" s="491"/>
      <c r="AA860" s="491"/>
      <c r="AB860" s="491"/>
      <c r="AC860" s="491"/>
      <c r="AD860" s="493"/>
    </row>
    <row r="861" spans="18:30" x14ac:dyDescent="0.25">
      <c r="R861" s="491"/>
      <c r="S861" s="491"/>
      <c r="T861" s="491"/>
      <c r="U861" s="491"/>
      <c r="V861" s="491"/>
      <c r="W861" s="491"/>
      <c r="X861" s="491"/>
      <c r="Y861" s="491"/>
      <c r="Z861" s="491"/>
      <c r="AA861" s="491"/>
      <c r="AB861" s="491"/>
      <c r="AC861" s="491"/>
      <c r="AD861" s="493"/>
    </row>
    <row r="862" spans="18:30" x14ac:dyDescent="0.25">
      <c r="R862" s="491"/>
      <c r="S862" s="491"/>
      <c r="T862" s="491"/>
      <c r="U862" s="491"/>
      <c r="V862" s="491"/>
      <c r="W862" s="491"/>
      <c r="X862" s="491"/>
      <c r="Y862" s="491"/>
      <c r="Z862" s="491"/>
      <c r="AA862" s="491"/>
      <c r="AB862" s="491"/>
      <c r="AC862" s="491"/>
      <c r="AD862" s="493"/>
    </row>
    <row r="863" spans="18:30" x14ac:dyDescent="0.25">
      <c r="R863" s="491"/>
      <c r="S863" s="491"/>
      <c r="T863" s="491"/>
      <c r="U863" s="491"/>
      <c r="V863" s="491"/>
      <c r="W863" s="491"/>
      <c r="X863" s="491"/>
      <c r="Y863" s="491"/>
      <c r="Z863" s="491"/>
      <c r="AA863" s="491"/>
      <c r="AB863" s="491"/>
      <c r="AC863" s="491"/>
      <c r="AD863" s="493"/>
    </row>
    <row r="864" spans="18:30" x14ac:dyDescent="0.25">
      <c r="R864" s="491"/>
      <c r="S864" s="491"/>
      <c r="T864" s="491"/>
      <c r="U864" s="491"/>
      <c r="V864" s="491"/>
      <c r="W864" s="491"/>
      <c r="X864" s="491"/>
      <c r="Y864" s="491"/>
      <c r="Z864" s="491"/>
      <c r="AA864" s="491"/>
      <c r="AB864" s="491"/>
      <c r="AC864" s="491"/>
      <c r="AD864" s="493"/>
    </row>
    <row r="865" spans="18:30" x14ac:dyDescent="0.25">
      <c r="R865" s="491"/>
      <c r="S865" s="491"/>
      <c r="T865" s="491"/>
      <c r="U865" s="491"/>
      <c r="V865" s="491"/>
      <c r="W865" s="491"/>
      <c r="X865" s="491"/>
      <c r="Y865" s="491"/>
      <c r="Z865" s="491"/>
      <c r="AA865" s="491"/>
      <c r="AB865" s="491"/>
      <c r="AC865" s="491"/>
      <c r="AD865" s="493"/>
    </row>
    <row r="866" spans="18:30" x14ac:dyDescent="0.25">
      <c r="R866" s="491"/>
      <c r="S866" s="491"/>
      <c r="T866" s="491"/>
      <c r="U866" s="491"/>
      <c r="V866" s="491"/>
      <c r="W866" s="491"/>
      <c r="X866" s="491"/>
      <c r="Y866" s="491"/>
      <c r="Z866" s="491"/>
      <c r="AA866" s="491"/>
      <c r="AB866" s="491"/>
      <c r="AC866" s="491"/>
      <c r="AD866" s="493"/>
    </row>
    <row r="867" spans="18:30" x14ac:dyDescent="0.25">
      <c r="R867" s="491"/>
      <c r="S867" s="491"/>
      <c r="T867" s="491"/>
      <c r="U867" s="491"/>
      <c r="V867" s="491"/>
      <c r="W867" s="491"/>
      <c r="X867" s="491"/>
      <c r="Y867" s="491"/>
      <c r="Z867" s="491"/>
      <c r="AA867" s="491"/>
      <c r="AB867" s="491"/>
      <c r="AC867" s="491"/>
      <c r="AD867" s="493"/>
    </row>
    <row r="868" spans="18:30" x14ac:dyDescent="0.25">
      <c r="R868" s="491"/>
      <c r="S868" s="491"/>
      <c r="T868" s="491"/>
      <c r="U868" s="491"/>
      <c r="V868" s="491"/>
      <c r="W868" s="491"/>
      <c r="X868" s="491"/>
      <c r="Y868" s="491"/>
      <c r="Z868" s="491"/>
      <c r="AA868" s="491"/>
      <c r="AB868" s="491"/>
      <c r="AC868" s="491"/>
      <c r="AD868" s="493"/>
    </row>
    <row r="869" spans="18:30" x14ac:dyDescent="0.25">
      <c r="R869" s="491"/>
      <c r="S869" s="491"/>
      <c r="T869" s="491"/>
      <c r="U869" s="491"/>
      <c r="V869" s="491"/>
      <c r="W869" s="491"/>
      <c r="X869" s="491"/>
      <c r="Y869" s="491"/>
      <c r="Z869" s="491"/>
      <c r="AA869" s="491"/>
      <c r="AB869" s="491"/>
      <c r="AC869" s="491"/>
      <c r="AD869" s="493"/>
    </row>
    <row r="870" spans="18:30" x14ac:dyDescent="0.25">
      <c r="R870" s="491"/>
      <c r="S870" s="491"/>
      <c r="T870" s="491"/>
      <c r="U870" s="491"/>
      <c r="V870" s="491"/>
      <c r="W870" s="491"/>
      <c r="X870" s="491"/>
      <c r="Y870" s="491"/>
      <c r="Z870" s="491"/>
      <c r="AA870" s="491"/>
      <c r="AB870" s="491"/>
      <c r="AC870" s="491"/>
      <c r="AD870" s="493"/>
    </row>
    <row r="871" spans="18:30" x14ac:dyDescent="0.25">
      <c r="R871" s="491"/>
      <c r="S871" s="491"/>
      <c r="T871" s="491"/>
      <c r="U871" s="491"/>
      <c r="V871" s="491"/>
      <c r="W871" s="491"/>
      <c r="X871" s="491"/>
      <c r="Y871" s="491"/>
      <c r="Z871" s="491"/>
      <c r="AA871" s="491"/>
      <c r="AB871" s="491"/>
      <c r="AC871" s="491"/>
      <c r="AD871" s="493"/>
    </row>
    <row r="872" spans="18:30" x14ac:dyDescent="0.25">
      <c r="R872" s="491"/>
      <c r="S872" s="491"/>
      <c r="T872" s="491"/>
      <c r="U872" s="491"/>
      <c r="V872" s="491"/>
      <c r="W872" s="491"/>
      <c r="X872" s="491"/>
      <c r="Y872" s="491"/>
      <c r="Z872" s="491"/>
      <c r="AA872" s="491"/>
      <c r="AB872" s="491"/>
      <c r="AC872" s="491"/>
      <c r="AD872" s="493"/>
    </row>
    <row r="873" spans="18:30" x14ac:dyDescent="0.25">
      <c r="R873" s="491"/>
      <c r="S873" s="491"/>
      <c r="T873" s="491"/>
      <c r="U873" s="491"/>
      <c r="V873" s="491"/>
      <c r="W873" s="491"/>
      <c r="X873" s="491"/>
      <c r="Y873" s="491"/>
      <c r="Z873" s="491"/>
      <c r="AA873" s="491"/>
      <c r="AB873" s="491"/>
      <c r="AC873" s="491"/>
      <c r="AD873" s="493"/>
    </row>
    <row r="874" spans="18:30" x14ac:dyDescent="0.25">
      <c r="R874" s="491"/>
      <c r="S874" s="491"/>
      <c r="T874" s="491"/>
      <c r="U874" s="491"/>
      <c r="V874" s="491"/>
      <c r="W874" s="491"/>
      <c r="X874" s="491"/>
      <c r="Y874" s="491"/>
      <c r="Z874" s="491"/>
      <c r="AA874" s="491"/>
      <c r="AB874" s="491"/>
      <c r="AC874" s="491"/>
      <c r="AD874" s="493"/>
    </row>
    <row r="875" spans="18:30" x14ac:dyDescent="0.25">
      <c r="R875" s="491"/>
      <c r="S875" s="491"/>
      <c r="T875" s="491"/>
      <c r="U875" s="491"/>
      <c r="V875" s="491"/>
      <c r="W875" s="491"/>
      <c r="X875" s="491"/>
      <c r="Y875" s="491"/>
      <c r="Z875" s="491"/>
      <c r="AA875" s="491"/>
      <c r="AB875" s="491"/>
      <c r="AC875" s="491"/>
      <c r="AD875" s="493"/>
    </row>
    <row r="876" spans="18:30" x14ac:dyDescent="0.25">
      <c r="R876" s="491"/>
      <c r="S876" s="491"/>
      <c r="T876" s="491"/>
      <c r="U876" s="491"/>
      <c r="V876" s="491"/>
      <c r="W876" s="491"/>
      <c r="X876" s="491"/>
      <c r="Y876" s="491"/>
      <c r="Z876" s="491"/>
      <c r="AA876" s="491"/>
      <c r="AB876" s="491"/>
      <c r="AC876" s="491"/>
      <c r="AD876" s="493"/>
    </row>
    <row r="877" spans="18:30" x14ac:dyDescent="0.25">
      <c r="R877" s="491"/>
      <c r="S877" s="491"/>
      <c r="T877" s="491"/>
      <c r="U877" s="491"/>
      <c r="V877" s="491"/>
      <c r="W877" s="491"/>
      <c r="X877" s="491"/>
      <c r="Y877" s="491"/>
      <c r="Z877" s="491"/>
      <c r="AA877" s="491"/>
      <c r="AB877" s="491"/>
      <c r="AC877" s="491"/>
      <c r="AD877" s="493"/>
    </row>
    <row r="878" spans="18:30" x14ac:dyDescent="0.25">
      <c r="R878" s="491"/>
      <c r="S878" s="491"/>
      <c r="T878" s="491"/>
      <c r="U878" s="491"/>
      <c r="V878" s="491"/>
      <c r="W878" s="491"/>
      <c r="X878" s="491"/>
      <c r="Y878" s="491"/>
      <c r="Z878" s="491"/>
      <c r="AA878" s="491"/>
      <c r="AB878" s="491"/>
      <c r="AC878" s="491"/>
      <c r="AD878" s="493"/>
    </row>
    <row r="879" spans="18:30" x14ac:dyDescent="0.25">
      <c r="R879" s="491"/>
      <c r="S879" s="491"/>
      <c r="T879" s="491"/>
      <c r="U879" s="491"/>
      <c r="V879" s="491"/>
      <c r="W879" s="491"/>
      <c r="X879" s="491"/>
      <c r="Y879" s="491"/>
      <c r="Z879" s="491"/>
      <c r="AA879" s="491"/>
      <c r="AB879" s="491"/>
      <c r="AC879" s="491"/>
      <c r="AD879" s="493"/>
    </row>
    <row r="880" spans="18:30" x14ac:dyDescent="0.25">
      <c r="R880" s="491"/>
      <c r="S880" s="491"/>
      <c r="T880" s="491"/>
      <c r="U880" s="491"/>
      <c r="V880" s="491"/>
      <c r="W880" s="491"/>
      <c r="X880" s="491"/>
      <c r="Y880" s="491"/>
      <c r="Z880" s="491"/>
      <c r="AA880" s="491"/>
      <c r="AB880" s="491"/>
      <c r="AC880" s="491"/>
      <c r="AD880" s="493"/>
    </row>
    <row r="881" spans="18:30" x14ac:dyDescent="0.25">
      <c r="R881" s="491"/>
      <c r="S881" s="491"/>
      <c r="T881" s="491"/>
      <c r="U881" s="491"/>
      <c r="V881" s="491"/>
      <c r="W881" s="491"/>
      <c r="X881" s="491"/>
      <c r="Y881" s="491"/>
      <c r="Z881" s="491"/>
      <c r="AA881" s="491"/>
      <c r="AB881" s="491"/>
      <c r="AC881" s="491"/>
      <c r="AD881" s="493"/>
    </row>
    <row r="882" spans="18:30" x14ac:dyDescent="0.25">
      <c r="R882" s="491"/>
      <c r="S882" s="491"/>
      <c r="T882" s="491"/>
      <c r="U882" s="491"/>
      <c r="V882" s="491"/>
      <c r="W882" s="491"/>
      <c r="X882" s="491"/>
      <c r="Y882" s="491"/>
      <c r="Z882" s="491"/>
      <c r="AA882" s="491"/>
      <c r="AB882" s="491"/>
      <c r="AC882" s="491"/>
      <c r="AD882" s="493"/>
    </row>
    <row r="883" spans="18:30" x14ac:dyDescent="0.25">
      <c r="R883" s="491"/>
      <c r="S883" s="491"/>
      <c r="T883" s="491"/>
      <c r="U883" s="491"/>
      <c r="V883" s="491"/>
      <c r="W883" s="491"/>
      <c r="X883" s="491"/>
      <c r="Y883" s="491"/>
      <c r="Z883" s="491"/>
      <c r="AA883" s="491"/>
      <c r="AB883" s="491"/>
      <c r="AC883" s="491"/>
      <c r="AD883" s="493"/>
    </row>
    <row r="884" spans="18:30" x14ac:dyDescent="0.25">
      <c r="R884" s="491"/>
      <c r="S884" s="491"/>
      <c r="T884" s="491"/>
      <c r="U884" s="491"/>
      <c r="V884" s="491"/>
      <c r="W884" s="491"/>
      <c r="X884" s="491"/>
      <c r="Y884" s="491"/>
      <c r="Z884" s="491"/>
      <c r="AA884" s="491"/>
      <c r="AB884" s="491"/>
      <c r="AC884" s="491"/>
      <c r="AD884" s="493"/>
    </row>
    <row r="885" spans="18:30" x14ac:dyDescent="0.25">
      <c r="R885" s="491"/>
      <c r="S885" s="491"/>
      <c r="T885" s="491"/>
      <c r="U885" s="491"/>
      <c r="V885" s="491"/>
      <c r="W885" s="491"/>
      <c r="X885" s="491"/>
      <c r="Y885" s="491"/>
      <c r="Z885" s="491"/>
      <c r="AA885" s="491"/>
      <c r="AB885" s="491"/>
      <c r="AC885" s="491"/>
      <c r="AD885" s="493"/>
    </row>
    <row r="886" spans="18:30" x14ac:dyDescent="0.25">
      <c r="R886" s="491"/>
      <c r="S886" s="491"/>
      <c r="T886" s="491"/>
      <c r="U886" s="491"/>
      <c r="V886" s="491"/>
      <c r="W886" s="491"/>
      <c r="X886" s="491"/>
      <c r="Y886" s="491"/>
      <c r="Z886" s="491"/>
      <c r="AA886" s="491"/>
      <c r="AB886" s="491"/>
      <c r="AC886" s="491"/>
      <c r="AD886" s="493"/>
    </row>
    <row r="887" spans="18:30" x14ac:dyDescent="0.25">
      <c r="R887" s="491"/>
      <c r="S887" s="491"/>
      <c r="T887" s="491"/>
      <c r="U887" s="491"/>
      <c r="V887" s="491"/>
      <c r="W887" s="491"/>
      <c r="X887" s="491"/>
      <c r="Y887" s="491"/>
      <c r="Z887" s="491"/>
      <c r="AA887" s="491"/>
      <c r="AB887" s="491"/>
      <c r="AC887" s="491"/>
      <c r="AD887" s="493"/>
    </row>
    <row r="888" spans="18:30" x14ac:dyDescent="0.25">
      <c r="R888" s="491"/>
      <c r="S888" s="491"/>
      <c r="T888" s="491"/>
      <c r="U888" s="491"/>
      <c r="V888" s="491"/>
      <c r="W888" s="491"/>
      <c r="X888" s="491"/>
      <c r="Y888" s="491"/>
      <c r="Z888" s="491"/>
      <c r="AA888" s="491"/>
      <c r="AB888" s="491"/>
      <c r="AC888" s="491"/>
      <c r="AD888" s="493"/>
    </row>
    <row r="889" spans="18:30" x14ac:dyDescent="0.25">
      <c r="R889" s="491"/>
      <c r="S889" s="491"/>
      <c r="T889" s="491"/>
      <c r="U889" s="491"/>
      <c r="V889" s="491"/>
      <c r="W889" s="491"/>
      <c r="X889" s="491"/>
      <c r="Y889" s="491"/>
      <c r="Z889" s="491"/>
      <c r="AA889" s="491"/>
      <c r="AB889" s="491"/>
      <c r="AC889" s="491"/>
      <c r="AD889" s="493"/>
    </row>
    <row r="890" spans="18:30" x14ac:dyDescent="0.25">
      <c r="R890" s="491"/>
      <c r="S890" s="491"/>
      <c r="T890" s="491"/>
      <c r="U890" s="491"/>
      <c r="V890" s="491"/>
      <c r="W890" s="491"/>
      <c r="X890" s="491"/>
      <c r="Y890" s="491"/>
      <c r="Z890" s="491"/>
      <c r="AA890" s="491"/>
      <c r="AB890" s="491"/>
      <c r="AC890" s="491"/>
      <c r="AD890" s="493"/>
    </row>
    <row r="891" spans="18:30" x14ac:dyDescent="0.25">
      <c r="R891" s="491"/>
      <c r="S891" s="491"/>
      <c r="T891" s="491"/>
      <c r="U891" s="491"/>
      <c r="V891" s="491"/>
      <c r="W891" s="491"/>
      <c r="X891" s="491"/>
      <c r="Y891" s="491"/>
      <c r="Z891" s="491"/>
      <c r="AA891" s="491"/>
      <c r="AB891" s="491"/>
      <c r="AC891" s="491"/>
      <c r="AD891" s="493"/>
    </row>
    <row r="892" spans="18:30" x14ac:dyDescent="0.25">
      <c r="R892" s="491"/>
      <c r="S892" s="491"/>
      <c r="T892" s="491"/>
      <c r="U892" s="491"/>
      <c r="V892" s="491"/>
      <c r="W892" s="491"/>
      <c r="X892" s="491"/>
      <c r="Y892" s="491"/>
      <c r="Z892" s="491"/>
      <c r="AA892" s="491"/>
      <c r="AB892" s="491"/>
      <c r="AC892" s="491"/>
      <c r="AD892" s="493"/>
    </row>
    <row r="893" spans="18:30" x14ac:dyDescent="0.25">
      <c r="R893" s="491"/>
      <c r="S893" s="491"/>
      <c r="T893" s="491"/>
      <c r="U893" s="491"/>
      <c r="V893" s="491"/>
      <c r="W893" s="491"/>
      <c r="X893" s="491"/>
      <c r="Y893" s="491"/>
      <c r="Z893" s="491"/>
      <c r="AA893" s="491"/>
      <c r="AB893" s="491"/>
      <c r="AC893" s="491"/>
      <c r="AD893" s="493"/>
    </row>
    <row r="894" spans="18:30" x14ac:dyDescent="0.25">
      <c r="R894" s="491"/>
      <c r="S894" s="491"/>
      <c r="T894" s="491"/>
      <c r="U894" s="491"/>
      <c r="V894" s="491"/>
      <c r="W894" s="491"/>
      <c r="X894" s="491"/>
      <c r="Y894" s="491"/>
      <c r="Z894" s="491"/>
      <c r="AA894" s="491"/>
      <c r="AB894" s="491"/>
      <c r="AC894" s="491"/>
      <c r="AD894" s="493"/>
    </row>
    <row r="895" spans="18:30" x14ac:dyDescent="0.25">
      <c r="R895" s="491"/>
      <c r="S895" s="491"/>
      <c r="T895" s="491"/>
      <c r="U895" s="491"/>
      <c r="V895" s="491"/>
      <c r="W895" s="491"/>
      <c r="X895" s="491"/>
      <c r="Y895" s="491"/>
      <c r="Z895" s="491"/>
      <c r="AA895" s="491"/>
      <c r="AB895" s="491"/>
      <c r="AC895" s="491"/>
      <c r="AD895" s="493"/>
    </row>
    <row r="896" spans="18:30" x14ac:dyDescent="0.25">
      <c r="R896" s="491"/>
      <c r="S896" s="491"/>
      <c r="T896" s="491"/>
      <c r="U896" s="491"/>
      <c r="V896" s="491"/>
      <c r="W896" s="491"/>
      <c r="X896" s="491"/>
      <c r="Y896" s="491"/>
      <c r="Z896" s="491"/>
      <c r="AA896" s="491"/>
      <c r="AB896" s="491"/>
      <c r="AC896" s="491"/>
      <c r="AD896" s="493"/>
    </row>
    <row r="897" spans="18:30" x14ac:dyDescent="0.25">
      <c r="R897" s="491"/>
      <c r="S897" s="491"/>
      <c r="T897" s="491"/>
      <c r="U897" s="491"/>
      <c r="V897" s="491"/>
      <c r="W897" s="491"/>
      <c r="X897" s="491"/>
      <c r="Y897" s="491"/>
      <c r="Z897" s="491"/>
      <c r="AA897" s="491"/>
      <c r="AB897" s="491"/>
      <c r="AC897" s="491"/>
      <c r="AD897" s="493"/>
    </row>
    <row r="898" spans="18:30" x14ac:dyDescent="0.25">
      <c r="R898" s="491"/>
      <c r="S898" s="491"/>
      <c r="T898" s="491"/>
      <c r="U898" s="491"/>
      <c r="V898" s="491"/>
      <c r="W898" s="491"/>
      <c r="X898" s="491"/>
      <c r="Y898" s="491"/>
      <c r="Z898" s="491"/>
      <c r="AA898" s="491"/>
      <c r="AB898" s="491"/>
      <c r="AC898" s="491"/>
      <c r="AD898" s="493"/>
    </row>
    <row r="899" spans="18:30" x14ac:dyDescent="0.25">
      <c r="R899" s="491"/>
      <c r="S899" s="491"/>
      <c r="T899" s="491"/>
      <c r="U899" s="491"/>
      <c r="V899" s="491"/>
      <c r="W899" s="491"/>
      <c r="X899" s="491"/>
      <c r="Y899" s="491"/>
      <c r="Z899" s="491"/>
      <c r="AA899" s="491"/>
      <c r="AB899" s="491"/>
      <c r="AC899" s="491"/>
      <c r="AD899" s="493"/>
    </row>
    <row r="900" spans="18:30" x14ac:dyDescent="0.25">
      <c r="R900" s="491"/>
      <c r="S900" s="491"/>
      <c r="T900" s="491"/>
      <c r="U900" s="491"/>
      <c r="V900" s="491"/>
      <c r="W900" s="491"/>
      <c r="X900" s="491"/>
      <c r="Y900" s="491"/>
      <c r="Z900" s="491"/>
      <c r="AA900" s="491"/>
      <c r="AB900" s="491"/>
      <c r="AC900" s="491"/>
      <c r="AD900" s="493"/>
    </row>
    <row r="901" spans="18:30" x14ac:dyDescent="0.25">
      <c r="R901" s="491"/>
      <c r="S901" s="491"/>
      <c r="T901" s="491"/>
      <c r="U901" s="491"/>
      <c r="V901" s="491"/>
      <c r="W901" s="491"/>
      <c r="X901" s="491"/>
      <c r="Y901" s="491"/>
      <c r="Z901" s="491"/>
      <c r="AA901" s="491"/>
      <c r="AB901" s="491"/>
      <c r="AC901" s="491"/>
      <c r="AD901" s="493"/>
    </row>
    <row r="902" spans="18:30" x14ac:dyDescent="0.25">
      <c r="R902" s="491"/>
      <c r="S902" s="491"/>
      <c r="T902" s="491"/>
      <c r="U902" s="491"/>
      <c r="V902" s="491"/>
      <c r="W902" s="491"/>
      <c r="X902" s="491"/>
      <c r="Y902" s="491"/>
      <c r="Z902" s="491"/>
      <c r="AA902" s="491"/>
      <c r="AB902" s="491"/>
      <c r="AC902" s="491"/>
      <c r="AD902" s="493"/>
    </row>
    <row r="903" spans="18:30" x14ac:dyDescent="0.25">
      <c r="R903" s="491"/>
      <c r="S903" s="491"/>
      <c r="T903" s="491"/>
      <c r="U903" s="491"/>
      <c r="V903" s="491"/>
      <c r="W903" s="491"/>
      <c r="X903" s="491"/>
      <c r="Y903" s="491"/>
      <c r="Z903" s="491"/>
      <c r="AA903" s="491"/>
      <c r="AB903" s="491"/>
      <c r="AC903" s="491"/>
      <c r="AD903" s="493"/>
    </row>
    <row r="904" spans="18:30" x14ac:dyDescent="0.25">
      <c r="R904" s="491"/>
      <c r="S904" s="491"/>
      <c r="T904" s="491"/>
      <c r="U904" s="491"/>
      <c r="V904" s="491"/>
      <c r="W904" s="491"/>
      <c r="X904" s="491"/>
      <c r="Y904" s="491"/>
      <c r="Z904" s="491"/>
      <c r="AA904" s="491"/>
      <c r="AB904" s="491"/>
      <c r="AC904" s="491"/>
      <c r="AD904" s="493"/>
    </row>
    <row r="905" spans="18:30" x14ac:dyDescent="0.25">
      <c r="R905" s="491"/>
      <c r="S905" s="491"/>
      <c r="T905" s="491"/>
      <c r="U905" s="491"/>
      <c r="V905" s="491"/>
      <c r="W905" s="491"/>
      <c r="X905" s="491"/>
      <c r="Y905" s="491"/>
      <c r="Z905" s="491"/>
      <c r="AA905" s="491"/>
      <c r="AB905" s="491"/>
      <c r="AC905" s="491"/>
      <c r="AD905" s="493"/>
    </row>
    <row r="906" spans="18:30" x14ac:dyDescent="0.25">
      <c r="R906" s="491"/>
      <c r="S906" s="491"/>
      <c r="T906" s="491"/>
      <c r="U906" s="491"/>
      <c r="V906" s="491"/>
      <c r="W906" s="491"/>
      <c r="X906" s="491"/>
      <c r="Y906" s="491"/>
      <c r="Z906" s="491"/>
      <c r="AA906" s="491"/>
      <c r="AB906" s="491"/>
      <c r="AC906" s="491"/>
      <c r="AD906" s="493"/>
    </row>
    <row r="907" spans="18:30" x14ac:dyDescent="0.25">
      <c r="R907" s="491"/>
      <c r="S907" s="491"/>
      <c r="T907" s="491"/>
      <c r="U907" s="491"/>
      <c r="V907" s="491"/>
      <c r="W907" s="491"/>
      <c r="X907" s="491"/>
      <c r="Y907" s="491"/>
      <c r="Z907" s="491"/>
      <c r="AA907" s="491"/>
      <c r="AB907" s="491"/>
      <c r="AC907" s="491"/>
      <c r="AD907" s="493"/>
    </row>
    <row r="908" spans="18:30" x14ac:dyDescent="0.25">
      <c r="R908" s="491"/>
      <c r="S908" s="491"/>
      <c r="T908" s="491"/>
      <c r="U908" s="491"/>
      <c r="V908" s="491"/>
      <c r="W908" s="491"/>
      <c r="X908" s="491"/>
      <c r="Y908" s="491"/>
      <c r="Z908" s="491"/>
      <c r="AA908" s="491"/>
      <c r="AB908" s="491"/>
      <c r="AC908" s="491"/>
      <c r="AD908" s="493"/>
    </row>
    <row r="909" spans="18:30" x14ac:dyDescent="0.25">
      <c r="R909" s="491"/>
      <c r="S909" s="491"/>
      <c r="T909" s="491"/>
      <c r="U909" s="491"/>
      <c r="V909" s="491"/>
      <c r="W909" s="491"/>
      <c r="X909" s="491"/>
      <c r="Y909" s="491"/>
      <c r="Z909" s="491"/>
      <c r="AA909" s="491"/>
      <c r="AB909" s="491"/>
      <c r="AC909" s="491"/>
      <c r="AD909" s="493"/>
    </row>
    <row r="910" spans="18:30" x14ac:dyDescent="0.25">
      <c r="R910" s="491"/>
      <c r="S910" s="491"/>
      <c r="T910" s="491"/>
      <c r="U910" s="491"/>
      <c r="V910" s="491"/>
      <c r="W910" s="491"/>
      <c r="X910" s="491"/>
      <c r="Y910" s="491"/>
      <c r="Z910" s="491"/>
      <c r="AA910" s="491"/>
      <c r="AB910" s="491"/>
      <c r="AC910" s="491"/>
      <c r="AD910" s="493"/>
    </row>
    <row r="911" spans="18:30" x14ac:dyDescent="0.25">
      <c r="R911" s="491"/>
      <c r="S911" s="491"/>
      <c r="T911" s="491"/>
      <c r="U911" s="491"/>
      <c r="V911" s="491"/>
      <c r="W911" s="491"/>
      <c r="X911" s="491"/>
      <c r="Y911" s="491"/>
      <c r="Z911" s="491"/>
      <c r="AA911" s="491"/>
      <c r="AB911" s="491"/>
      <c r="AC911" s="491"/>
      <c r="AD911" s="493"/>
    </row>
    <row r="912" spans="18:30" x14ac:dyDescent="0.25">
      <c r="R912" s="491"/>
      <c r="S912" s="491"/>
      <c r="T912" s="491"/>
      <c r="U912" s="491"/>
      <c r="V912" s="491"/>
      <c r="W912" s="491"/>
      <c r="X912" s="491"/>
      <c r="Y912" s="491"/>
      <c r="Z912" s="491"/>
      <c r="AA912" s="491"/>
      <c r="AB912" s="491"/>
      <c r="AC912" s="491"/>
      <c r="AD912" s="493"/>
    </row>
    <row r="913" spans="18:30" x14ac:dyDescent="0.25">
      <c r="R913" s="491"/>
      <c r="S913" s="491"/>
      <c r="T913" s="491"/>
      <c r="U913" s="491"/>
      <c r="V913" s="491"/>
      <c r="W913" s="491"/>
      <c r="X913" s="491"/>
      <c r="Y913" s="491"/>
      <c r="Z913" s="491"/>
      <c r="AA913" s="491"/>
      <c r="AB913" s="491"/>
      <c r="AC913" s="491"/>
      <c r="AD913" s="493"/>
    </row>
    <row r="914" spans="18:30" x14ac:dyDescent="0.25">
      <c r="R914" s="491"/>
      <c r="S914" s="491"/>
      <c r="T914" s="491"/>
      <c r="U914" s="491"/>
      <c r="V914" s="491"/>
      <c r="W914" s="491"/>
      <c r="X914" s="491"/>
      <c r="Y914" s="491"/>
      <c r="Z914" s="491"/>
      <c r="AA914" s="491"/>
      <c r="AB914" s="491"/>
      <c r="AC914" s="491"/>
      <c r="AD914" s="493"/>
    </row>
    <row r="915" spans="18:30" x14ac:dyDescent="0.25">
      <c r="R915" s="491"/>
      <c r="S915" s="491"/>
      <c r="T915" s="491"/>
      <c r="U915" s="491"/>
      <c r="V915" s="491"/>
      <c r="W915" s="491"/>
      <c r="X915" s="491"/>
      <c r="Y915" s="491"/>
      <c r="Z915" s="491"/>
      <c r="AA915" s="491"/>
      <c r="AB915" s="491"/>
      <c r="AC915" s="491"/>
      <c r="AD915" s="493"/>
    </row>
    <row r="916" spans="18:30" x14ac:dyDescent="0.25">
      <c r="R916" s="491"/>
      <c r="S916" s="491"/>
      <c r="T916" s="491"/>
      <c r="U916" s="491"/>
      <c r="V916" s="491"/>
      <c r="W916" s="491"/>
      <c r="X916" s="491"/>
      <c r="Y916" s="491"/>
      <c r="Z916" s="491"/>
      <c r="AA916" s="491"/>
      <c r="AB916" s="491"/>
      <c r="AC916" s="491"/>
      <c r="AD916" s="493"/>
    </row>
    <row r="917" spans="18:30" x14ac:dyDescent="0.25">
      <c r="R917" s="491"/>
      <c r="S917" s="491"/>
      <c r="T917" s="491"/>
      <c r="U917" s="491"/>
      <c r="V917" s="491"/>
      <c r="W917" s="491"/>
      <c r="X917" s="491"/>
      <c r="Y917" s="491"/>
      <c r="Z917" s="491"/>
      <c r="AA917" s="491"/>
      <c r="AB917" s="491"/>
      <c r="AC917" s="491"/>
      <c r="AD917" s="493"/>
    </row>
    <row r="918" spans="18:30" x14ac:dyDescent="0.25">
      <c r="R918" s="491"/>
      <c r="S918" s="491"/>
      <c r="T918" s="491"/>
      <c r="U918" s="491"/>
      <c r="V918" s="491"/>
      <c r="W918" s="491"/>
      <c r="X918" s="491"/>
      <c r="Y918" s="491"/>
      <c r="Z918" s="491"/>
      <c r="AA918" s="491"/>
      <c r="AB918" s="491"/>
      <c r="AC918" s="491"/>
      <c r="AD918" s="493"/>
    </row>
    <row r="919" spans="18:30" x14ac:dyDescent="0.25">
      <c r="R919" s="491"/>
      <c r="S919" s="491"/>
      <c r="T919" s="491"/>
      <c r="U919" s="491"/>
      <c r="V919" s="491"/>
      <c r="W919" s="491"/>
      <c r="X919" s="491"/>
      <c r="Y919" s="491"/>
      <c r="Z919" s="491"/>
      <c r="AA919" s="491"/>
      <c r="AB919" s="491"/>
      <c r="AC919" s="491"/>
      <c r="AD919" s="493"/>
    </row>
    <row r="920" spans="18:30" x14ac:dyDescent="0.25">
      <c r="R920" s="491"/>
      <c r="S920" s="491"/>
      <c r="T920" s="491"/>
      <c r="U920" s="491"/>
      <c r="V920" s="491"/>
      <c r="W920" s="491"/>
      <c r="X920" s="491"/>
      <c r="Y920" s="491"/>
      <c r="Z920" s="491"/>
      <c r="AA920" s="491"/>
      <c r="AB920" s="491"/>
      <c r="AC920" s="491"/>
      <c r="AD920" s="493"/>
    </row>
    <row r="921" spans="18:30" x14ac:dyDescent="0.25">
      <c r="R921" s="491"/>
      <c r="S921" s="491"/>
      <c r="T921" s="491"/>
      <c r="U921" s="491"/>
      <c r="V921" s="491"/>
      <c r="W921" s="491"/>
      <c r="X921" s="491"/>
      <c r="Y921" s="491"/>
      <c r="Z921" s="491"/>
      <c r="AA921" s="491"/>
      <c r="AB921" s="491"/>
      <c r="AC921" s="491"/>
      <c r="AD921" s="493"/>
    </row>
    <row r="922" spans="18:30" x14ac:dyDescent="0.25">
      <c r="R922" s="491"/>
      <c r="S922" s="491"/>
      <c r="T922" s="491"/>
      <c r="U922" s="491"/>
      <c r="V922" s="491"/>
      <c r="W922" s="491"/>
      <c r="X922" s="491"/>
      <c r="Y922" s="491"/>
      <c r="Z922" s="491"/>
      <c r="AA922" s="491"/>
      <c r="AB922" s="491"/>
      <c r="AC922" s="491"/>
      <c r="AD922" s="493"/>
    </row>
    <row r="923" spans="18:30" x14ac:dyDescent="0.25">
      <c r="R923" s="491"/>
      <c r="S923" s="491"/>
      <c r="T923" s="491"/>
      <c r="U923" s="491"/>
      <c r="V923" s="491"/>
      <c r="W923" s="491"/>
      <c r="X923" s="491"/>
      <c r="Y923" s="491"/>
      <c r="Z923" s="491"/>
      <c r="AA923" s="491"/>
      <c r="AB923" s="491"/>
      <c r="AC923" s="491"/>
      <c r="AD923" s="493"/>
    </row>
    <row r="924" spans="18:30" x14ac:dyDescent="0.25">
      <c r="R924" s="491"/>
      <c r="S924" s="491"/>
      <c r="T924" s="491"/>
      <c r="U924" s="491"/>
      <c r="V924" s="491"/>
      <c r="W924" s="491"/>
      <c r="X924" s="491"/>
      <c r="Y924" s="491"/>
      <c r="Z924" s="491"/>
      <c r="AA924" s="491"/>
      <c r="AB924" s="491"/>
      <c r="AC924" s="491"/>
      <c r="AD924" s="493"/>
    </row>
    <row r="925" spans="18:30" x14ac:dyDescent="0.25">
      <c r="R925" s="491"/>
      <c r="S925" s="491"/>
      <c r="T925" s="491"/>
      <c r="U925" s="491"/>
      <c r="V925" s="491"/>
      <c r="W925" s="491"/>
      <c r="X925" s="491"/>
      <c r="Y925" s="491"/>
      <c r="Z925" s="491"/>
      <c r="AA925" s="491"/>
      <c r="AB925" s="491"/>
      <c r="AC925" s="491"/>
      <c r="AD925" s="493"/>
    </row>
    <row r="926" spans="18:30" x14ac:dyDescent="0.25">
      <c r="R926" s="491"/>
      <c r="S926" s="491"/>
      <c r="T926" s="491"/>
      <c r="U926" s="491"/>
      <c r="V926" s="491"/>
      <c r="W926" s="491"/>
      <c r="X926" s="491"/>
      <c r="Y926" s="491"/>
      <c r="Z926" s="491"/>
      <c r="AA926" s="491"/>
      <c r="AB926" s="491"/>
      <c r="AC926" s="491"/>
      <c r="AD926" s="493"/>
    </row>
    <row r="927" spans="18:30" x14ac:dyDescent="0.25">
      <c r="R927" s="491"/>
      <c r="S927" s="491"/>
      <c r="T927" s="491"/>
      <c r="U927" s="491"/>
      <c r="V927" s="491"/>
      <c r="W927" s="491"/>
      <c r="X927" s="491"/>
      <c r="Y927" s="491"/>
      <c r="Z927" s="491"/>
      <c r="AA927" s="491"/>
      <c r="AB927" s="491"/>
      <c r="AC927" s="491"/>
      <c r="AD927" s="493"/>
    </row>
    <row r="928" spans="18:30" x14ac:dyDescent="0.25">
      <c r="R928" s="491"/>
      <c r="S928" s="491"/>
      <c r="T928" s="491"/>
      <c r="U928" s="491"/>
      <c r="V928" s="491"/>
      <c r="W928" s="491"/>
      <c r="X928" s="491"/>
      <c r="Y928" s="491"/>
      <c r="Z928" s="491"/>
      <c r="AA928" s="491"/>
      <c r="AB928" s="491"/>
      <c r="AC928" s="491"/>
      <c r="AD928" s="493"/>
    </row>
    <row r="929" spans="18:30" x14ac:dyDescent="0.25">
      <c r="R929" s="491"/>
      <c r="S929" s="491"/>
      <c r="T929" s="491"/>
      <c r="U929" s="491"/>
      <c r="V929" s="491"/>
      <c r="W929" s="491"/>
      <c r="X929" s="491"/>
      <c r="Y929" s="491"/>
      <c r="Z929" s="491"/>
      <c r="AA929" s="491"/>
      <c r="AB929" s="491"/>
      <c r="AC929" s="491"/>
      <c r="AD929" s="493"/>
    </row>
    <row r="930" spans="18:30" x14ac:dyDescent="0.25">
      <c r="R930" s="491"/>
      <c r="S930" s="491"/>
      <c r="T930" s="491"/>
      <c r="U930" s="491"/>
      <c r="V930" s="491"/>
      <c r="W930" s="491"/>
      <c r="X930" s="491"/>
      <c r="Y930" s="491"/>
      <c r="Z930" s="491"/>
      <c r="AA930" s="491"/>
      <c r="AB930" s="491"/>
      <c r="AC930" s="491"/>
      <c r="AD930" s="493"/>
    </row>
    <row r="931" spans="18:30" x14ac:dyDescent="0.25">
      <c r="R931" s="491"/>
      <c r="S931" s="491"/>
      <c r="T931" s="491"/>
      <c r="U931" s="491"/>
      <c r="V931" s="491"/>
      <c r="W931" s="491"/>
      <c r="X931" s="491"/>
      <c r="Y931" s="491"/>
      <c r="Z931" s="491"/>
      <c r="AA931" s="491"/>
      <c r="AB931" s="491"/>
      <c r="AC931" s="491"/>
      <c r="AD931" s="493"/>
    </row>
    <row r="932" spans="18:30" x14ac:dyDescent="0.25">
      <c r="R932" s="491"/>
      <c r="S932" s="491"/>
      <c r="T932" s="491"/>
      <c r="U932" s="491"/>
      <c r="V932" s="491"/>
      <c r="W932" s="491"/>
      <c r="X932" s="491"/>
      <c r="Y932" s="491"/>
      <c r="Z932" s="491"/>
      <c r="AA932" s="491"/>
      <c r="AB932" s="491"/>
      <c r="AC932" s="491"/>
      <c r="AD932" s="493"/>
    </row>
    <row r="933" spans="18:30" x14ac:dyDescent="0.25">
      <c r="R933" s="491"/>
      <c r="S933" s="491"/>
      <c r="T933" s="491"/>
      <c r="U933" s="491"/>
      <c r="V933" s="491"/>
      <c r="W933" s="491"/>
      <c r="X933" s="491"/>
      <c r="Y933" s="491"/>
      <c r="Z933" s="491"/>
      <c r="AA933" s="491"/>
      <c r="AB933" s="491"/>
      <c r="AC933" s="491"/>
      <c r="AD933" s="493"/>
    </row>
    <row r="934" spans="18:30" x14ac:dyDescent="0.25">
      <c r="R934" s="491"/>
      <c r="S934" s="491"/>
      <c r="T934" s="491"/>
      <c r="U934" s="491"/>
      <c r="V934" s="491"/>
      <c r="W934" s="491"/>
      <c r="X934" s="491"/>
      <c r="Y934" s="491"/>
      <c r="Z934" s="491"/>
      <c r="AA934" s="491"/>
      <c r="AB934" s="491"/>
      <c r="AC934" s="491"/>
      <c r="AD934" s="493"/>
    </row>
    <row r="935" spans="18:30" x14ac:dyDescent="0.25">
      <c r="R935" s="491"/>
      <c r="S935" s="491"/>
      <c r="T935" s="491"/>
      <c r="U935" s="491"/>
      <c r="V935" s="491"/>
      <c r="W935" s="491"/>
      <c r="X935" s="491"/>
      <c r="Y935" s="491"/>
      <c r="Z935" s="491"/>
      <c r="AA935" s="491"/>
      <c r="AB935" s="491"/>
      <c r="AC935" s="491"/>
      <c r="AD935" s="493"/>
    </row>
    <row r="936" spans="18:30" x14ac:dyDescent="0.25">
      <c r="R936" s="491"/>
      <c r="S936" s="491"/>
      <c r="T936" s="491"/>
      <c r="U936" s="491"/>
      <c r="V936" s="491"/>
      <c r="W936" s="491"/>
      <c r="X936" s="491"/>
      <c r="Y936" s="491"/>
      <c r="Z936" s="491"/>
      <c r="AA936" s="491"/>
      <c r="AB936" s="491"/>
      <c r="AC936" s="491"/>
      <c r="AD936" s="493"/>
    </row>
    <row r="937" spans="18:30" x14ac:dyDescent="0.25">
      <c r="R937" s="491"/>
      <c r="S937" s="491"/>
      <c r="T937" s="491"/>
      <c r="U937" s="491"/>
      <c r="V937" s="491"/>
      <c r="W937" s="491"/>
      <c r="X937" s="491"/>
      <c r="Y937" s="491"/>
      <c r="Z937" s="491"/>
      <c r="AA937" s="491"/>
      <c r="AB937" s="491"/>
      <c r="AC937" s="491"/>
      <c r="AD937" s="493"/>
    </row>
    <row r="938" spans="18:30" x14ac:dyDescent="0.25">
      <c r="R938" s="491"/>
      <c r="S938" s="491"/>
      <c r="T938" s="491"/>
      <c r="U938" s="491"/>
      <c r="V938" s="491"/>
      <c r="W938" s="491"/>
      <c r="X938" s="491"/>
      <c r="Y938" s="491"/>
      <c r="Z938" s="491"/>
      <c r="AA938" s="491"/>
      <c r="AB938" s="491"/>
      <c r="AC938" s="491"/>
      <c r="AD938" s="493"/>
    </row>
    <row r="939" spans="18:30" x14ac:dyDescent="0.25">
      <c r="R939" s="491"/>
      <c r="S939" s="491"/>
      <c r="T939" s="491"/>
      <c r="U939" s="491"/>
      <c r="V939" s="491"/>
      <c r="W939" s="491"/>
      <c r="X939" s="491"/>
      <c r="Y939" s="491"/>
      <c r="Z939" s="491"/>
      <c r="AA939" s="491"/>
      <c r="AB939" s="491"/>
      <c r="AC939" s="491"/>
      <c r="AD939" s="493"/>
    </row>
    <row r="940" spans="18:30" x14ac:dyDescent="0.25">
      <c r="R940" s="491"/>
      <c r="S940" s="491"/>
      <c r="T940" s="491"/>
      <c r="U940" s="491"/>
      <c r="V940" s="491"/>
      <c r="W940" s="491"/>
      <c r="X940" s="491"/>
      <c r="Y940" s="491"/>
      <c r="Z940" s="491"/>
      <c r="AA940" s="491"/>
      <c r="AB940" s="491"/>
      <c r="AC940" s="491"/>
      <c r="AD940" s="493"/>
    </row>
    <row r="941" spans="18:30" x14ac:dyDescent="0.25">
      <c r="R941" s="491"/>
      <c r="S941" s="491"/>
      <c r="T941" s="491"/>
      <c r="U941" s="491"/>
      <c r="V941" s="491"/>
      <c r="W941" s="491"/>
      <c r="X941" s="491"/>
      <c r="Y941" s="491"/>
      <c r="Z941" s="491"/>
      <c r="AA941" s="491"/>
      <c r="AB941" s="491"/>
      <c r="AC941" s="491"/>
      <c r="AD941" s="493"/>
    </row>
    <row r="942" spans="18:30" x14ac:dyDescent="0.25">
      <c r="R942" s="491"/>
      <c r="S942" s="491"/>
      <c r="T942" s="491"/>
      <c r="U942" s="491"/>
      <c r="V942" s="491"/>
      <c r="W942" s="491"/>
      <c r="X942" s="491"/>
      <c r="Y942" s="491"/>
      <c r="Z942" s="491"/>
      <c r="AA942" s="491"/>
      <c r="AB942" s="491"/>
      <c r="AC942" s="491"/>
      <c r="AD942" s="493"/>
    </row>
    <row r="943" spans="18:30" x14ac:dyDescent="0.25">
      <c r="R943" s="491"/>
      <c r="S943" s="491"/>
      <c r="T943" s="491"/>
      <c r="U943" s="491"/>
      <c r="V943" s="491"/>
      <c r="W943" s="491"/>
      <c r="X943" s="491"/>
      <c r="Y943" s="491"/>
      <c r="Z943" s="491"/>
      <c r="AA943" s="491"/>
      <c r="AB943" s="491"/>
      <c r="AC943" s="491"/>
      <c r="AD943" s="493"/>
    </row>
    <row r="944" spans="18:30" x14ac:dyDescent="0.25">
      <c r="R944" s="491"/>
      <c r="S944" s="491"/>
      <c r="T944" s="491"/>
      <c r="U944" s="491"/>
      <c r="V944" s="491"/>
      <c r="W944" s="491"/>
      <c r="X944" s="491"/>
      <c r="Y944" s="491"/>
      <c r="Z944" s="491"/>
      <c r="AA944" s="491"/>
      <c r="AB944" s="491"/>
      <c r="AC944" s="491"/>
      <c r="AD944" s="493"/>
    </row>
    <row r="945" spans="18:30" x14ac:dyDescent="0.25">
      <c r="R945" s="491"/>
      <c r="S945" s="491"/>
      <c r="T945" s="491"/>
      <c r="U945" s="491"/>
      <c r="V945" s="491"/>
      <c r="W945" s="491"/>
      <c r="X945" s="491"/>
      <c r="Y945" s="491"/>
      <c r="Z945" s="491"/>
      <c r="AA945" s="491"/>
      <c r="AB945" s="491"/>
      <c r="AC945" s="491"/>
      <c r="AD945" s="493"/>
    </row>
    <row r="946" spans="18:30" x14ac:dyDescent="0.25">
      <c r="R946" s="491"/>
      <c r="S946" s="491"/>
      <c r="T946" s="491"/>
      <c r="U946" s="491"/>
      <c r="V946" s="491"/>
      <c r="W946" s="491"/>
      <c r="X946" s="491"/>
      <c r="Y946" s="491"/>
      <c r="Z946" s="491"/>
      <c r="AA946" s="491"/>
      <c r="AB946" s="491"/>
      <c r="AC946" s="491"/>
      <c r="AD946" s="493"/>
    </row>
    <row r="947" spans="18:30" x14ac:dyDescent="0.25">
      <c r="R947" s="491"/>
      <c r="S947" s="491"/>
      <c r="T947" s="491"/>
      <c r="U947" s="491"/>
      <c r="V947" s="491"/>
      <c r="W947" s="491"/>
      <c r="X947" s="491"/>
      <c r="Y947" s="491"/>
      <c r="Z947" s="491"/>
      <c r="AA947" s="491"/>
      <c r="AB947" s="491"/>
      <c r="AC947" s="491"/>
      <c r="AD947" s="493"/>
    </row>
    <row r="948" spans="18:30" x14ac:dyDescent="0.25">
      <c r="R948" s="491"/>
      <c r="S948" s="491"/>
      <c r="T948" s="491"/>
      <c r="U948" s="491"/>
      <c r="V948" s="491"/>
      <c r="W948" s="491"/>
      <c r="X948" s="491"/>
      <c r="Y948" s="491"/>
      <c r="Z948" s="491"/>
      <c r="AA948" s="491"/>
      <c r="AB948" s="491"/>
      <c r="AC948" s="491"/>
      <c r="AD948" s="493"/>
    </row>
    <row r="949" spans="18:30" x14ac:dyDescent="0.25">
      <c r="R949" s="491"/>
      <c r="S949" s="491"/>
      <c r="T949" s="491"/>
      <c r="U949" s="491"/>
      <c r="V949" s="491"/>
      <c r="W949" s="491"/>
      <c r="X949" s="491"/>
      <c r="Y949" s="491"/>
      <c r="Z949" s="491"/>
      <c r="AA949" s="491"/>
      <c r="AB949" s="491"/>
      <c r="AC949" s="491"/>
      <c r="AD949" s="493"/>
    </row>
    <row r="950" spans="18:30" x14ac:dyDescent="0.25">
      <c r="R950" s="491"/>
      <c r="S950" s="491"/>
      <c r="T950" s="491"/>
      <c r="U950" s="491"/>
      <c r="V950" s="491"/>
      <c r="W950" s="491"/>
      <c r="X950" s="491"/>
      <c r="Y950" s="491"/>
      <c r="Z950" s="491"/>
      <c r="AA950" s="491"/>
      <c r="AB950" s="491"/>
      <c r="AC950" s="491"/>
      <c r="AD950" s="493"/>
    </row>
    <row r="951" spans="18:30" x14ac:dyDescent="0.25">
      <c r="R951" s="491"/>
      <c r="S951" s="491"/>
      <c r="T951" s="491"/>
      <c r="U951" s="491"/>
      <c r="V951" s="491"/>
      <c r="W951" s="491"/>
      <c r="X951" s="491"/>
      <c r="Y951" s="491"/>
      <c r="Z951" s="491"/>
      <c r="AA951" s="491"/>
      <c r="AB951" s="491"/>
      <c r="AC951" s="491"/>
      <c r="AD951" s="493"/>
    </row>
    <row r="952" spans="18:30" x14ac:dyDescent="0.25">
      <c r="R952" s="491"/>
      <c r="S952" s="491"/>
      <c r="T952" s="491"/>
      <c r="U952" s="491"/>
      <c r="V952" s="491"/>
      <c r="W952" s="491"/>
      <c r="X952" s="491"/>
      <c r="Y952" s="491"/>
      <c r="Z952" s="491"/>
      <c r="AA952" s="491"/>
      <c r="AB952" s="491"/>
      <c r="AC952" s="491"/>
      <c r="AD952" s="493"/>
    </row>
    <row r="953" spans="18:30" x14ac:dyDescent="0.25">
      <c r="R953" s="491"/>
      <c r="S953" s="491"/>
      <c r="T953" s="491"/>
      <c r="U953" s="491"/>
      <c r="V953" s="491"/>
      <c r="W953" s="491"/>
      <c r="X953" s="491"/>
      <c r="Y953" s="491"/>
      <c r="Z953" s="491"/>
      <c r="AA953" s="491"/>
      <c r="AB953" s="491"/>
      <c r="AC953" s="491"/>
      <c r="AD953" s="493"/>
    </row>
    <row r="954" spans="18:30" x14ac:dyDescent="0.25">
      <c r="R954" s="491"/>
      <c r="S954" s="491"/>
      <c r="T954" s="491"/>
      <c r="U954" s="491"/>
      <c r="V954" s="491"/>
      <c r="W954" s="491"/>
      <c r="X954" s="491"/>
      <c r="Y954" s="491"/>
      <c r="Z954" s="491"/>
      <c r="AA954" s="491"/>
      <c r="AB954" s="491"/>
      <c r="AC954" s="491"/>
      <c r="AD954" s="493"/>
    </row>
    <row r="955" spans="18:30" x14ac:dyDescent="0.25">
      <c r="R955" s="491"/>
      <c r="S955" s="491"/>
      <c r="T955" s="491"/>
      <c r="U955" s="491"/>
      <c r="V955" s="491"/>
      <c r="W955" s="491"/>
      <c r="X955" s="491"/>
      <c r="Y955" s="491"/>
      <c r="Z955" s="491"/>
      <c r="AA955" s="491"/>
      <c r="AB955" s="491"/>
      <c r="AC955" s="491"/>
      <c r="AD955" s="493"/>
    </row>
    <row r="956" spans="18:30" x14ac:dyDescent="0.25">
      <c r="R956" s="491"/>
      <c r="S956" s="491"/>
      <c r="T956" s="491"/>
      <c r="U956" s="491"/>
      <c r="V956" s="491"/>
      <c r="W956" s="491"/>
      <c r="X956" s="491"/>
      <c r="Y956" s="491"/>
      <c r="Z956" s="491"/>
      <c r="AA956" s="491"/>
      <c r="AB956" s="491"/>
      <c r="AC956" s="491"/>
      <c r="AD956" s="493"/>
    </row>
    <row r="957" spans="18:30" x14ac:dyDescent="0.25">
      <c r="R957" s="491"/>
      <c r="S957" s="491"/>
      <c r="T957" s="491"/>
      <c r="U957" s="491"/>
      <c r="V957" s="491"/>
      <c r="W957" s="491"/>
      <c r="X957" s="491"/>
      <c r="Y957" s="491"/>
      <c r="Z957" s="491"/>
      <c r="AA957" s="491"/>
      <c r="AB957" s="491"/>
      <c r="AC957" s="491"/>
      <c r="AD957" s="493"/>
    </row>
    <row r="958" spans="18:30" x14ac:dyDescent="0.25">
      <c r="R958" s="491"/>
      <c r="S958" s="491"/>
      <c r="T958" s="491"/>
      <c r="U958" s="491"/>
      <c r="V958" s="491"/>
      <c r="W958" s="491"/>
      <c r="X958" s="491"/>
      <c r="Y958" s="491"/>
      <c r="Z958" s="491"/>
      <c r="AA958" s="491"/>
      <c r="AB958" s="491"/>
      <c r="AC958" s="491"/>
      <c r="AD958" s="493"/>
    </row>
    <row r="959" spans="18:30" x14ac:dyDescent="0.25">
      <c r="R959" s="491"/>
      <c r="S959" s="491"/>
      <c r="T959" s="491"/>
      <c r="U959" s="491"/>
      <c r="V959" s="491"/>
      <c r="W959" s="491"/>
      <c r="X959" s="491"/>
      <c r="Y959" s="491"/>
      <c r="Z959" s="491"/>
      <c r="AA959" s="491"/>
      <c r="AB959" s="491"/>
      <c r="AC959" s="491"/>
      <c r="AD959" s="493"/>
    </row>
    <row r="960" spans="18:30" x14ac:dyDescent="0.25">
      <c r="R960" s="491"/>
      <c r="S960" s="491"/>
      <c r="T960" s="491"/>
      <c r="U960" s="491"/>
      <c r="V960" s="491"/>
      <c r="W960" s="491"/>
      <c r="X960" s="491"/>
      <c r="Y960" s="491"/>
      <c r="Z960" s="491"/>
      <c r="AA960" s="491"/>
      <c r="AB960" s="491"/>
      <c r="AC960" s="491"/>
      <c r="AD960" s="493"/>
    </row>
    <row r="961" spans="18:30" x14ac:dyDescent="0.25">
      <c r="R961" s="491"/>
      <c r="S961" s="491"/>
      <c r="T961" s="491"/>
      <c r="U961" s="491"/>
      <c r="V961" s="491"/>
      <c r="W961" s="491"/>
      <c r="X961" s="491"/>
      <c r="Y961" s="491"/>
      <c r="Z961" s="491"/>
      <c r="AA961" s="491"/>
      <c r="AB961" s="491"/>
      <c r="AC961" s="491"/>
      <c r="AD961" s="493"/>
    </row>
    <row r="962" spans="18:30" x14ac:dyDescent="0.25">
      <c r="R962" s="491"/>
      <c r="S962" s="491"/>
      <c r="T962" s="491"/>
      <c r="U962" s="491"/>
      <c r="V962" s="491"/>
      <c r="W962" s="491"/>
      <c r="X962" s="491"/>
      <c r="Y962" s="491"/>
      <c r="Z962" s="491"/>
      <c r="AA962" s="491"/>
      <c r="AB962" s="491"/>
      <c r="AC962" s="491"/>
      <c r="AD962" s="493"/>
    </row>
    <row r="963" spans="18:30" x14ac:dyDescent="0.25">
      <c r="R963" s="491"/>
      <c r="S963" s="491"/>
      <c r="T963" s="491"/>
      <c r="U963" s="491"/>
      <c r="V963" s="491"/>
      <c r="W963" s="491"/>
      <c r="X963" s="491"/>
      <c r="Y963" s="491"/>
      <c r="Z963" s="491"/>
      <c r="AA963" s="491"/>
      <c r="AB963" s="491"/>
      <c r="AC963" s="491"/>
      <c r="AD963" s="493"/>
    </row>
    <row r="964" spans="18:30" x14ac:dyDescent="0.25">
      <c r="R964" s="491"/>
      <c r="S964" s="491"/>
      <c r="T964" s="491"/>
      <c r="U964" s="491"/>
      <c r="V964" s="491"/>
      <c r="W964" s="491"/>
      <c r="X964" s="491"/>
      <c r="Y964" s="491"/>
      <c r="Z964" s="491"/>
      <c r="AA964" s="491"/>
      <c r="AB964" s="491"/>
      <c r="AC964" s="491"/>
      <c r="AD964" s="493"/>
    </row>
    <row r="965" spans="18:30" x14ac:dyDescent="0.25">
      <c r="R965" s="491"/>
      <c r="S965" s="491"/>
      <c r="T965" s="491"/>
      <c r="U965" s="491"/>
      <c r="V965" s="491"/>
      <c r="W965" s="491"/>
      <c r="X965" s="491"/>
      <c r="Y965" s="491"/>
      <c r="Z965" s="491"/>
      <c r="AA965" s="491"/>
      <c r="AB965" s="491"/>
      <c r="AC965" s="491"/>
      <c r="AD965" s="493"/>
    </row>
    <row r="966" spans="18:30" x14ac:dyDescent="0.25">
      <c r="R966" s="491"/>
      <c r="S966" s="491"/>
      <c r="T966" s="491"/>
      <c r="U966" s="491"/>
      <c r="V966" s="491"/>
      <c r="W966" s="491"/>
      <c r="X966" s="491"/>
      <c r="Y966" s="491"/>
      <c r="Z966" s="491"/>
      <c r="AA966" s="491"/>
      <c r="AB966" s="491"/>
      <c r="AC966" s="491"/>
      <c r="AD966" s="493"/>
    </row>
    <row r="967" spans="18:30" x14ac:dyDescent="0.25">
      <c r="R967" s="491"/>
      <c r="S967" s="491"/>
      <c r="T967" s="491"/>
      <c r="U967" s="491"/>
      <c r="V967" s="491"/>
      <c r="W967" s="491"/>
      <c r="X967" s="491"/>
      <c r="Y967" s="491"/>
      <c r="Z967" s="491"/>
      <c r="AA967" s="491"/>
      <c r="AB967" s="491"/>
      <c r="AC967" s="491"/>
      <c r="AD967" s="493"/>
    </row>
    <row r="968" spans="18:30" x14ac:dyDescent="0.25">
      <c r="R968" s="491"/>
      <c r="S968" s="491"/>
      <c r="T968" s="491"/>
      <c r="U968" s="491"/>
      <c r="V968" s="491"/>
      <c r="W968" s="491"/>
      <c r="X968" s="491"/>
      <c r="Y968" s="491"/>
      <c r="Z968" s="491"/>
      <c r="AA968" s="491"/>
      <c r="AB968" s="491"/>
      <c r="AC968" s="491"/>
      <c r="AD968" s="493"/>
    </row>
    <row r="969" spans="18:30" x14ac:dyDescent="0.25">
      <c r="R969" s="491"/>
      <c r="S969" s="491"/>
      <c r="T969" s="491"/>
      <c r="U969" s="491"/>
      <c r="V969" s="491"/>
      <c r="W969" s="491"/>
      <c r="X969" s="491"/>
      <c r="Y969" s="491"/>
      <c r="Z969" s="491"/>
      <c r="AA969" s="491"/>
      <c r="AB969" s="491"/>
      <c r="AC969" s="491"/>
      <c r="AD969" s="493"/>
    </row>
    <row r="970" spans="18:30" x14ac:dyDescent="0.25">
      <c r="R970" s="491"/>
      <c r="S970" s="491"/>
      <c r="T970" s="491"/>
      <c r="U970" s="491"/>
      <c r="V970" s="491"/>
      <c r="W970" s="491"/>
      <c r="X970" s="491"/>
      <c r="Y970" s="491"/>
      <c r="Z970" s="491"/>
      <c r="AA970" s="491"/>
      <c r="AB970" s="491"/>
      <c r="AC970" s="491"/>
      <c r="AD970" s="493"/>
    </row>
    <row r="971" spans="18:30" x14ac:dyDescent="0.25">
      <c r="R971" s="491"/>
      <c r="S971" s="491"/>
      <c r="T971" s="491"/>
      <c r="U971" s="491"/>
      <c r="V971" s="491"/>
      <c r="W971" s="491"/>
      <c r="X971" s="491"/>
      <c r="Y971" s="491"/>
      <c r="Z971" s="491"/>
      <c r="AA971" s="491"/>
      <c r="AB971" s="491"/>
      <c r="AC971" s="491"/>
      <c r="AD971" s="493"/>
    </row>
    <row r="972" spans="18:30" x14ac:dyDescent="0.25">
      <c r="R972" s="491"/>
      <c r="S972" s="491"/>
      <c r="T972" s="491"/>
      <c r="U972" s="491"/>
      <c r="V972" s="491"/>
      <c r="W972" s="491"/>
      <c r="X972" s="491"/>
      <c r="Y972" s="491"/>
      <c r="Z972" s="491"/>
      <c r="AA972" s="491"/>
      <c r="AB972" s="491"/>
      <c r="AC972" s="491"/>
      <c r="AD972" s="493"/>
    </row>
    <row r="973" spans="18:30" x14ac:dyDescent="0.25">
      <c r="R973" s="491"/>
      <c r="S973" s="491"/>
      <c r="T973" s="491"/>
      <c r="U973" s="491"/>
      <c r="V973" s="491"/>
      <c r="W973" s="491"/>
      <c r="X973" s="491"/>
      <c r="Y973" s="491"/>
      <c r="Z973" s="491"/>
      <c r="AA973" s="491"/>
      <c r="AB973" s="491"/>
      <c r="AC973" s="491"/>
      <c r="AD973" s="493"/>
    </row>
    <row r="974" spans="18:30" x14ac:dyDescent="0.25">
      <c r="R974" s="491"/>
      <c r="S974" s="491"/>
      <c r="T974" s="491"/>
      <c r="U974" s="491"/>
      <c r="V974" s="491"/>
      <c r="W974" s="491"/>
      <c r="X974" s="491"/>
      <c r="Y974" s="491"/>
      <c r="Z974" s="491"/>
      <c r="AA974" s="491"/>
      <c r="AB974" s="491"/>
      <c r="AC974" s="491"/>
      <c r="AD974" s="493"/>
    </row>
    <row r="975" spans="18:30" x14ac:dyDescent="0.25">
      <c r="R975" s="491"/>
      <c r="S975" s="491"/>
      <c r="T975" s="491"/>
      <c r="U975" s="491"/>
      <c r="V975" s="491"/>
      <c r="W975" s="491"/>
      <c r="X975" s="491"/>
      <c r="Y975" s="491"/>
      <c r="Z975" s="491"/>
      <c r="AA975" s="491"/>
      <c r="AB975" s="491"/>
      <c r="AC975" s="491"/>
      <c r="AD975" s="493"/>
    </row>
    <row r="976" spans="18:30" x14ac:dyDescent="0.25">
      <c r="R976" s="491"/>
      <c r="S976" s="491"/>
      <c r="T976" s="491"/>
      <c r="U976" s="491"/>
      <c r="V976" s="491"/>
      <c r="W976" s="491"/>
      <c r="X976" s="491"/>
      <c r="Y976" s="491"/>
      <c r="Z976" s="491"/>
      <c r="AA976" s="491"/>
      <c r="AB976" s="491"/>
      <c r="AC976" s="491"/>
      <c r="AD976" s="493"/>
    </row>
    <row r="977" spans="18:30" x14ac:dyDescent="0.25">
      <c r="R977" s="491"/>
      <c r="S977" s="491"/>
      <c r="T977" s="491"/>
      <c r="U977" s="491"/>
      <c r="V977" s="491"/>
      <c r="W977" s="491"/>
      <c r="X977" s="491"/>
      <c r="Y977" s="491"/>
      <c r="Z977" s="491"/>
      <c r="AA977" s="491"/>
      <c r="AB977" s="491"/>
      <c r="AC977" s="491"/>
      <c r="AD977" s="493"/>
    </row>
    <row r="978" spans="18:30" x14ac:dyDescent="0.25">
      <c r="R978" s="491"/>
      <c r="S978" s="491"/>
      <c r="T978" s="491"/>
      <c r="U978" s="491"/>
      <c r="V978" s="491"/>
      <c r="W978" s="491"/>
      <c r="X978" s="491"/>
      <c r="Y978" s="491"/>
      <c r="Z978" s="491"/>
      <c r="AA978" s="491"/>
      <c r="AB978" s="491"/>
      <c r="AC978" s="491"/>
      <c r="AD978" s="493"/>
    </row>
    <row r="979" spans="18:30" x14ac:dyDescent="0.25">
      <c r="R979" s="491"/>
      <c r="S979" s="491"/>
      <c r="T979" s="491"/>
      <c r="U979" s="491"/>
      <c r="V979" s="491"/>
      <c r="W979" s="491"/>
      <c r="X979" s="491"/>
      <c r="Y979" s="491"/>
      <c r="Z979" s="491"/>
      <c r="AA979" s="491"/>
      <c r="AB979" s="491"/>
      <c r="AC979" s="491"/>
      <c r="AD979" s="493"/>
    </row>
    <row r="980" spans="18:30" x14ac:dyDescent="0.25">
      <c r="R980" s="491"/>
      <c r="S980" s="491"/>
      <c r="T980" s="491"/>
      <c r="U980" s="491"/>
      <c r="V980" s="491"/>
      <c r="W980" s="491"/>
      <c r="X980" s="491"/>
      <c r="Y980" s="491"/>
      <c r="Z980" s="491"/>
      <c r="AA980" s="491"/>
      <c r="AB980" s="491"/>
      <c r="AC980" s="491"/>
      <c r="AD980" s="493"/>
    </row>
    <row r="981" spans="18:30" x14ac:dyDescent="0.25">
      <c r="R981" s="491"/>
      <c r="S981" s="491"/>
      <c r="T981" s="491"/>
      <c r="U981" s="491"/>
      <c r="V981" s="491"/>
      <c r="W981" s="491"/>
      <c r="X981" s="491"/>
      <c r="Y981" s="491"/>
      <c r="Z981" s="491"/>
      <c r="AA981" s="491"/>
      <c r="AB981" s="491"/>
      <c r="AC981" s="491"/>
      <c r="AD981" s="493"/>
    </row>
    <row r="982" spans="18:30" x14ac:dyDescent="0.25">
      <c r="R982" s="491"/>
      <c r="S982" s="491"/>
      <c r="T982" s="491"/>
      <c r="U982" s="491"/>
      <c r="V982" s="491"/>
      <c r="W982" s="491"/>
      <c r="X982" s="491"/>
      <c r="Y982" s="491"/>
      <c r="Z982" s="491"/>
      <c r="AA982" s="491"/>
      <c r="AB982" s="491"/>
      <c r="AC982" s="491"/>
      <c r="AD982" s="493"/>
    </row>
    <row r="983" spans="18:30" x14ac:dyDescent="0.25">
      <c r="R983" s="491"/>
      <c r="S983" s="491"/>
      <c r="T983" s="491"/>
      <c r="U983" s="491"/>
      <c r="V983" s="491"/>
      <c r="W983" s="491"/>
      <c r="X983" s="491"/>
      <c r="Y983" s="491"/>
      <c r="Z983" s="491"/>
      <c r="AA983" s="491"/>
      <c r="AB983" s="491"/>
      <c r="AC983" s="491"/>
      <c r="AD983" s="493"/>
    </row>
    <row r="984" spans="18:30" x14ac:dyDescent="0.25">
      <c r="R984" s="491"/>
      <c r="S984" s="491"/>
      <c r="T984" s="491"/>
      <c r="U984" s="491"/>
      <c r="V984" s="491"/>
      <c r="W984" s="491"/>
      <c r="X984" s="491"/>
      <c r="Y984" s="491"/>
      <c r="Z984" s="491"/>
      <c r="AA984" s="491"/>
      <c r="AB984" s="491"/>
      <c r="AC984" s="491"/>
      <c r="AD984" s="493"/>
    </row>
    <row r="985" spans="18:30" x14ac:dyDescent="0.25">
      <c r="R985" s="491"/>
      <c r="S985" s="491"/>
      <c r="T985" s="491"/>
      <c r="U985" s="491"/>
      <c r="V985" s="491"/>
      <c r="W985" s="491"/>
      <c r="X985" s="491"/>
      <c r="Y985" s="491"/>
      <c r="Z985" s="491"/>
      <c r="AA985" s="491"/>
      <c r="AB985" s="491"/>
      <c r="AC985" s="491"/>
      <c r="AD985" s="493"/>
    </row>
    <row r="986" spans="18:30" x14ac:dyDescent="0.25">
      <c r="R986" s="491"/>
      <c r="S986" s="491"/>
      <c r="T986" s="491"/>
      <c r="U986" s="491"/>
      <c r="V986" s="491"/>
      <c r="W986" s="491"/>
      <c r="X986" s="491"/>
      <c r="Y986" s="491"/>
      <c r="Z986" s="491"/>
      <c r="AA986" s="491"/>
      <c r="AB986" s="491"/>
      <c r="AC986" s="491"/>
      <c r="AD986" s="493"/>
    </row>
    <row r="987" spans="18:30" x14ac:dyDescent="0.25">
      <c r="R987" s="491"/>
      <c r="S987" s="491"/>
      <c r="T987" s="491"/>
      <c r="U987" s="491"/>
      <c r="V987" s="491"/>
      <c r="W987" s="491"/>
      <c r="X987" s="491"/>
      <c r="Y987" s="491"/>
      <c r="Z987" s="491"/>
      <c r="AA987" s="491"/>
      <c r="AB987" s="491"/>
      <c r="AC987" s="491"/>
      <c r="AD987" s="493"/>
    </row>
    <row r="988" spans="18:30" x14ac:dyDescent="0.25">
      <c r="R988" s="491"/>
      <c r="S988" s="491"/>
      <c r="T988" s="491"/>
      <c r="U988" s="491"/>
      <c r="V988" s="491"/>
      <c r="W988" s="491"/>
      <c r="X988" s="491"/>
      <c r="Y988" s="491"/>
      <c r="Z988" s="491"/>
      <c r="AA988" s="491"/>
      <c r="AB988" s="491"/>
      <c r="AC988" s="491"/>
      <c r="AD988" s="493"/>
    </row>
    <row r="989" spans="18:30" x14ac:dyDescent="0.25">
      <c r="R989" s="491"/>
      <c r="S989" s="491"/>
      <c r="T989" s="491"/>
      <c r="U989" s="491"/>
      <c r="V989" s="491"/>
      <c r="W989" s="491"/>
      <c r="X989" s="491"/>
      <c r="Y989" s="491"/>
      <c r="Z989" s="491"/>
      <c r="AA989" s="491"/>
      <c r="AB989" s="491"/>
      <c r="AC989" s="491"/>
      <c r="AD989" s="493"/>
    </row>
    <row r="990" spans="18:30" x14ac:dyDescent="0.25">
      <c r="R990" s="491"/>
      <c r="S990" s="491"/>
      <c r="T990" s="491"/>
      <c r="U990" s="491"/>
      <c r="V990" s="491"/>
      <c r="W990" s="491"/>
      <c r="X990" s="491"/>
      <c r="Y990" s="491"/>
      <c r="Z990" s="491"/>
      <c r="AA990" s="491"/>
      <c r="AB990" s="491"/>
      <c r="AC990" s="491"/>
      <c r="AD990" s="493"/>
    </row>
    <row r="991" spans="18:30" x14ac:dyDescent="0.25">
      <c r="R991" s="491"/>
      <c r="S991" s="491"/>
      <c r="T991" s="491"/>
      <c r="U991" s="491"/>
      <c r="V991" s="491"/>
      <c r="W991" s="491"/>
      <c r="X991" s="491"/>
      <c r="Y991" s="491"/>
      <c r="Z991" s="491"/>
      <c r="AA991" s="491"/>
      <c r="AB991" s="491"/>
      <c r="AC991" s="491"/>
      <c r="AD991" s="493"/>
    </row>
    <row r="992" spans="18:30" x14ac:dyDescent="0.25">
      <c r="R992" s="491"/>
      <c r="S992" s="491"/>
      <c r="T992" s="491"/>
      <c r="U992" s="491"/>
      <c r="V992" s="491"/>
      <c r="W992" s="491"/>
      <c r="X992" s="491"/>
      <c r="Y992" s="491"/>
      <c r="Z992" s="491"/>
      <c r="AA992" s="491"/>
      <c r="AB992" s="491"/>
      <c r="AC992" s="491"/>
      <c r="AD992" s="493"/>
    </row>
    <row r="993" spans="18:30" x14ac:dyDescent="0.25">
      <c r="R993" s="491"/>
      <c r="S993" s="491"/>
      <c r="T993" s="491"/>
      <c r="U993" s="491"/>
      <c r="V993" s="491"/>
      <c r="W993" s="491"/>
      <c r="X993" s="491"/>
      <c r="Y993" s="491"/>
      <c r="Z993" s="491"/>
      <c r="AA993" s="491"/>
      <c r="AB993" s="491"/>
      <c r="AC993" s="491"/>
      <c r="AD993" s="493"/>
    </row>
    <row r="994" spans="18:30" x14ac:dyDescent="0.25">
      <c r="R994" s="491"/>
      <c r="S994" s="491"/>
      <c r="T994" s="491"/>
      <c r="U994" s="491"/>
      <c r="V994" s="491"/>
      <c r="W994" s="491"/>
      <c r="X994" s="491"/>
      <c r="Y994" s="491"/>
      <c r="Z994" s="491"/>
      <c r="AA994" s="491"/>
      <c r="AB994" s="491"/>
      <c r="AC994" s="491"/>
      <c r="AD994" s="493"/>
    </row>
    <row r="995" spans="18:30" x14ac:dyDescent="0.25">
      <c r="R995" s="491"/>
      <c r="S995" s="491"/>
      <c r="T995" s="491"/>
      <c r="U995" s="491"/>
      <c r="V995" s="491"/>
      <c r="W995" s="491"/>
      <c r="X995" s="491"/>
      <c r="Y995" s="491"/>
      <c r="Z995" s="491"/>
      <c r="AA995" s="491"/>
      <c r="AB995" s="491"/>
      <c r="AC995" s="491"/>
      <c r="AD995" s="493"/>
    </row>
    <row r="996" spans="18:30" x14ac:dyDescent="0.25">
      <c r="R996" s="491"/>
      <c r="S996" s="491"/>
      <c r="T996" s="491"/>
      <c r="U996" s="491"/>
      <c r="V996" s="491"/>
      <c r="W996" s="491"/>
      <c r="X996" s="491"/>
      <c r="Y996" s="491"/>
      <c r="Z996" s="491"/>
      <c r="AA996" s="491"/>
      <c r="AB996" s="491"/>
      <c r="AC996" s="491"/>
      <c r="AD996" s="493"/>
    </row>
    <row r="997" spans="18:30" x14ac:dyDescent="0.25">
      <c r="R997" s="491"/>
      <c r="S997" s="491"/>
      <c r="T997" s="491"/>
      <c r="U997" s="491"/>
      <c r="V997" s="491"/>
      <c r="W997" s="491"/>
      <c r="X997" s="491"/>
      <c r="Y997" s="491"/>
      <c r="Z997" s="491"/>
      <c r="AA997" s="491"/>
      <c r="AB997" s="491"/>
      <c r="AC997" s="491"/>
      <c r="AD997" s="493"/>
    </row>
    <row r="998" spans="18:30" x14ac:dyDescent="0.25">
      <c r="R998" s="491"/>
      <c r="S998" s="491"/>
      <c r="T998" s="491"/>
      <c r="U998" s="491"/>
      <c r="V998" s="491"/>
      <c r="W998" s="491"/>
      <c r="X998" s="491"/>
      <c r="Y998" s="491"/>
      <c r="Z998" s="491"/>
      <c r="AA998" s="491"/>
      <c r="AB998" s="491"/>
      <c r="AC998" s="491"/>
      <c r="AD998" s="493"/>
    </row>
    <row r="999" spans="18:30" x14ac:dyDescent="0.25">
      <c r="R999" s="491"/>
      <c r="S999" s="491"/>
      <c r="T999" s="491"/>
      <c r="U999" s="491"/>
      <c r="V999" s="491"/>
      <c r="W999" s="491"/>
      <c r="X999" s="491"/>
      <c r="Y999" s="491"/>
      <c r="Z999" s="491"/>
      <c r="AA999" s="491"/>
      <c r="AB999" s="491"/>
      <c r="AC999" s="491"/>
      <c r="AD999" s="493"/>
    </row>
    <row r="1000" spans="18:30" x14ac:dyDescent="0.25">
      <c r="R1000" s="491"/>
      <c r="S1000" s="491"/>
      <c r="T1000" s="491"/>
      <c r="U1000" s="491"/>
      <c r="V1000" s="491"/>
      <c r="W1000" s="491"/>
      <c r="X1000" s="491"/>
      <c r="Y1000" s="491"/>
      <c r="Z1000" s="491"/>
      <c r="AA1000" s="491"/>
      <c r="AB1000" s="491"/>
      <c r="AC1000" s="491"/>
      <c r="AD1000" s="493"/>
    </row>
    <row r="1001" spans="18:30" x14ac:dyDescent="0.25">
      <c r="R1001" s="491"/>
      <c r="S1001" s="491"/>
      <c r="T1001" s="491"/>
      <c r="U1001" s="491"/>
      <c r="V1001" s="491"/>
      <c r="W1001" s="491"/>
      <c r="X1001" s="491"/>
      <c r="Y1001" s="491"/>
      <c r="Z1001" s="491"/>
      <c r="AA1001" s="491"/>
      <c r="AB1001" s="491"/>
      <c r="AC1001" s="491"/>
      <c r="AD1001" s="493"/>
    </row>
    <row r="1002" spans="18:30" x14ac:dyDescent="0.25">
      <c r="R1002" s="491"/>
      <c r="S1002" s="491"/>
      <c r="T1002" s="491"/>
      <c r="U1002" s="491"/>
      <c r="V1002" s="491"/>
      <c r="W1002" s="491"/>
      <c r="X1002" s="491"/>
      <c r="Y1002" s="491"/>
      <c r="Z1002" s="491"/>
      <c r="AA1002" s="491"/>
      <c r="AB1002" s="491"/>
      <c r="AC1002" s="491"/>
      <c r="AD1002" s="493"/>
    </row>
    <row r="1003" spans="18:30" x14ac:dyDescent="0.25">
      <c r="R1003" s="491"/>
      <c r="S1003" s="491"/>
      <c r="T1003" s="491"/>
      <c r="U1003" s="491"/>
      <c r="V1003" s="491"/>
      <c r="W1003" s="491"/>
      <c r="X1003" s="491"/>
      <c r="Y1003" s="491"/>
      <c r="Z1003" s="491"/>
      <c r="AA1003" s="491"/>
      <c r="AB1003" s="491"/>
      <c r="AC1003" s="491"/>
      <c r="AD1003" s="493"/>
    </row>
    <row r="1004" spans="18:30" x14ac:dyDescent="0.25">
      <c r="R1004" s="491"/>
      <c r="S1004" s="491"/>
      <c r="T1004" s="491"/>
      <c r="U1004" s="491"/>
      <c r="V1004" s="491"/>
      <c r="W1004" s="491"/>
      <c r="X1004" s="491"/>
      <c r="Y1004" s="491"/>
      <c r="Z1004" s="491"/>
      <c r="AA1004" s="491"/>
      <c r="AB1004" s="491"/>
      <c r="AC1004" s="491"/>
      <c r="AD1004" s="493"/>
    </row>
    <row r="1005" spans="18:30" x14ac:dyDescent="0.25">
      <c r="R1005" s="491"/>
      <c r="S1005" s="491"/>
      <c r="T1005" s="491"/>
      <c r="U1005" s="491"/>
      <c r="V1005" s="491"/>
      <c r="W1005" s="491"/>
      <c r="X1005" s="491"/>
      <c r="Y1005" s="491"/>
      <c r="Z1005" s="491"/>
      <c r="AA1005" s="491"/>
      <c r="AB1005" s="491"/>
      <c r="AC1005" s="491"/>
      <c r="AD1005" s="493"/>
    </row>
    <row r="1006" spans="18:30" x14ac:dyDescent="0.25">
      <c r="R1006" s="491"/>
      <c r="S1006" s="491"/>
      <c r="T1006" s="491"/>
      <c r="U1006" s="491"/>
      <c r="V1006" s="491"/>
      <c r="W1006" s="491"/>
      <c r="X1006" s="491"/>
      <c r="Y1006" s="491"/>
      <c r="Z1006" s="491"/>
      <c r="AA1006" s="491"/>
      <c r="AB1006" s="491"/>
      <c r="AC1006" s="491"/>
      <c r="AD1006" s="493"/>
    </row>
    <row r="1007" spans="18:30" x14ac:dyDescent="0.25">
      <c r="R1007" s="491"/>
      <c r="S1007" s="491"/>
      <c r="T1007" s="491"/>
      <c r="U1007" s="491"/>
      <c r="V1007" s="491"/>
      <c r="W1007" s="491"/>
      <c r="X1007" s="491"/>
      <c r="Y1007" s="491"/>
      <c r="Z1007" s="491"/>
      <c r="AA1007" s="491"/>
      <c r="AB1007" s="491"/>
      <c r="AC1007" s="491"/>
      <c r="AD1007" s="493"/>
    </row>
    <row r="1008" spans="18:30" x14ac:dyDescent="0.25">
      <c r="R1008" s="491"/>
      <c r="S1008" s="491"/>
      <c r="T1008" s="491"/>
      <c r="U1008" s="491"/>
      <c r="V1008" s="491"/>
      <c r="W1008" s="491"/>
      <c r="X1008" s="491"/>
      <c r="Y1008" s="491"/>
      <c r="Z1008" s="491"/>
      <c r="AA1008" s="491"/>
      <c r="AB1008" s="491"/>
      <c r="AC1008" s="491"/>
      <c r="AD1008" s="493"/>
    </row>
    <row r="1009" spans="18:30" x14ac:dyDescent="0.25">
      <c r="R1009" s="491"/>
      <c r="S1009" s="491"/>
      <c r="T1009" s="491"/>
      <c r="U1009" s="491"/>
      <c r="V1009" s="491"/>
      <c r="W1009" s="491"/>
      <c r="X1009" s="491"/>
      <c r="Y1009" s="491"/>
      <c r="Z1009" s="491"/>
      <c r="AA1009" s="491"/>
      <c r="AB1009" s="491"/>
      <c r="AC1009" s="491"/>
      <c r="AD1009" s="493"/>
    </row>
    <row r="1010" spans="18:30" x14ac:dyDescent="0.25">
      <c r="R1010" s="491"/>
      <c r="S1010" s="491"/>
      <c r="T1010" s="491"/>
      <c r="U1010" s="491"/>
      <c r="V1010" s="491"/>
      <c r="W1010" s="491"/>
      <c r="X1010" s="491"/>
      <c r="Y1010" s="491"/>
      <c r="Z1010" s="491"/>
      <c r="AA1010" s="491"/>
      <c r="AB1010" s="491"/>
      <c r="AC1010" s="491"/>
      <c r="AD1010" s="493"/>
    </row>
    <row r="1011" spans="18:30" x14ac:dyDescent="0.25">
      <c r="R1011" s="491"/>
      <c r="S1011" s="491"/>
      <c r="T1011" s="491"/>
      <c r="U1011" s="491"/>
      <c r="V1011" s="491"/>
      <c r="W1011" s="491"/>
      <c r="X1011" s="491"/>
      <c r="Y1011" s="491"/>
      <c r="Z1011" s="491"/>
      <c r="AA1011" s="491"/>
      <c r="AB1011" s="491"/>
      <c r="AC1011" s="491"/>
      <c r="AD1011" s="493"/>
    </row>
    <row r="1012" spans="18:30" x14ac:dyDescent="0.25">
      <c r="R1012" s="491"/>
      <c r="S1012" s="491"/>
      <c r="T1012" s="491"/>
      <c r="U1012" s="491"/>
      <c r="V1012" s="491"/>
      <c r="W1012" s="491"/>
      <c r="X1012" s="491"/>
      <c r="Y1012" s="491"/>
      <c r="Z1012" s="491"/>
      <c r="AA1012" s="491"/>
      <c r="AB1012" s="491"/>
      <c r="AC1012" s="491"/>
      <c r="AD1012" s="493"/>
    </row>
    <row r="1013" spans="18:30" x14ac:dyDescent="0.25">
      <c r="R1013" s="491"/>
      <c r="S1013" s="491"/>
      <c r="T1013" s="491"/>
      <c r="U1013" s="491"/>
      <c r="V1013" s="491"/>
      <c r="W1013" s="491"/>
      <c r="X1013" s="491"/>
      <c r="Y1013" s="491"/>
      <c r="Z1013" s="491"/>
      <c r="AA1013" s="491"/>
      <c r="AB1013" s="491"/>
      <c r="AC1013" s="491"/>
      <c r="AD1013" s="493"/>
    </row>
    <row r="1014" spans="18:30" x14ac:dyDescent="0.25">
      <c r="R1014" s="491"/>
      <c r="S1014" s="491"/>
      <c r="T1014" s="491"/>
      <c r="U1014" s="491"/>
      <c r="V1014" s="491"/>
      <c r="W1014" s="491"/>
      <c r="X1014" s="491"/>
      <c r="Y1014" s="491"/>
      <c r="Z1014" s="491"/>
      <c r="AA1014" s="491"/>
      <c r="AB1014" s="491"/>
      <c r="AC1014" s="491"/>
      <c r="AD1014" s="493"/>
    </row>
    <row r="1015" spans="18:30" x14ac:dyDescent="0.25">
      <c r="R1015" s="491"/>
      <c r="S1015" s="491"/>
      <c r="T1015" s="491"/>
      <c r="U1015" s="491"/>
      <c r="V1015" s="491"/>
      <c r="W1015" s="491"/>
      <c r="X1015" s="491"/>
      <c r="Y1015" s="491"/>
      <c r="Z1015" s="491"/>
      <c r="AA1015" s="491"/>
      <c r="AB1015" s="491"/>
      <c r="AC1015" s="491"/>
      <c r="AD1015" s="493"/>
    </row>
    <row r="1016" spans="18:30" x14ac:dyDescent="0.25">
      <c r="R1016" s="491"/>
      <c r="S1016" s="491"/>
      <c r="T1016" s="491"/>
      <c r="U1016" s="491"/>
      <c r="V1016" s="491"/>
      <c r="W1016" s="491"/>
      <c r="X1016" s="491"/>
      <c r="Y1016" s="491"/>
      <c r="Z1016" s="491"/>
      <c r="AA1016" s="491"/>
      <c r="AB1016" s="491"/>
      <c r="AC1016" s="491"/>
      <c r="AD1016" s="493"/>
    </row>
    <row r="1017" spans="18:30" x14ac:dyDescent="0.25">
      <c r="R1017" s="491"/>
      <c r="S1017" s="491"/>
      <c r="T1017" s="491"/>
      <c r="U1017" s="491"/>
      <c r="V1017" s="491"/>
      <c r="W1017" s="491"/>
      <c r="X1017" s="491"/>
      <c r="Y1017" s="491"/>
      <c r="Z1017" s="491"/>
      <c r="AA1017" s="491"/>
      <c r="AB1017" s="491"/>
      <c r="AC1017" s="491"/>
      <c r="AD1017" s="493"/>
    </row>
    <row r="1018" spans="18:30" x14ac:dyDescent="0.25">
      <c r="R1018" s="491"/>
      <c r="S1018" s="491"/>
      <c r="T1018" s="491"/>
      <c r="U1018" s="491"/>
      <c r="V1018" s="491"/>
      <c r="W1018" s="491"/>
      <c r="X1018" s="491"/>
      <c r="Y1018" s="491"/>
      <c r="Z1018" s="491"/>
      <c r="AA1018" s="491"/>
      <c r="AB1018" s="491"/>
      <c r="AC1018" s="491"/>
      <c r="AD1018" s="493"/>
    </row>
    <row r="1019" spans="18:30" x14ac:dyDescent="0.25">
      <c r="R1019" s="491"/>
      <c r="S1019" s="491"/>
      <c r="T1019" s="491"/>
      <c r="U1019" s="491"/>
      <c r="V1019" s="491"/>
      <c r="W1019" s="491"/>
      <c r="X1019" s="491"/>
      <c r="Y1019" s="491"/>
      <c r="Z1019" s="491"/>
      <c r="AA1019" s="491"/>
      <c r="AB1019" s="491"/>
      <c r="AC1019" s="491"/>
      <c r="AD1019" s="493"/>
    </row>
    <row r="1020" spans="18:30" x14ac:dyDescent="0.25">
      <c r="R1020" s="491"/>
      <c r="S1020" s="491"/>
      <c r="T1020" s="491"/>
      <c r="U1020" s="491"/>
      <c r="V1020" s="491"/>
      <c r="W1020" s="491"/>
      <c r="X1020" s="491"/>
      <c r="Y1020" s="491"/>
      <c r="Z1020" s="491"/>
      <c r="AA1020" s="491"/>
      <c r="AB1020" s="491"/>
      <c r="AC1020" s="491"/>
      <c r="AD1020" s="493"/>
    </row>
    <row r="1021" spans="18:30" x14ac:dyDescent="0.25">
      <c r="R1021" s="491"/>
      <c r="S1021" s="491"/>
      <c r="T1021" s="491"/>
      <c r="U1021" s="491"/>
      <c r="V1021" s="491"/>
      <c r="W1021" s="491"/>
      <c r="X1021" s="491"/>
      <c r="Y1021" s="491"/>
      <c r="Z1021" s="491"/>
      <c r="AA1021" s="491"/>
      <c r="AB1021" s="491"/>
      <c r="AC1021" s="491"/>
      <c r="AD1021" s="493"/>
    </row>
    <row r="1022" spans="18:30" x14ac:dyDescent="0.25">
      <c r="R1022" s="491"/>
      <c r="S1022" s="491"/>
      <c r="T1022" s="491"/>
      <c r="U1022" s="491"/>
      <c r="V1022" s="491"/>
      <c r="W1022" s="491"/>
      <c r="X1022" s="491"/>
      <c r="Y1022" s="491"/>
      <c r="Z1022" s="491"/>
      <c r="AA1022" s="491"/>
      <c r="AB1022" s="491"/>
      <c r="AC1022" s="491"/>
      <c r="AD1022" s="493"/>
    </row>
    <row r="1023" spans="18:30" x14ac:dyDescent="0.25">
      <c r="R1023" s="491"/>
      <c r="S1023" s="491"/>
      <c r="T1023" s="491"/>
      <c r="U1023" s="491"/>
      <c r="V1023" s="491"/>
      <c r="W1023" s="491"/>
      <c r="X1023" s="491"/>
      <c r="Y1023" s="491"/>
      <c r="Z1023" s="491"/>
      <c r="AA1023" s="491"/>
      <c r="AB1023" s="491"/>
      <c r="AC1023" s="491"/>
      <c r="AD1023" s="493"/>
    </row>
    <row r="1024" spans="18:30" x14ac:dyDescent="0.25">
      <c r="R1024" s="491"/>
      <c r="S1024" s="491"/>
      <c r="T1024" s="491"/>
      <c r="U1024" s="491"/>
      <c r="V1024" s="491"/>
      <c r="W1024" s="491"/>
      <c r="X1024" s="491"/>
      <c r="Y1024" s="491"/>
      <c r="Z1024" s="491"/>
      <c r="AA1024" s="491"/>
      <c r="AB1024" s="491"/>
      <c r="AC1024" s="491"/>
      <c r="AD1024" s="493"/>
    </row>
    <row r="1025" spans="18:30" x14ac:dyDescent="0.25">
      <c r="R1025" s="491"/>
      <c r="S1025" s="491"/>
      <c r="T1025" s="491"/>
      <c r="U1025" s="491"/>
      <c r="V1025" s="491"/>
      <c r="W1025" s="491"/>
      <c r="X1025" s="491"/>
      <c r="Y1025" s="491"/>
      <c r="Z1025" s="491"/>
      <c r="AA1025" s="491"/>
      <c r="AB1025" s="491"/>
      <c r="AC1025" s="491"/>
      <c r="AD1025" s="493"/>
    </row>
    <row r="1026" spans="18:30" x14ac:dyDescent="0.25">
      <c r="R1026" s="491"/>
      <c r="S1026" s="491"/>
      <c r="T1026" s="491"/>
      <c r="U1026" s="491"/>
      <c r="V1026" s="491"/>
      <c r="W1026" s="491"/>
      <c r="X1026" s="491"/>
      <c r="Y1026" s="491"/>
      <c r="Z1026" s="491"/>
      <c r="AA1026" s="491"/>
      <c r="AB1026" s="491"/>
      <c r="AC1026" s="491"/>
      <c r="AD1026" s="493"/>
    </row>
    <row r="1027" spans="18:30" x14ac:dyDescent="0.25">
      <c r="R1027" s="491"/>
      <c r="S1027" s="491"/>
      <c r="T1027" s="491"/>
      <c r="U1027" s="491"/>
      <c r="V1027" s="491"/>
      <c r="W1027" s="491"/>
      <c r="X1027" s="491"/>
      <c r="Y1027" s="491"/>
      <c r="Z1027" s="491"/>
      <c r="AA1027" s="491"/>
      <c r="AB1027" s="491"/>
      <c r="AC1027" s="491"/>
      <c r="AD1027" s="493"/>
    </row>
    <row r="1028" spans="18:30" x14ac:dyDescent="0.25">
      <c r="R1028" s="491"/>
      <c r="S1028" s="491"/>
      <c r="T1028" s="491"/>
      <c r="U1028" s="491"/>
      <c r="V1028" s="491"/>
      <c r="W1028" s="491"/>
      <c r="X1028" s="491"/>
      <c r="Y1028" s="491"/>
      <c r="Z1028" s="491"/>
      <c r="AA1028" s="491"/>
      <c r="AB1028" s="491"/>
      <c r="AC1028" s="491"/>
      <c r="AD1028" s="493"/>
    </row>
    <row r="1029" spans="18:30" x14ac:dyDescent="0.25">
      <c r="R1029" s="491"/>
      <c r="S1029" s="491"/>
      <c r="T1029" s="491"/>
      <c r="U1029" s="491"/>
      <c r="V1029" s="491"/>
      <c r="W1029" s="491"/>
      <c r="X1029" s="491"/>
      <c r="Y1029" s="491"/>
      <c r="Z1029" s="491"/>
      <c r="AA1029" s="491"/>
      <c r="AB1029" s="491"/>
      <c r="AC1029" s="491"/>
      <c r="AD1029" s="493"/>
    </row>
    <row r="1030" spans="18:30" x14ac:dyDescent="0.25">
      <c r="R1030" s="491"/>
      <c r="S1030" s="491"/>
      <c r="T1030" s="491"/>
      <c r="U1030" s="491"/>
      <c r="V1030" s="491"/>
      <c r="W1030" s="491"/>
      <c r="X1030" s="491"/>
      <c r="Y1030" s="491"/>
      <c r="Z1030" s="491"/>
      <c r="AA1030" s="491"/>
      <c r="AB1030" s="491"/>
      <c r="AC1030" s="491"/>
      <c r="AD1030" s="493"/>
    </row>
    <row r="1031" spans="18:30" x14ac:dyDescent="0.25">
      <c r="R1031" s="491"/>
      <c r="S1031" s="491"/>
      <c r="T1031" s="491"/>
      <c r="U1031" s="491"/>
      <c r="V1031" s="491"/>
      <c r="W1031" s="491"/>
      <c r="X1031" s="491"/>
      <c r="Y1031" s="491"/>
      <c r="Z1031" s="491"/>
      <c r="AA1031" s="491"/>
      <c r="AB1031" s="491"/>
      <c r="AC1031" s="491"/>
      <c r="AD1031" s="493"/>
    </row>
    <row r="1032" spans="18:30" x14ac:dyDescent="0.25">
      <c r="R1032" s="491"/>
      <c r="S1032" s="491"/>
      <c r="T1032" s="491"/>
      <c r="U1032" s="491"/>
      <c r="V1032" s="491"/>
      <c r="W1032" s="491"/>
      <c r="X1032" s="491"/>
      <c r="Y1032" s="491"/>
      <c r="Z1032" s="491"/>
      <c r="AA1032" s="491"/>
      <c r="AB1032" s="491"/>
      <c r="AC1032" s="491"/>
      <c r="AD1032" s="493"/>
    </row>
    <row r="1033" spans="18:30" x14ac:dyDescent="0.25">
      <c r="R1033" s="491"/>
      <c r="S1033" s="491"/>
      <c r="T1033" s="491"/>
      <c r="U1033" s="491"/>
      <c r="V1033" s="491"/>
      <c r="W1033" s="491"/>
      <c r="X1033" s="491"/>
      <c r="Y1033" s="491"/>
      <c r="Z1033" s="491"/>
      <c r="AA1033" s="491"/>
      <c r="AB1033" s="491"/>
      <c r="AC1033" s="491"/>
      <c r="AD1033" s="493"/>
    </row>
    <row r="1034" spans="18:30" x14ac:dyDescent="0.25">
      <c r="R1034" s="491"/>
      <c r="S1034" s="491"/>
      <c r="T1034" s="491"/>
      <c r="U1034" s="491"/>
      <c r="V1034" s="491"/>
      <c r="W1034" s="491"/>
      <c r="X1034" s="491"/>
      <c r="Y1034" s="491"/>
      <c r="Z1034" s="491"/>
      <c r="AA1034" s="491"/>
      <c r="AB1034" s="491"/>
      <c r="AC1034" s="491"/>
      <c r="AD1034" s="493"/>
    </row>
    <row r="1035" spans="18:30" x14ac:dyDescent="0.25">
      <c r="R1035" s="491"/>
      <c r="S1035" s="491"/>
      <c r="T1035" s="491"/>
      <c r="U1035" s="491"/>
      <c r="V1035" s="491"/>
      <c r="W1035" s="491"/>
      <c r="X1035" s="491"/>
      <c r="Y1035" s="491"/>
      <c r="Z1035" s="491"/>
      <c r="AA1035" s="491"/>
      <c r="AB1035" s="491"/>
      <c r="AC1035" s="491"/>
      <c r="AD1035" s="493"/>
    </row>
    <row r="1036" spans="18:30" x14ac:dyDescent="0.25">
      <c r="R1036" s="491"/>
      <c r="S1036" s="491"/>
      <c r="T1036" s="491"/>
      <c r="U1036" s="491"/>
      <c r="V1036" s="491"/>
      <c r="W1036" s="491"/>
      <c r="X1036" s="491"/>
      <c r="Y1036" s="491"/>
      <c r="Z1036" s="491"/>
      <c r="AA1036" s="491"/>
      <c r="AB1036" s="491"/>
      <c r="AC1036" s="491"/>
      <c r="AD1036" s="493"/>
    </row>
    <row r="1037" spans="18:30" x14ac:dyDescent="0.25">
      <c r="R1037" s="491"/>
      <c r="S1037" s="491"/>
      <c r="T1037" s="491"/>
      <c r="U1037" s="491"/>
      <c r="V1037" s="491"/>
      <c r="W1037" s="491"/>
      <c r="X1037" s="491"/>
      <c r="Y1037" s="491"/>
      <c r="Z1037" s="491"/>
      <c r="AA1037" s="491"/>
      <c r="AB1037" s="491"/>
      <c r="AC1037" s="491"/>
      <c r="AD1037" s="493"/>
    </row>
    <row r="1038" spans="18:30" x14ac:dyDescent="0.25">
      <c r="R1038" s="491"/>
      <c r="S1038" s="491"/>
      <c r="T1038" s="491"/>
      <c r="U1038" s="491"/>
      <c r="V1038" s="491"/>
      <c r="W1038" s="491"/>
      <c r="X1038" s="491"/>
      <c r="Y1038" s="491"/>
      <c r="Z1038" s="491"/>
      <c r="AA1038" s="491"/>
      <c r="AB1038" s="491"/>
      <c r="AC1038" s="491"/>
      <c r="AD1038" s="493"/>
    </row>
    <row r="1039" spans="18:30" x14ac:dyDescent="0.25">
      <c r="R1039" s="491"/>
      <c r="S1039" s="491"/>
      <c r="T1039" s="491"/>
      <c r="U1039" s="491"/>
      <c r="V1039" s="491"/>
      <c r="W1039" s="491"/>
      <c r="X1039" s="491"/>
      <c r="Y1039" s="491"/>
      <c r="Z1039" s="491"/>
      <c r="AA1039" s="491"/>
      <c r="AB1039" s="491"/>
      <c r="AC1039" s="491"/>
      <c r="AD1039" s="493"/>
    </row>
    <row r="1040" spans="18:30" x14ac:dyDescent="0.25">
      <c r="R1040" s="491"/>
      <c r="S1040" s="491"/>
      <c r="T1040" s="491"/>
      <c r="U1040" s="491"/>
      <c r="V1040" s="491"/>
      <c r="W1040" s="491"/>
      <c r="X1040" s="491"/>
      <c r="Y1040" s="491"/>
      <c r="Z1040" s="491"/>
      <c r="AA1040" s="491"/>
      <c r="AB1040" s="491"/>
      <c r="AC1040" s="491"/>
      <c r="AD1040" s="493"/>
    </row>
    <row r="1041" spans="18:30" x14ac:dyDescent="0.25">
      <c r="R1041" s="491"/>
      <c r="S1041" s="491"/>
      <c r="T1041" s="491"/>
      <c r="U1041" s="491"/>
      <c r="V1041" s="491"/>
      <c r="W1041" s="491"/>
      <c r="X1041" s="491"/>
      <c r="Y1041" s="491"/>
      <c r="Z1041" s="491"/>
      <c r="AA1041" s="491"/>
      <c r="AB1041" s="491"/>
      <c r="AC1041" s="491"/>
      <c r="AD1041" s="493"/>
    </row>
    <row r="1042" spans="18:30" x14ac:dyDescent="0.25">
      <c r="R1042" s="491"/>
      <c r="S1042" s="491"/>
      <c r="T1042" s="491"/>
      <c r="U1042" s="491"/>
      <c r="V1042" s="491"/>
      <c r="W1042" s="491"/>
      <c r="X1042" s="491"/>
      <c r="Y1042" s="491"/>
      <c r="Z1042" s="491"/>
      <c r="AA1042" s="491"/>
      <c r="AB1042" s="491"/>
      <c r="AC1042" s="491"/>
      <c r="AD1042" s="493"/>
    </row>
    <row r="1043" spans="18:30" x14ac:dyDescent="0.25">
      <c r="R1043" s="491"/>
      <c r="S1043" s="491"/>
      <c r="T1043" s="491"/>
      <c r="U1043" s="491"/>
      <c r="V1043" s="491"/>
      <c r="W1043" s="491"/>
      <c r="X1043" s="491"/>
      <c r="Y1043" s="491"/>
      <c r="Z1043" s="491"/>
      <c r="AA1043" s="491"/>
      <c r="AB1043" s="491"/>
      <c r="AC1043" s="491"/>
      <c r="AD1043" s="493"/>
    </row>
    <row r="1044" spans="18:30" x14ac:dyDescent="0.25">
      <c r="R1044" s="491"/>
      <c r="S1044" s="491"/>
      <c r="T1044" s="491"/>
      <c r="U1044" s="491"/>
      <c r="V1044" s="491"/>
      <c r="W1044" s="491"/>
      <c r="X1044" s="491"/>
      <c r="Y1044" s="491"/>
      <c r="Z1044" s="491"/>
      <c r="AA1044" s="491"/>
      <c r="AB1044" s="491"/>
      <c r="AC1044" s="491"/>
      <c r="AD1044" s="493"/>
    </row>
    <row r="1045" spans="18:30" x14ac:dyDescent="0.25">
      <c r="R1045" s="491"/>
      <c r="S1045" s="491"/>
      <c r="T1045" s="491"/>
      <c r="U1045" s="491"/>
      <c r="V1045" s="491"/>
      <c r="W1045" s="491"/>
      <c r="X1045" s="491"/>
      <c r="Y1045" s="491"/>
      <c r="Z1045" s="491"/>
      <c r="AA1045" s="491"/>
      <c r="AB1045" s="491"/>
      <c r="AC1045" s="491"/>
      <c r="AD1045" s="493"/>
    </row>
    <row r="1046" spans="18:30" x14ac:dyDescent="0.25">
      <c r="R1046" s="491"/>
      <c r="S1046" s="491"/>
      <c r="T1046" s="491"/>
      <c r="U1046" s="491"/>
      <c r="V1046" s="491"/>
      <c r="W1046" s="491"/>
      <c r="X1046" s="491"/>
      <c r="Y1046" s="491"/>
      <c r="Z1046" s="491"/>
      <c r="AA1046" s="491"/>
      <c r="AB1046" s="491"/>
      <c r="AC1046" s="491"/>
      <c r="AD1046" s="493"/>
    </row>
    <row r="1047" spans="18:30" x14ac:dyDescent="0.25">
      <c r="R1047" s="491"/>
      <c r="S1047" s="491"/>
      <c r="T1047" s="491"/>
      <c r="U1047" s="491"/>
      <c r="V1047" s="491"/>
      <c r="W1047" s="491"/>
      <c r="X1047" s="491"/>
      <c r="Y1047" s="491"/>
      <c r="Z1047" s="491"/>
      <c r="AA1047" s="491"/>
      <c r="AB1047" s="491"/>
      <c r="AC1047" s="491"/>
      <c r="AD1047" s="493"/>
    </row>
    <row r="1048" spans="18:30" x14ac:dyDescent="0.25">
      <c r="R1048" s="491"/>
      <c r="S1048" s="491"/>
      <c r="T1048" s="491"/>
      <c r="U1048" s="491"/>
      <c r="V1048" s="491"/>
      <c r="W1048" s="491"/>
      <c r="X1048" s="491"/>
      <c r="Y1048" s="491"/>
      <c r="Z1048" s="491"/>
      <c r="AA1048" s="491"/>
      <c r="AB1048" s="491"/>
      <c r="AC1048" s="491"/>
      <c r="AD1048" s="493"/>
    </row>
    <row r="1049" spans="18:30" x14ac:dyDescent="0.25">
      <c r="R1049" s="491"/>
      <c r="S1049" s="491"/>
      <c r="T1049" s="491"/>
      <c r="U1049" s="491"/>
      <c r="V1049" s="491"/>
      <c r="W1049" s="491"/>
      <c r="X1049" s="491"/>
      <c r="Y1049" s="491"/>
      <c r="Z1049" s="491"/>
      <c r="AA1049" s="491"/>
      <c r="AB1049" s="491"/>
      <c r="AC1049" s="491"/>
      <c r="AD1049" s="493"/>
    </row>
    <row r="1050" spans="18:30" x14ac:dyDescent="0.25">
      <c r="R1050" s="491"/>
      <c r="S1050" s="491"/>
      <c r="T1050" s="491"/>
      <c r="U1050" s="491"/>
      <c r="V1050" s="491"/>
      <c r="W1050" s="491"/>
      <c r="X1050" s="491"/>
      <c r="Y1050" s="491"/>
      <c r="Z1050" s="491"/>
      <c r="AA1050" s="491"/>
      <c r="AB1050" s="491"/>
      <c r="AC1050" s="491"/>
      <c r="AD1050" s="493"/>
    </row>
    <row r="1051" spans="18:30" x14ac:dyDescent="0.25">
      <c r="R1051" s="491"/>
      <c r="S1051" s="491"/>
      <c r="T1051" s="491"/>
      <c r="U1051" s="491"/>
      <c r="V1051" s="491"/>
      <c r="W1051" s="491"/>
      <c r="X1051" s="491"/>
      <c r="Y1051" s="491"/>
      <c r="Z1051" s="491"/>
      <c r="AA1051" s="491"/>
      <c r="AB1051" s="491"/>
      <c r="AC1051" s="491"/>
      <c r="AD1051" s="493"/>
    </row>
    <row r="1052" spans="18:30" x14ac:dyDescent="0.25">
      <c r="R1052" s="491"/>
      <c r="S1052" s="491"/>
      <c r="T1052" s="491"/>
      <c r="U1052" s="491"/>
      <c r="V1052" s="491"/>
      <c r="W1052" s="491"/>
      <c r="X1052" s="491"/>
      <c r="Y1052" s="491"/>
      <c r="Z1052" s="491"/>
      <c r="AA1052" s="491"/>
      <c r="AB1052" s="491"/>
      <c r="AC1052" s="491"/>
      <c r="AD1052" s="493"/>
    </row>
    <row r="1053" spans="18:30" x14ac:dyDescent="0.25">
      <c r="R1053" s="491"/>
      <c r="S1053" s="491"/>
      <c r="T1053" s="491"/>
      <c r="U1053" s="491"/>
      <c r="V1053" s="491"/>
      <c r="W1053" s="491"/>
      <c r="X1053" s="491"/>
      <c r="Y1053" s="491"/>
      <c r="Z1053" s="491"/>
      <c r="AA1053" s="491"/>
      <c r="AB1053" s="491"/>
      <c r="AC1053" s="491"/>
      <c r="AD1053" s="493"/>
    </row>
    <row r="1054" spans="18:30" x14ac:dyDescent="0.25">
      <c r="R1054" s="491"/>
      <c r="S1054" s="491"/>
      <c r="T1054" s="491"/>
      <c r="U1054" s="491"/>
      <c r="V1054" s="491"/>
      <c r="W1054" s="491"/>
      <c r="X1054" s="491"/>
      <c r="Y1054" s="491"/>
      <c r="Z1054" s="491"/>
      <c r="AA1054" s="491"/>
      <c r="AB1054" s="491"/>
      <c r="AC1054" s="491"/>
      <c r="AD1054" s="493"/>
    </row>
    <row r="1055" spans="18:30" x14ac:dyDescent="0.25">
      <c r="R1055" s="491"/>
      <c r="S1055" s="491"/>
      <c r="T1055" s="491"/>
      <c r="U1055" s="491"/>
      <c r="V1055" s="491"/>
      <c r="W1055" s="491"/>
      <c r="X1055" s="491"/>
      <c r="Y1055" s="491"/>
      <c r="Z1055" s="491"/>
      <c r="AA1055" s="491"/>
      <c r="AB1055" s="491"/>
      <c r="AC1055" s="491"/>
      <c r="AD1055" s="493"/>
    </row>
    <row r="1056" spans="18:30" x14ac:dyDescent="0.25">
      <c r="R1056" s="491"/>
      <c r="S1056" s="491"/>
      <c r="T1056" s="491"/>
      <c r="U1056" s="491"/>
      <c r="V1056" s="491"/>
      <c r="W1056" s="491"/>
      <c r="X1056" s="491"/>
      <c r="Y1056" s="491"/>
      <c r="Z1056" s="491"/>
      <c r="AA1056" s="491"/>
      <c r="AB1056" s="491"/>
      <c r="AC1056" s="491"/>
      <c r="AD1056" s="493"/>
    </row>
    <row r="1057" spans="18:30" x14ac:dyDescent="0.25">
      <c r="R1057" s="491"/>
      <c r="S1057" s="491"/>
      <c r="T1057" s="491"/>
      <c r="U1057" s="491"/>
      <c r="V1057" s="491"/>
      <c r="W1057" s="491"/>
      <c r="X1057" s="491"/>
      <c r="Y1057" s="491"/>
      <c r="Z1057" s="491"/>
      <c r="AA1057" s="491"/>
      <c r="AB1057" s="491"/>
      <c r="AC1057" s="491"/>
      <c r="AD1057" s="493"/>
    </row>
    <row r="1058" spans="18:30" x14ac:dyDescent="0.25">
      <c r="R1058" s="491"/>
      <c r="S1058" s="491"/>
      <c r="T1058" s="491"/>
      <c r="U1058" s="491"/>
      <c r="V1058" s="491"/>
      <c r="W1058" s="491"/>
      <c r="X1058" s="491"/>
      <c r="Y1058" s="491"/>
      <c r="Z1058" s="491"/>
      <c r="AA1058" s="491"/>
      <c r="AB1058" s="491"/>
      <c r="AC1058" s="491"/>
      <c r="AD1058" s="493"/>
    </row>
    <row r="1059" spans="18:30" x14ac:dyDescent="0.25">
      <c r="R1059" s="491"/>
      <c r="S1059" s="491"/>
      <c r="T1059" s="491"/>
      <c r="U1059" s="491"/>
      <c r="V1059" s="491"/>
      <c r="W1059" s="491"/>
      <c r="X1059" s="491"/>
      <c r="Y1059" s="491"/>
      <c r="Z1059" s="491"/>
      <c r="AA1059" s="491"/>
      <c r="AB1059" s="491"/>
      <c r="AC1059" s="491"/>
      <c r="AD1059" s="493"/>
    </row>
    <row r="1060" spans="18:30" x14ac:dyDescent="0.25">
      <c r="R1060" s="491"/>
      <c r="S1060" s="491"/>
      <c r="T1060" s="491"/>
      <c r="U1060" s="491"/>
      <c r="V1060" s="491"/>
      <c r="W1060" s="491"/>
      <c r="X1060" s="491"/>
      <c r="Y1060" s="491"/>
      <c r="Z1060" s="491"/>
      <c r="AA1060" s="491"/>
      <c r="AB1060" s="491"/>
      <c r="AC1060" s="491"/>
      <c r="AD1060" s="493"/>
    </row>
    <row r="1061" spans="18:30" x14ac:dyDescent="0.25">
      <c r="R1061" s="491"/>
      <c r="S1061" s="491"/>
      <c r="T1061" s="491"/>
      <c r="U1061" s="491"/>
      <c r="V1061" s="491"/>
      <c r="W1061" s="491"/>
      <c r="X1061" s="491"/>
      <c r="Y1061" s="491"/>
      <c r="Z1061" s="491"/>
      <c r="AA1061" s="491"/>
      <c r="AB1061" s="491"/>
      <c r="AC1061" s="491"/>
      <c r="AD1061" s="493"/>
    </row>
    <row r="1062" spans="18:30" x14ac:dyDescent="0.25">
      <c r="R1062" s="491"/>
      <c r="S1062" s="491"/>
      <c r="T1062" s="491"/>
      <c r="U1062" s="491"/>
      <c r="V1062" s="491"/>
      <c r="W1062" s="491"/>
      <c r="X1062" s="491"/>
      <c r="Y1062" s="491"/>
      <c r="Z1062" s="491"/>
      <c r="AA1062" s="491"/>
      <c r="AB1062" s="491"/>
      <c r="AC1062" s="491"/>
      <c r="AD1062" s="493"/>
    </row>
    <row r="1063" spans="18:30" x14ac:dyDescent="0.25">
      <c r="R1063" s="491"/>
      <c r="S1063" s="491"/>
      <c r="T1063" s="491"/>
      <c r="U1063" s="491"/>
      <c r="V1063" s="491"/>
      <c r="W1063" s="491"/>
      <c r="X1063" s="491"/>
      <c r="Y1063" s="491"/>
      <c r="Z1063" s="491"/>
      <c r="AA1063" s="491"/>
      <c r="AB1063" s="491"/>
      <c r="AC1063" s="491"/>
      <c r="AD1063" s="493"/>
    </row>
    <row r="1064" spans="18:30" x14ac:dyDescent="0.25">
      <c r="R1064" s="491"/>
      <c r="S1064" s="491"/>
      <c r="T1064" s="491"/>
      <c r="U1064" s="491"/>
      <c r="V1064" s="491"/>
      <c r="W1064" s="491"/>
      <c r="X1064" s="491"/>
      <c r="Y1064" s="491"/>
      <c r="Z1064" s="491"/>
      <c r="AA1064" s="491"/>
      <c r="AB1064" s="491"/>
      <c r="AC1064" s="491"/>
      <c r="AD1064" s="493"/>
    </row>
    <row r="1065" spans="18:30" x14ac:dyDescent="0.25">
      <c r="R1065" s="491"/>
      <c r="S1065" s="491"/>
      <c r="T1065" s="491"/>
      <c r="U1065" s="491"/>
      <c r="V1065" s="491"/>
      <c r="W1065" s="491"/>
      <c r="X1065" s="491"/>
      <c r="Y1065" s="491"/>
      <c r="Z1065" s="491"/>
      <c r="AA1065" s="491"/>
      <c r="AB1065" s="491"/>
      <c r="AC1065" s="491"/>
      <c r="AD1065" s="493"/>
    </row>
    <row r="1066" spans="18:30" x14ac:dyDescent="0.25">
      <c r="R1066" s="491"/>
      <c r="S1066" s="491"/>
      <c r="T1066" s="491"/>
      <c r="U1066" s="491"/>
      <c r="V1066" s="491"/>
      <c r="W1066" s="491"/>
      <c r="X1066" s="491"/>
      <c r="Y1066" s="491"/>
      <c r="Z1066" s="491"/>
      <c r="AA1066" s="491"/>
      <c r="AB1066" s="491"/>
      <c r="AC1066" s="491"/>
      <c r="AD1066" s="493"/>
    </row>
    <row r="1067" spans="18:30" x14ac:dyDescent="0.25">
      <c r="R1067" s="491"/>
      <c r="S1067" s="491"/>
      <c r="T1067" s="491"/>
      <c r="U1067" s="491"/>
      <c r="V1067" s="491"/>
      <c r="W1067" s="491"/>
      <c r="X1067" s="491"/>
      <c r="Y1067" s="491"/>
      <c r="Z1067" s="491"/>
      <c r="AA1067" s="491"/>
      <c r="AB1067" s="491"/>
      <c r="AC1067" s="491"/>
      <c r="AD1067" s="493"/>
    </row>
    <row r="1068" spans="18:30" x14ac:dyDescent="0.25">
      <c r="R1068" s="491"/>
      <c r="S1068" s="491"/>
      <c r="T1068" s="491"/>
      <c r="U1068" s="491"/>
      <c r="V1068" s="491"/>
      <c r="W1068" s="491"/>
      <c r="X1068" s="491"/>
      <c r="Y1068" s="491"/>
      <c r="Z1068" s="491"/>
      <c r="AA1068" s="491"/>
      <c r="AB1068" s="491"/>
      <c r="AC1068" s="491"/>
      <c r="AD1068" s="493"/>
    </row>
    <row r="1069" spans="18:30" x14ac:dyDescent="0.25">
      <c r="R1069" s="491"/>
      <c r="S1069" s="491"/>
      <c r="T1069" s="491"/>
      <c r="U1069" s="491"/>
      <c r="V1069" s="491"/>
      <c r="W1069" s="491"/>
      <c r="X1069" s="491"/>
      <c r="Y1069" s="491"/>
      <c r="Z1069" s="491"/>
      <c r="AA1069" s="491"/>
      <c r="AB1069" s="491"/>
      <c r="AC1069" s="491"/>
      <c r="AD1069" s="493"/>
    </row>
    <row r="1070" spans="18:30" x14ac:dyDescent="0.25">
      <c r="R1070" s="491"/>
      <c r="S1070" s="491"/>
      <c r="T1070" s="491"/>
      <c r="U1070" s="491"/>
      <c r="V1070" s="491"/>
      <c r="W1070" s="491"/>
      <c r="X1070" s="491"/>
      <c r="Y1070" s="491"/>
      <c r="Z1070" s="491"/>
      <c r="AA1070" s="491"/>
      <c r="AB1070" s="491"/>
      <c r="AC1070" s="491"/>
      <c r="AD1070" s="493"/>
    </row>
    <row r="1071" spans="18:30" x14ac:dyDescent="0.25">
      <c r="R1071" s="491"/>
      <c r="S1071" s="491"/>
      <c r="T1071" s="491"/>
      <c r="U1071" s="491"/>
      <c r="V1071" s="491"/>
      <c r="W1071" s="491"/>
      <c r="X1071" s="491"/>
      <c r="Y1071" s="491"/>
      <c r="Z1071" s="491"/>
      <c r="AA1071" s="491"/>
      <c r="AB1071" s="491"/>
      <c r="AC1071" s="491"/>
      <c r="AD1071" s="493"/>
    </row>
    <row r="1072" spans="18:30" x14ac:dyDescent="0.25">
      <c r="R1072" s="491"/>
      <c r="S1072" s="491"/>
      <c r="T1072" s="491"/>
      <c r="U1072" s="491"/>
      <c r="V1072" s="491"/>
      <c r="W1072" s="491"/>
      <c r="X1072" s="491"/>
      <c r="Y1072" s="491"/>
      <c r="Z1072" s="491"/>
      <c r="AA1072" s="491"/>
      <c r="AB1072" s="491"/>
      <c r="AC1072" s="491"/>
      <c r="AD1072" s="493"/>
    </row>
    <row r="1073" spans="18:30" x14ac:dyDescent="0.25">
      <c r="R1073" s="491"/>
      <c r="S1073" s="491"/>
      <c r="T1073" s="491"/>
      <c r="U1073" s="491"/>
      <c r="V1073" s="491"/>
      <c r="W1073" s="491"/>
      <c r="X1073" s="491"/>
      <c r="Y1073" s="491"/>
      <c r="Z1073" s="491"/>
      <c r="AA1073" s="491"/>
      <c r="AB1073" s="491"/>
      <c r="AC1073" s="491"/>
      <c r="AD1073" s="493"/>
    </row>
    <row r="1074" spans="18:30" x14ac:dyDescent="0.25">
      <c r="R1074" s="491"/>
      <c r="S1074" s="491"/>
      <c r="T1074" s="491"/>
      <c r="U1074" s="491"/>
      <c r="V1074" s="491"/>
      <c r="W1074" s="491"/>
      <c r="X1074" s="491"/>
      <c r="Y1074" s="491"/>
      <c r="Z1074" s="491"/>
      <c r="AA1074" s="491"/>
      <c r="AB1074" s="491"/>
      <c r="AC1074" s="491"/>
      <c r="AD1074" s="493"/>
    </row>
    <row r="1075" spans="18:30" x14ac:dyDescent="0.25">
      <c r="R1075" s="491"/>
      <c r="S1075" s="491"/>
      <c r="T1075" s="491"/>
      <c r="U1075" s="491"/>
      <c r="V1075" s="491"/>
      <c r="W1075" s="491"/>
      <c r="X1075" s="491"/>
      <c r="Y1075" s="491"/>
      <c r="Z1075" s="491"/>
      <c r="AA1075" s="491"/>
      <c r="AB1075" s="491"/>
      <c r="AC1075" s="491"/>
      <c r="AD1075" s="493"/>
    </row>
    <row r="1076" spans="18:30" x14ac:dyDescent="0.25">
      <c r="R1076" s="491"/>
      <c r="S1076" s="491"/>
      <c r="T1076" s="491"/>
      <c r="U1076" s="491"/>
      <c r="V1076" s="491"/>
      <c r="W1076" s="491"/>
      <c r="X1076" s="491"/>
      <c r="Y1076" s="491"/>
      <c r="Z1076" s="491"/>
      <c r="AA1076" s="491"/>
      <c r="AB1076" s="491"/>
      <c r="AC1076" s="491"/>
      <c r="AD1076" s="493"/>
    </row>
    <row r="1077" spans="18:30" x14ac:dyDescent="0.25">
      <c r="R1077" s="491"/>
      <c r="S1077" s="491"/>
      <c r="T1077" s="491"/>
      <c r="U1077" s="491"/>
      <c r="V1077" s="491"/>
      <c r="W1077" s="491"/>
      <c r="X1077" s="491"/>
      <c r="Y1077" s="491"/>
      <c r="Z1077" s="491"/>
      <c r="AA1077" s="491"/>
      <c r="AB1077" s="491"/>
      <c r="AC1077" s="491"/>
      <c r="AD1077" s="493"/>
    </row>
    <row r="1078" spans="18:30" x14ac:dyDescent="0.25">
      <c r="R1078" s="491"/>
      <c r="S1078" s="491"/>
      <c r="T1078" s="491"/>
      <c r="U1078" s="491"/>
      <c r="V1078" s="491"/>
      <c r="W1078" s="491"/>
      <c r="X1078" s="491"/>
      <c r="Y1078" s="491"/>
      <c r="Z1078" s="491"/>
      <c r="AA1078" s="491"/>
      <c r="AB1078" s="491"/>
      <c r="AC1078" s="491"/>
      <c r="AD1078" s="493"/>
    </row>
    <row r="1079" spans="18:30" x14ac:dyDescent="0.25">
      <c r="R1079" s="491"/>
      <c r="S1079" s="491"/>
      <c r="T1079" s="491"/>
      <c r="U1079" s="491"/>
      <c r="V1079" s="491"/>
      <c r="W1079" s="491"/>
      <c r="X1079" s="491"/>
      <c r="Y1079" s="491"/>
      <c r="Z1079" s="491"/>
      <c r="AA1079" s="491"/>
      <c r="AB1079" s="491"/>
      <c r="AC1079" s="491"/>
      <c r="AD1079" s="493"/>
    </row>
    <row r="1080" spans="18:30" x14ac:dyDescent="0.25">
      <c r="R1080" s="491"/>
      <c r="S1080" s="491"/>
      <c r="T1080" s="491"/>
      <c r="U1080" s="491"/>
      <c r="V1080" s="491"/>
      <c r="W1080" s="491"/>
      <c r="X1080" s="491"/>
      <c r="Y1080" s="491"/>
      <c r="Z1080" s="491"/>
      <c r="AA1080" s="491"/>
      <c r="AB1080" s="491"/>
      <c r="AC1080" s="491"/>
      <c r="AD1080" s="493"/>
    </row>
    <row r="1081" spans="18:30" x14ac:dyDescent="0.25">
      <c r="R1081" s="491"/>
      <c r="S1081" s="491"/>
      <c r="T1081" s="491"/>
      <c r="U1081" s="491"/>
      <c r="V1081" s="491"/>
      <c r="W1081" s="491"/>
      <c r="X1081" s="491"/>
      <c r="Y1081" s="491"/>
      <c r="Z1081" s="491"/>
      <c r="AA1081" s="491"/>
      <c r="AB1081" s="491"/>
      <c r="AC1081" s="491"/>
      <c r="AD1081" s="493"/>
    </row>
    <row r="1082" spans="18:30" x14ac:dyDescent="0.25">
      <c r="R1082" s="491"/>
      <c r="S1082" s="491"/>
      <c r="T1082" s="491"/>
      <c r="U1082" s="491"/>
      <c r="V1082" s="491"/>
      <c r="W1082" s="491"/>
      <c r="X1082" s="491"/>
      <c r="Y1082" s="491"/>
      <c r="Z1082" s="491"/>
      <c r="AA1082" s="491"/>
      <c r="AB1082" s="491"/>
      <c r="AC1082" s="491"/>
      <c r="AD1082" s="493"/>
    </row>
    <row r="1083" spans="18:30" x14ac:dyDescent="0.25">
      <c r="R1083" s="491"/>
      <c r="S1083" s="491"/>
      <c r="T1083" s="491"/>
      <c r="U1083" s="491"/>
      <c r="V1083" s="491"/>
      <c r="W1083" s="491"/>
      <c r="X1083" s="491"/>
      <c r="Y1083" s="491"/>
      <c r="Z1083" s="491"/>
      <c r="AA1083" s="491"/>
      <c r="AB1083" s="491"/>
      <c r="AC1083" s="491"/>
      <c r="AD1083" s="493"/>
    </row>
    <row r="1084" spans="18:30" x14ac:dyDescent="0.25">
      <c r="R1084" s="491"/>
      <c r="S1084" s="491"/>
      <c r="T1084" s="491"/>
      <c r="U1084" s="491"/>
      <c r="V1084" s="491"/>
      <c r="W1084" s="491"/>
      <c r="X1084" s="491"/>
      <c r="Y1084" s="491"/>
      <c r="Z1084" s="491"/>
      <c r="AA1084" s="491"/>
      <c r="AB1084" s="491"/>
      <c r="AC1084" s="491"/>
      <c r="AD1084" s="493"/>
    </row>
    <row r="1085" spans="18:30" x14ac:dyDescent="0.25">
      <c r="R1085" s="491"/>
      <c r="S1085" s="491"/>
      <c r="T1085" s="491"/>
      <c r="U1085" s="491"/>
      <c r="V1085" s="491"/>
      <c r="W1085" s="491"/>
      <c r="X1085" s="491"/>
      <c r="Y1085" s="491"/>
      <c r="Z1085" s="491"/>
      <c r="AA1085" s="491"/>
      <c r="AB1085" s="491"/>
      <c r="AC1085" s="491"/>
      <c r="AD1085" s="493"/>
    </row>
    <row r="1086" spans="18:30" x14ac:dyDescent="0.25">
      <c r="R1086" s="491"/>
      <c r="S1086" s="491"/>
      <c r="T1086" s="491"/>
      <c r="U1086" s="491"/>
      <c r="V1086" s="491"/>
      <c r="W1086" s="491"/>
      <c r="X1086" s="491"/>
      <c r="Y1086" s="491"/>
      <c r="Z1086" s="491"/>
      <c r="AA1086" s="491"/>
      <c r="AB1086" s="491"/>
      <c r="AC1086" s="491"/>
      <c r="AD1086" s="493"/>
    </row>
    <row r="1087" spans="18:30" x14ac:dyDescent="0.25">
      <c r="R1087" s="491"/>
      <c r="S1087" s="491"/>
      <c r="T1087" s="491"/>
      <c r="U1087" s="491"/>
      <c r="V1087" s="491"/>
      <c r="W1087" s="491"/>
      <c r="X1087" s="491"/>
      <c r="Y1087" s="491"/>
      <c r="Z1087" s="491"/>
      <c r="AA1087" s="491"/>
      <c r="AB1087" s="491"/>
      <c r="AC1087" s="491"/>
      <c r="AD1087" s="493"/>
    </row>
    <row r="1088" spans="18:30" x14ac:dyDescent="0.25">
      <c r="R1088" s="491"/>
      <c r="S1088" s="491"/>
      <c r="T1088" s="491"/>
      <c r="U1088" s="491"/>
      <c r="V1088" s="491"/>
      <c r="W1088" s="491"/>
      <c r="X1088" s="491"/>
      <c r="Y1088" s="491"/>
      <c r="Z1088" s="491"/>
      <c r="AA1088" s="491"/>
      <c r="AB1088" s="491"/>
      <c r="AC1088" s="491"/>
      <c r="AD1088" s="493"/>
    </row>
    <row r="1089" spans="18:30" x14ac:dyDescent="0.25">
      <c r="R1089" s="491"/>
      <c r="S1089" s="491"/>
      <c r="T1089" s="491"/>
      <c r="U1089" s="491"/>
      <c r="V1089" s="491"/>
      <c r="W1089" s="491"/>
      <c r="X1089" s="491"/>
      <c r="Y1089" s="491"/>
      <c r="Z1089" s="491"/>
      <c r="AA1089" s="491"/>
      <c r="AB1089" s="491"/>
      <c r="AC1089" s="491"/>
      <c r="AD1089" s="493"/>
    </row>
    <row r="1090" spans="18:30" x14ac:dyDescent="0.25">
      <c r="R1090" s="491"/>
      <c r="S1090" s="491"/>
      <c r="T1090" s="491"/>
      <c r="U1090" s="491"/>
      <c r="V1090" s="491"/>
      <c r="W1090" s="491"/>
      <c r="X1090" s="491"/>
      <c r="Y1090" s="491"/>
      <c r="Z1090" s="491"/>
      <c r="AA1090" s="491"/>
      <c r="AB1090" s="491"/>
      <c r="AC1090" s="491"/>
      <c r="AD1090" s="493"/>
    </row>
    <row r="1091" spans="18:30" x14ac:dyDescent="0.25">
      <c r="R1091" s="491"/>
      <c r="S1091" s="491"/>
      <c r="T1091" s="491"/>
      <c r="U1091" s="491"/>
      <c r="V1091" s="491"/>
      <c r="W1091" s="491"/>
      <c r="X1091" s="491"/>
      <c r="Y1091" s="491"/>
      <c r="Z1091" s="491"/>
      <c r="AA1091" s="491"/>
      <c r="AB1091" s="491"/>
      <c r="AC1091" s="491"/>
      <c r="AD1091" s="493"/>
    </row>
    <row r="1092" spans="18:30" x14ac:dyDescent="0.25">
      <c r="R1092" s="491"/>
      <c r="S1092" s="491"/>
      <c r="T1092" s="491"/>
      <c r="U1092" s="491"/>
      <c r="V1092" s="491"/>
      <c r="W1092" s="491"/>
      <c r="X1092" s="491"/>
      <c r="Y1092" s="491"/>
      <c r="Z1092" s="491"/>
      <c r="AA1092" s="491"/>
      <c r="AB1092" s="491"/>
      <c r="AC1092" s="491"/>
      <c r="AD1092" s="493"/>
    </row>
    <row r="1093" spans="18:30" x14ac:dyDescent="0.25">
      <c r="R1093" s="491"/>
      <c r="S1093" s="491"/>
      <c r="T1093" s="491"/>
      <c r="U1093" s="491"/>
      <c r="V1093" s="491"/>
      <c r="W1093" s="491"/>
      <c r="X1093" s="491"/>
      <c r="Y1093" s="491"/>
      <c r="Z1093" s="491"/>
      <c r="AA1093" s="491"/>
      <c r="AB1093" s="491"/>
      <c r="AC1093" s="491"/>
      <c r="AD1093" s="493"/>
    </row>
    <row r="1094" spans="18:30" x14ac:dyDescent="0.25">
      <c r="R1094" s="491"/>
      <c r="S1094" s="491"/>
      <c r="T1094" s="491"/>
      <c r="U1094" s="491"/>
      <c r="V1094" s="491"/>
      <c r="W1094" s="491"/>
      <c r="X1094" s="491"/>
      <c r="Y1094" s="491"/>
      <c r="Z1094" s="491"/>
      <c r="AA1094" s="491"/>
      <c r="AB1094" s="491"/>
      <c r="AC1094" s="491"/>
      <c r="AD1094" s="493"/>
    </row>
    <row r="1095" spans="18:30" x14ac:dyDescent="0.25">
      <c r="R1095" s="491"/>
      <c r="S1095" s="491"/>
      <c r="T1095" s="491"/>
      <c r="U1095" s="491"/>
      <c r="V1095" s="491"/>
      <c r="W1095" s="491"/>
      <c r="X1095" s="491"/>
      <c r="Y1095" s="491"/>
      <c r="Z1095" s="491"/>
      <c r="AA1095" s="491"/>
      <c r="AB1095" s="491"/>
      <c r="AC1095" s="491"/>
      <c r="AD1095" s="493"/>
    </row>
    <row r="1096" spans="18:30" x14ac:dyDescent="0.25">
      <c r="R1096" s="491"/>
      <c r="S1096" s="491"/>
      <c r="T1096" s="491"/>
      <c r="U1096" s="491"/>
      <c r="V1096" s="491"/>
      <c r="W1096" s="491"/>
      <c r="X1096" s="491"/>
      <c r="Y1096" s="491"/>
      <c r="Z1096" s="491"/>
      <c r="AA1096" s="491"/>
      <c r="AB1096" s="491"/>
      <c r="AC1096" s="491"/>
      <c r="AD1096" s="493"/>
    </row>
    <row r="1097" spans="18:30" x14ac:dyDescent="0.25">
      <c r="R1097" s="491"/>
      <c r="S1097" s="491"/>
      <c r="T1097" s="491"/>
      <c r="U1097" s="491"/>
      <c r="V1097" s="491"/>
      <c r="W1097" s="491"/>
      <c r="X1097" s="491"/>
      <c r="Y1097" s="491"/>
      <c r="Z1097" s="491"/>
      <c r="AA1097" s="491"/>
      <c r="AB1097" s="491"/>
      <c r="AC1097" s="491"/>
      <c r="AD1097" s="493"/>
    </row>
    <row r="1098" spans="18:30" x14ac:dyDescent="0.25">
      <c r="R1098" s="491"/>
      <c r="S1098" s="491"/>
      <c r="T1098" s="491"/>
      <c r="U1098" s="491"/>
      <c r="V1098" s="491"/>
      <c r="W1098" s="491"/>
      <c r="X1098" s="491"/>
      <c r="Y1098" s="491"/>
      <c r="Z1098" s="491"/>
      <c r="AA1098" s="491"/>
      <c r="AB1098" s="491"/>
      <c r="AC1098" s="491"/>
      <c r="AD1098" s="493"/>
    </row>
    <row r="1099" spans="18:30" x14ac:dyDescent="0.25">
      <c r="R1099" s="491"/>
      <c r="S1099" s="491"/>
      <c r="T1099" s="491"/>
      <c r="U1099" s="491"/>
      <c r="V1099" s="491"/>
      <c r="W1099" s="491"/>
      <c r="X1099" s="491"/>
      <c r="Y1099" s="491"/>
      <c r="Z1099" s="491"/>
      <c r="AA1099" s="491"/>
      <c r="AB1099" s="491"/>
      <c r="AC1099" s="491"/>
      <c r="AD1099" s="493"/>
    </row>
    <row r="1100" spans="18:30" x14ac:dyDescent="0.25">
      <c r="R1100" s="491"/>
      <c r="S1100" s="491"/>
      <c r="T1100" s="491"/>
      <c r="U1100" s="491"/>
      <c r="V1100" s="491"/>
      <c r="W1100" s="491"/>
      <c r="X1100" s="491"/>
      <c r="Y1100" s="491"/>
      <c r="Z1100" s="491"/>
      <c r="AA1100" s="491"/>
      <c r="AB1100" s="491"/>
      <c r="AC1100" s="491"/>
      <c r="AD1100" s="493"/>
    </row>
    <row r="1101" spans="18:30" x14ac:dyDescent="0.25">
      <c r="R1101" s="491"/>
      <c r="S1101" s="491"/>
      <c r="T1101" s="491"/>
      <c r="U1101" s="491"/>
      <c r="V1101" s="491"/>
      <c r="W1101" s="491"/>
      <c r="X1101" s="491"/>
      <c r="Y1101" s="491"/>
      <c r="Z1101" s="491"/>
      <c r="AA1101" s="491"/>
      <c r="AB1101" s="491"/>
      <c r="AC1101" s="491"/>
      <c r="AD1101" s="493"/>
    </row>
    <row r="1102" spans="18:30" x14ac:dyDescent="0.25">
      <c r="R1102" s="491"/>
      <c r="S1102" s="491"/>
      <c r="T1102" s="491"/>
      <c r="U1102" s="491"/>
      <c r="V1102" s="491"/>
      <c r="W1102" s="491"/>
      <c r="X1102" s="491"/>
      <c r="Y1102" s="491"/>
      <c r="Z1102" s="491"/>
      <c r="AA1102" s="491"/>
      <c r="AB1102" s="491"/>
      <c r="AC1102" s="491"/>
      <c r="AD1102" s="493"/>
    </row>
    <row r="1103" spans="18:30" x14ac:dyDescent="0.25">
      <c r="R1103" s="491"/>
      <c r="S1103" s="491"/>
      <c r="T1103" s="491"/>
      <c r="U1103" s="491"/>
      <c r="V1103" s="491"/>
      <c r="W1103" s="491"/>
      <c r="X1103" s="491"/>
      <c r="Y1103" s="491"/>
      <c r="Z1103" s="491"/>
      <c r="AA1103" s="491"/>
      <c r="AB1103" s="491"/>
      <c r="AC1103" s="491"/>
      <c r="AD1103" s="493"/>
    </row>
    <row r="1104" spans="18:30" x14ac:dyDescent="0.25">
      <c r="R1104" s="491"/>
      <c r="S1104" s="491"/>
      <c r="T1104" s="491"/>
      <c r="U1104" s="491"/>
      <c r="V1104" s="491"/>
      <c r="W1104" s="491"/>
      <c r="X1104" s="491"/>
      <c r="Y1104" s="491"/>
      <c r="Z1104" s="491"/>
      <c r="AA1104" s="491"/>
      <c r="AB1104" s="491"/>
      <c r="AC1104" s="491"/>
      <c r="AD1104" s="493"/>
    </row>
    <row r="1105" spans="18:30" x14ac:dyDescent="0.25">
      <c r="R1105" s="491"/>
      <c r="S1105" s="491"/>
      <c r="T1105" s="491"/>
      <c r="U1105" s="491"/>
      <c r="V1105" s="491"/>
      <c r="W1105" s="491"/>
      <c r="X1105" s="491"/>
      <c r="Y1105" s="491"/>
      <c r="Z1105" s="491"/>
      <c r="AA1105" s="491"/>
      <c r="AB1105" s="491"/>
      <c r="AC1105" s="491"/>
      <c r="AD1105" s="493"/>
    </row>
    <row r="1106" spans="18:30" x14ac:dyDescent="0.25">
      <c r="R1106" s="491"/>
      <c r="S1106" s="491"/>
      <c r="T1106" s="491"/>
      <c r="U1106" s="491"/>
      <c r="V1106" s="491"/>
      <c r="W1106" s="491"/>
      <c r="X1106" s="491"/>
      <c r="Y1106" s="491"/>
      <c r="Z1106" s="491"/>
      <c r="AA1106" s="491"/>
      <c r="AB1106" s="491"/>
      <c r="AC1106" s="491"/>
      <c r="AD1106" s="493"/>
    </row>
    <row r="1107" spans="18:30" x14ac:dyDescent="0.25">
      <c r="R1107" s="491"/>
      <c r="S1107" s="491"/>
      <c r="T1107" s="491"/>
      <c r="U1107" s="491"/>
      <c r="V1107" s="491"/>
      <c r="W1107" s="491"/>
      <c r="X1107" s="491"/>
      <c r="Y1107" s="491"/>
      <c r="Z1107" s="491"/>
      <c r="AA1107" s="491"/>
      <c r="AB1107" s="491"/>
      <c r="AC1107" s="491"/>
      <c r="AD1107" s="493"/>
    </row>
    <row r="1108" spans="18:30" x14ac:dyDescent="0.25">
      <c r="R1108" s="491"/>
      <c r="S1108" s="491"/>
      <c r="T1108" s="491"/>
      <c r="U1108" s="491"/>
      <c r="V1108" s="491"/>
      <c r="W1108" s="491"/>
      <c r="X1108" s="491"/>
      <c r="Y1108" s="491"/>
      <c r="Z1108" s="491"/>
      <c r="AA1108" s="491"/>
      <c r="AB1108" s="491"/>
      <c r="AC1108" s="491"/>
      <c r="AD1108" s="493"/>
    </row>
    <row r="1109" spans="18:30" x14ac:dyDescent="0.25">
      <c r="R1109" s="491"/>
      <c r="S1109" s="491"/>
      <c r="T1109" s="491"/>
      <c r="U1109" s="491"/>
      <c r="V1109" s="491"/>
      <c r="W1109" s="491"/>
      <c r="X1109" s="491"/>
      <c r="Y1109" s="491"/>
      <c r="Z1109" s="491"/>
      <c r="AA1109" s="491"/>
      <c r="AB1109" s="491"/>
      <c r="AC1109" s="491"/>
      <c r="AD1109" s="493"/>
    </row>
    <row r="1110" spans="18:30" x14ac:dyDescent="0.25">
      <c r="R1110" s="491"/>
      <c r="S1110" s="491"/>
      <c r="T1110" s="491"/>
      <c r="U1110" s="491"/>
      <c r="V1110" s="491"/>
      <c r="W1110" s="491"/>
      <c r="X1110" s="491"/>
      <c r="Y1110" s="491"/>
      <c r="Z1110" s="491"/>
      <c r="AA1110" s="491"/>
      <c r="AB1110" s="491"/>
      <c r="AC1110" s="491"/>
      <c r="AD1110" s="493"/>
    </row>
    <row r="1111" spans="18:30" x14ac:dyDescent="0.25">
      <c r="R1111" s="491"/>
      <c r="S1111" s="491"/>
      <c r="T1111" s="491"/>
      <c r="U1111" s="491"/>
      <c r="V1111" s="491"/>
      <c r="W1111" s="491"/>
      <c r="X1111" s="491"/>
      <c r="Y1111" s="491"/>
      <c r="Z1111" s="491"/>
      <c r="AA1111" s="491"/>
      <c r="AB1111" s="491"/>
      <c r="AC1111" s="491"/>
      <c r="AD1111" s="493"/>
    </row>
    <row r="1112" spans="18:30" x14ac:dyDescent="0.25">
      <c r="R1112" s="491"/>
      <c r="S1112" s="491"/>
      <c r="T1112" s="491"/>
      <c r="U1112" s="491"/>
      <c r="V1112" s="491"/>
      <c r="W1112" s="491"/>
      <c r="X1112" s="491"/>
      <c r="Y1112" s="491"/>
      <c r="Z1112" s="491"/>
      <c r="AA1112" s="491"/>
      <c r="AB1112" s="491"/>
      <c r="AC1112" s="491"/>
      <c r="AD1112" s="493"/>
    </row>
    <row r="1113" spans="18:30" x14ac:dyDescent="0.25">
      <c r="R1113" s="491"/>
      <c r="S1113" s="491"/>
      <c r="T1113" s="491"/>
      <c r="U1113" s="491"/>
      <c r="V1113" s="491"/>
      <c r="W1113" s="491"/>
      <c r="X1113" s="491"/>
      <c r="Y1113" s="491"/>
      <c r="Z1113" s="491"/>
      <c r="AA1113" s="491"/>
      <c r="AB1113" s="491"/>
      <c r="AC1113" s="491"/>
      <c r="AD1113" s="493"/>
    </row>
    <row r="1114" spans="18:30" x14ac:dyDescent="0.25">
      <c r="R1114" s="491"/>
      <c r="S1114" s="491"/>
      <c r="T1114" s="491"/>
      <c r="U1114" s="491"/>
      <c r="V1114" s="491"/>
      <c r="W1114" s="491"/>
      <c r="X1114" s="491"/>
      <c r="Y1114" s="491"/>
      <c r="Z1114" s="491"/>
      <c r="AA1114" s="491"/>
      <c r="AB1114" s="491"/>
      <c r="AC1114" s="491"/>
      <c r="AD1114" s="493"/>
    </row>
    <row r="1115" spans="18:30" x14ac:dyDescent="0.25">
      <c r="R1115" s="491"/>
      <c r="S1115" s="491"/>
      <c r="T1115" s="491"/>
      <c r="U1115" s="491"/>
      <c r="V1115" s="491"/>
      <c r="W1115" s="491"/>
      <c r="X1115" s="491"/>
      <c r="Y1115" s="491"/>
      <c r="Z1115" s="491"/>
      <c r="AA1115" s="491"/>
      <c r="AB1115" s="491"/>
      <c r="AC1115" s="491"/>
      <c r="AD1115" s="493"/>
    </row>
    <row r="1116" spans="18:30" x14ac:dyDescent="0.25">
      <c r="R1116" s="491"/>
      <c r="S1116" s="491"/>
      <c r="T1116" s="491"/>
      <c r="U1116" s="491"/>
      <c r="V1116" s="491"/>
      <c r="W1116" s="491"/>
      <c r="X1116" s="491"/>
      <c r="Y1116" s="491"/>
      <c r="Z1116" s="491"/>
      <c r="AA1116" s="491"/>
      <c r="AB1116" s="491"/>
      <c r="AC1116" s="491"/>
      <c r="AD1116" s="493"/>
    </row>
    <row r="1117" spans="18:30" x14ac:dyDescent="0.25">
      <c r="R1117" s="491"/>
      <c r="S1117" s="491"/>
      <c r="T1117" s="491"/>
      <c r="U1117" s="491"/>
      <c r="V1117" s="491"/>
      <c r="W1117" s="491"/>
      <c r="X1117" s="491"/>
      <c r="Y1117" s="491"/>
      <c r="Z1117" s="491"/>
      <c r="AA1117" s="491"/>
      <c r="AB1117" s="491"/>
      <c r="AC1117" s="491"/>
      <c r="AD1117" s="493"/>
    </row>
    <row r="1118" spans="18:30" x14ac:dyDescent="0.25">
      <c r="R1118" s="491"/>
      <c r="S1118" s="491"/>
      <c r="T1118" s="491"/>
      <c r="U1118" s="491"/>
      <c r="V1118" s="491"/>
      <c r="W1118" s="491"/>
      <c r="X1118" s="491"/>
      <c r="Y1118" s="491"/>
      <c r="Z1118" s="491"/>
      <c r="AA1118" s="491"/>
      <c r="AB1118" s="491"/>
      <c r="AC1118" s="491"/>
      <c r="AD1118" s="493"/>
    </row>
    <row r="1119" spans="18:30" x14ac:dyDescent="0.25">
      <c r="R1119" s="491"/>
      <c r="S1119" s="491"/>
      <c r="T1119" s="491"/>
      <c r="U1119" s="491"/>
      <c r="V1119" s="491"/>
      <c r="W1119" s="491"/>
      <c r="X1119" s="491"/>
      <c r="Y1119" s="491"/>
      <c r="Z1119" s="491"/>
      <c r="AA1119" s="491"/>
      <c r="AB1119" s="491"/>
      <c r="AC1119" s="491"/>
      <c r="AD1119" s="493"/>
    </row>
    <row r="1120" spans="18:30" x14ac:dyDescent="0.25">
      <c r="R1120" s="491"/>
      <c r="S1120" s="491"/>
      <c r="T1120" s="491"/>
      <c r="U1120" s="491"/>
      <c r="V1120" s="491"/>
      <c r="W1120" s="491"/>
      <c r="X1120" s="491"/>
      <c r="Y1120" s="491"/>
      <c r="Z1120" s="491"/>
      <c r="AA1120" s="491"/>
      <c r="AB1120" s="491"/>
      <c r="AC1120" s="491"/>
      <c r="AD1120" s="493"/>
    </row>
    <row r="1121" spans="18:30" x14ac:dyDescent="0.25">
      <c r="R1121" s="491"/>
      <c r="S1121" s="491"/>
      <c r="T1121" s="491"/>
      <c r="U1121" s="491"/>
      <c r="V1121" s="491"/>
      <c r="W1121" s="491"/>
      <c r="X1121" s="491"/>
      <c r="Y1121" s="491"/>
      <c r="Z1121" s="491"/>
      <c r="AA1121" s="491"/>
      <c r="AB1121" s="491"/>
      <c r="AC1121" s="491"/>
      <c r="AD1121" s="493"/>
    </row>
    <row r="1122" spans="18:30" x14ac:dyDescent="0.25">
      <c r="R1122" s="491"/>
      <c r="S1122" s="491"/>
      <c r="T1122" s="491"/>
      <c r="U1122" s="491"/>
      <c r="V1122" s="491"/>
      <c r="W1122" s="491"/>
      <c r="X1122" s="491"/>
      <c r="Y1122" s="491"/>
      <c r="Z1122" s="491"/>
      <c r="AA1122" s="491"/>
      <c r="AB1122" s="491"/>
      <c r="AC1122" s="491"/>
      <c r="AD1122" s="493"/>
    </row>
    <row r="1123" spans="18:30" x14ac:dyDescent="0.25">
      <c r="R1123" s="491"/>
      <c r="S1123" s="491"/>
      <c r="T1123" s="491"/>
      <c r="U1123" s="491"/>
      <c r="V1123" s="491"/>
      <c r="W1123" s="491"/>
      <c r="X1123" s="491"/>
      <c r="Y1123" s="491"/>
      <c r="Z1123" s="491"/>
      <c r="AA1123" s="491"/>
      <c r="AB1123" s="491"/>
      <c r="AC1123" s="491"/>
      <c r="AD1123" s="493"/>
    </row>
    <row r="1124" spans="18:30" x14ac:dyDescent="0.25">
      <c r="R1124" s="491"/>
      <c r="S1124" s="491"/>
      <c r="T1124" s="491"/>
      <c r="U1124" s="491"/>
      <c r="V1124" s="491"/>
      <c r="W1124" s="491"/>
      <c r="X1124" s="491"/>
      <c r="Y1124" s="491"/>
      <c r="Z1124" s="491"/>
      <c r="AA1124" s="491"/>
      <c r="AB1124" s="491"/>
      <c r="AC1124" s="491"/>
      <c r="AD1124" s="493"/>
    </row>
    <row r="1125" spans="18:30" x14ac:dyDescent="0.25">
      <c r="R1125" s="491"/>
      <c r="S1125" s="491"/>
      <c r="T1125" s="491"/>
      <c r="U1125" s="491"/>
      <c r="V1125" s="491"/>
      <c r="W1125" s="491"/>
      <c r="X1125" s="491"/>
      <c r="Y1125" s="491"/>
      <c r="Z1125" s="491"/>
      <c r="AA1125" s="491"/>
      <c r="AB1125" s="491"/>
      <c r="AC1125" s="491"/>
      <c r="AD1125" s="493"/>
    </row>
    <row r="1126" spans="18:30" x14ac:dyDescent="0.25">
      <c r="R1126" s="491"/>
      <c r="S1126" s="491"/>
      <c r="T1126" s="491"/>
      <c r="U1126" s="491"/>
      <c r="V1126" s="491"/>
      <c r="W1126" s="491"/>
      <c r="X1126" s="491"/>
      <c r="Y1126" s="491"/>
      <c r="Z1126" s="491"/>
      <c r="AA1126" s="491"/>
      <c r="AB1126" s="491"/>
      <c r="AC1126" s="491"/>
      <c r="AD1126" s="493"/>
    </row>
    <row r="1127" spans="18:30" x14ac:dyDescent="0.25">
      <c r="R1127" s="491"/>
      <c r="S1127" s="491"/>
      <c r="T1127" s="491"/>
      <c r="U1127" s="491"/>
      <c r="V1127" s="491"/>
      <c r="W1127" s="491"/>
      <c r="X1127" s="491"/>
      <c r="Y1127" s="491"/>
      <c r="Z1127" s="491"/>
      <c r="AA1127" s="491"/>
      <c r="AB1127" s="491"/>
      <c r="AC1127" s="491"/>
      <c r="AD1127" s="493"/>
    </row>
    <row r="1128" spans="18:30" x14ac:dyDescent="0.25">
      <c r="R1128" s="491"/>
      <c r="S1128" s="491"/>
      <c r="T1128" s="491"/>
      <c r="U1128" s="491"/>
      <c r="V1128" s="491"/>
      <c r="W1128" s="491"/>
      <c r="X1128" s="491"/>
      <c r="Y1128" s="491"/>
      <c r="Z1128" s="491"/>
      <c r="AA1128" s="491"/>
      <c r="AB1128" s="491"/>
      <c r="AC1128" s="491"/>
      <c r="AD1128" s="493"/>
    </row>
    <row r="1129" spans="18:30" x14ac:dyDescent="0.25">
      <c r="R1129" s="491"/>
      <c r="S1129" s="491"/>
      <c r="T1129" s="491"/>
      <c r="U1129" s="491"/>
      <c r="V1129" s="491"/>
      <c r="W1129" s="491"/>
      <c r="X1129" s="491"/>
      <c r="Y1129" s="491"/>
      <c r="Z1129" s="491"/>
      <c r="AA1129" s="491"/>
      <c r="AB1129" s="491"/>
      <c r="AC1129" s="491"/>
      <c r="AD1129" s="493"/>
    </row>
    <row r="1130" spans="18:30" x14ac:dyDescent="0.25">
      <c r="R1130" s="491"/>
      <c r="S1130" s="491"/>
      <c r="T1130" s="491"/>
      <c r="U1130" s="491"/>
      <c r="V1130" s="491"/>
      <c r="W1130" s="491"/>
      <c r="X1130" s="491"/>
      <c r="Y1130" s="491"/>
      <c r="Z1130" s="491"/>
      <c r="AA1130" s="491"/>
      <c r="AB1130" s="491"/>
      <c r="AC1130" s="491"/>
      <c r="AD1130" s="493"/>
    </row>
    <row r="1131" spans="18:30" x14ac:dyDescent="0.25">
      <c r="R1131" s="491"/>
      <c r="S1131" s="491"/>
      <c r="T1131" s="491"/>
      <c r="U1131" s="491"/>
      <c r="V1131" s="491"/>
      <c r="W1131" s="491"/>
      <c r="X1131" s="491"/>
      <c r="Y1131" s="491"/>
      <c r="Z1131" s="491"/>
      <c r="AA1131" s="491"/>
      <c r="AB1131" s="491"/>
      <c r="AC1131" s="491"/>
      <c r="AD1131" s="493"/>
    </row>
    <row r="1132" spans="18:30" x14ac:dyDescent="0.25">
      <c r="R1132" s="491"/>
      <c r="S1132" s="491"/>
      <c r="T1132" s="491"/>
      <c r="U1132" s="491"/>
      <c r="V1132" s="491"/>
      <c r="W1132" s="491"/>
      <c r="X1132" s="491"/>
      <c r="Y1132" s="491"/>
      <c r="Z1132" s="491"/>
      <c r="AA1132" s="491"/>
      <c r="AB1132" s="491"/>
      <c r="AC1132" s="491"/>
      <c r="AD1132" s="493"/>
    </row>
    <row r="1133" spans="18:30" x14ac:dyDescent="0.25">
      <c r="R1133" s="491"/>
      <c r="S1133" s="491"/>
      <c r="T1133" s="491"/>
      <c r="U1133" s="491"/>
      <c r="V1133" s="491"/>
      <c r="W1133" s="491"/>
      <c r="X1133" s="491"/>
      <c r="Y1133" s="491"/>
      <c r="Z1133" s="491"/>
      <c r="AA1133" s="491"/>
      <c r="AB1133" s="491"/>
      <c r="AC1133" s="491"/>
      <c r="AD1133" s="493"/>
    </row>
    <row r="1134" spans="18:30" x14ac:dyDescent="0.25">
      <c r="R1134" s="491"/>
      <c r="S1134" s="491"/>
      <c r="T1134" s="491"/>
      <c r="U1134" s="491"/>
      <c r="V1134" s="491"/>
      <c r="W1134" s="491"/>
      <c r="X1134" s="491"/>
      <c r="Y1134" s="491"/>
      <c r="Z1134" s="491"/>
      <c r="AA1134" s="491"/>
      <c r="AB1134" s="491"/>
      <c r="AC1134" s="491"/>
      <c r="AD1134" s="493"/>
    </row>
    <row r="1135" spans="18:30" x14ac:dyDescent="0.25">
      <c r="R1135" s="491"/>
      <c r="S1135" s="491"/>
      <c r="T1135" s="491"/>
      <c r="U1135" s="491"/>
      <c r="V1135" s="491"/>
      <c r="W1135" s="491"/>
      <c r="X1135" s="491"/>
      <c r="Y1135" s="491"/>
      <c r="Z1135" s="491"/>
      <c r="AA1135" s="491"/>
      <c r="AB1135" s="491"/>
      <c r="AC1135" s="491"/>
      <c r="AD1135" s="493"/>
    </row>
    <row r="1136" spans="18:30" x14ac:dyDescent="0.25">
      <c r="R1136" s="491"/>
      <c r="S1136" s="491"/>
      <c r="T1136" s="491"/>
      <c r="U1136" s="491"/>
      <c r="V1136" s="491"/>
      <c r="W1136" s="491"/>
      <c r="X1136" s="491"/>
      <c r="Y1136" s="491"/>
      <c r="Z1136" s="491"/>
      <c r="AA1136" s="491"/>
      <c r="AB1136" s="491"/>
      <c r="AC1136" s="491"/>
      <c r="AD1136" s="493"/>
    </row>
    <row r="1137" spans="18:30" x14ac:dyDescent="0.25">
      <c r="R1137" s="491"/>
      <c r="S1137" s="491"/>
      <c r="T1137" s="491"/>
      <c r="U1137" s="491"/>
      <c r="V1137" s="491"/>
      <c r="W1137" s="491"/>
      <c r="X1137" s="491"/>
      <c r="Y1137" s="491"/>
      <c r="Z1137" s="491"/>
      <c r="AA1137" s="491"/>
      <c r="AB1137" s="491"/>
      <c r="AC1137" s="491"/>
      <c r="AD1137" s="493"/>
    </row>
    <row r="1138" spans="18:30" x14ac:dyDescent="0.25">
      <c r="R1138" s="491"/>
      <c r="S1138" s="491"/>
      <c r="T1138" s="491"/>
      <c r="U1138" s="491"/>
      <c r="V1138" s="491"/>
      <c r="W1138" s="491"/>
      <c r="X1138" s="491"/>
      <c r="Y1138" s="491"/>
      <c r="Z1138" s="491"/>
      <c r="AA1138" s="491"/>
      <c r="AB1138" s="491"/>
      <c r="AC1138" s="491"/>
      <c r="AD1138" s="493"/>
    </row>
    <row r="1139" spans="18:30" x14ac:dyDescent="0.25">
      <c r="R1139" s="491"/>
      <c r="S1139" s="491"/>
      <c r="T1139" s="491"/>
      <c r="U1139" s="491"/>
      <c r="V1139" s="491"/>
      <c r="W1139" s="491"/>
      <c r="X1139" s="491"/>
      <c r="Y1139" s="491"/>
      <c r="Z1139" s="491"/>
      <c r="AA1139" s="491"/>
      <c r="AB1139" s="491"/>
      <c r="AC1139" s="491"/>
      <c r="AD1139" s="493"/>
    </row>
    <row r="1140" spans="18:30" x14ac:dyDescent="0.25">
      <c r="R1140" s="491"/>
      <c r="S1140" s="491"/>
      <c r="T1140" s="491"/>
      <c r="U1140" s="491"/>
      <c r="V1140" s="491"/>
      <c r="W1140" s="491"/>
      <c r="X1140" s="491"/>
      <c r="Y1140" s="491"/>
      <c r="Z1140" s="491"/>
      <c r="AA1140" s="491"/>
      <c r="AB1140" s="491"/>
      <c r="AC1140" s="491"/>
      <c r="AD1140" s="493"/>
    </row>
    <row r="1141" spans="18:30" x14ac:dyDescent="0.25">
      <c r="R1141" s="491"/>
      <c r="S1141" s="491"/>
      <c r="T1141" s="491"/>
      <c r="U1141" s="491"/>
      <c r="V1141" s="491"/>
      <c r="W1141" s="491"/>
      <c r="X1141" s="491"/>
      <c r="Y1141" s="491"/>
      <c r="Z1141" s="491"/>
      <c r="AA1141" s="491"/>
      <c r="AB1141" s="491"/>
      <c r="AC1141" s="491"/>
      <c r="AD1141" s="493"/>
    </row>
    <row r="1142" spans="18:30" x14ac:dyDescent="0.25">
      <c r="R1142" s="491"/>
      <c r="S1142" s="491"/>
      <c r="T1142" s="491"/>
      <c r="U1142" s="491"/>
      <c r="V1142" s="491"/>
      <c r="W1142" s="491"/>
      <c r="X1142" s="491"/>
      <c r="Y1142" s="491"/>
      <c r="Z1142" s="491"/>
      <c r="AA1142" s="491"/>
      <c r="AB1142" s="491"/>
      <c r="AC1142" s="491"/>
      <c r="AD1142" s="493"/>
    </row>
    <row r="1143" spans="18:30" x14ac:dyDescent="0.25">
      <c r="R1143" s="491"/>
      <c r="S1143" s="491"/>
      <c r="T1143" s="491"/>
      <c r="U1143" s="491"/>
      <c r="V1143" s="491"/>
      <c r="W1143" s="491"/>
      <c r="X1143" s="491"/>
      <c r="Y1143" s="491"/>
      <c r="Z1143" s="491"/>
      <c r="AA1143" s="491"/>
      <c r="AB1143" s="491"/>
      <c r="AC1143" s="491"/>
      <c r="AD1143" s="493"/>
    </row>
    <row r="1144" spans="18:30" x14ac:dyDescent="0.25">
      <c r="R1144" s="491"/>
      <c r="S1144" s="491"/>
      <c r="T1144" s="491"/>
      <c r="U1144" s="491"/>
      <c r="V1144" s="491"/>
      <c r="W1144" s="491"/>
      <c r="X1144" s="491"/>
      <c r="Y1144" s="491"/>
      <c r="Z1144" s="491"/>
      <c r="AA1144" s="491"/>
      <c r="AB1144" s="491"/>
      <c r="AC1144" s="491"/>
      <c r="AD1144" s="493"/>
    </row>
    <row r="1145" spans="18:30" x14ac:dyDescent="0.25">
      <c r="R1145" s="491"/>
      <c r="S1145" s="491"/>
      <c r="T1145" s="491"/>
      <c r="U1145" s="491"/>
      <c r="V1145" s="491"/>
      <c r="W1145" s="491"/>
      <c r="X1145" s="491"/>
      <c r="Y1145" s="491"/>
      <c r="Z1145" s="491"/>
      <c r="AA1145" s="491"/>
      <c r="AB1145" s="491"/>
      <c r="AC1145" s="491"/>
      <c r="AD1145" s="493"/>
    </row>
    <row r="1146" spans="18:30" x14ac:dyDescent="0.25">
      <c r="R1146" s="491"/>
      <c r="S1146" s="491"/>
      <c r="T1146" s="491"/>
      <c r="U1146" s="491"/>
      <c r="V1146" s="491"/>
      <c r="W1146" s="491"/>
      <c r="X1146" s="491"/>
      <c r="Y1146" s="491"/>
      <c r="Z1146" s="491"/>
      <c r="AA1146" s="491"/>
      <c r="AB1146" s="491"/>
      <c r="AC1146" s="491"/>
      <c r="AD1146" s="493"/>
    </row>
    <row r="1147" spans="18:30" x14ac:dyDescent="0.25">
      <c r="R1147" s="491"/>
      <c r="S1147" s="491"/>
      <c r="T1147" s="491"/>
      <c r="U1147" s="491"/>
      <c r="V1147" s="491"/>
      <c r="W1147" s="491"/>
      <c r="X1147" s="491"/>
      <c r="Y1147" s="491"/>
      <c r="Z1147" s="491"/>
      <c r="AA1147" s="491"/>
      <c r="AB1147" s="491"/>
      <c r="AC1147" s="491"/>
      <c r="AD1147" s="493"/>
    </row>
    <row r="1148" spans="18:30" x14ac:dyDescent="0.25">
      <c r="R1148" s="491"/>
      <c r="S1148" s="491"/>
      <c r="T1148" s="491"/>
      <c r="U1148" s="491"/>
      <c r="V1148" s="491"/>
      <c r="W1148" s="491"/>
      <c r="X1148" s="491"/>
      <c r="Y1148" s="491"/>
      <c r="Z1148" s="491"/>
      <c r="AA1148" s="491"/>
      <c r="AB1148" s="491"/>
      <c r="AC1148" s="491"/>
      <c r="AD1148" s="493"/>
    </row>
    <row r="1149" spans="18:30" x14ac:dyDescent="0.25">
      <c r="R1149" s="491"/>
      <c r="S1149" s="491"/>
      <c r="T1149" s="491"/>
      <c r="U1149" s="491"/>
      <c r="V1149" s="491"/>
      <c r="W1149" s="491"/>
      <c r="X1149" s="491"/>
      <c r="Y1149" s="491"/>
      <c r="Z1149" s="491"/>
      <c r="AA1149" s="491"/>
      <c r="AB1149" s="491"/>
      <c r="AC1149" s="491"/>
      <c r="AD1149" s="493"/>
    </row>
    <row r="1150" spans="18:30" x14ac:dyDescent="0.25">
      <c r="R1150" s="491"/>
      <c r="S1150" s="491"/>
      <c r="T1150" s="491"/>
      <c r="U1150" s="491"/>
      <c r="V1150" s="491"/>
      <c r="W1150" s="491"/>
      <c r="X1150" s="491"/>
      <c r="Y1150" s="491"/>
      <c r="Z1150" s="491"/>
      <c r="AA1150" s="491"/>
      <c r="AB1150" s="491"/>
      <c r="AC1150" s="491"/>
      <c r="AD1150" s="493"/>
    </row>
    <row r="1151" spans="18:30" x14ac:dyDescent="0.25">
      <c r="R1151" s="491"/>
      <c r="S1151" s="491"/>
      <c r="T1151" s="491"/>
      <c r="U1151" s="491"/>
      <c r="V1151" s="491"/>
      <c r="W1151" s="491"/>
      <c r="X1151" s="491"/>
      <c r="Y1151" s="491"/>
      <c r="Z1151" s="491"/>
      <c r="AA1151" s="491"/>
      <c r="AB1151" s="491"/>
      <c r="AC1151" s="491"/>
      <c r="AD1151" s="493"/>
    </row>
    <row r="1152" spans="18:30" x14ac:dyDescent="0.25">
      <c r="R1152" s="491"/>
      <c r="S1152" s="491"/>
      <c r="T1152" s="491"/>
      <c r="U1152" s="491"/>
      <c r="V1152" s="491"/>
      <c r="W1152" s="491"/>
      <c r="X1152" s="491"/>
      <c r="Y1152" s="491"/>
      <c r="Z1152" s="491"/>
      <c r="AA1152" s="491"/>
      <c r="AB1152" s="491"/>
      <c r="AC1152" s="491"/>
      <c r="AD1152" s="493"/>
    </row>
    <row r="1153" spans="18:30" x14ac:dyDescent="0.25">
      <c r="R1153" s="491"/>
      <c r="S1153" s="491"/>
      <c r="T1153" s="491"/>
      <c r="U1153" s="491"/>
      <c r="V1153" s="491"/>
      <c r="W1153" s="491"/>
      <c r="X1153" s="491"/>
      <c r="Y1153" s="491"/>
      <c r="Z1153" s="491"/>
      <c r="AA1153" s="491"/>
      <c r="AB1153" s="491"/>
      <c r="AC1153" s="491"/>
      <c r="AD1153" s="493"/>
    </row>
    <row r="1154" spans="18:30" x14ac:dyDescent="0.25">
      <c r="R1154" s="491"/>
      <c r="S1154" s="491"/>
      <c r="T1154" s="491"/>
      <c r="U1154" s="491"/>
      <c r="V1154" s="491"/>
      <c r="W1154" s="491"/>
      <c r="X1154" s="491"/>
      <c r="Y1154" s="491"/>
      <c r="Z1154" s="491"/>
      <c r="AA1154" s="491"/>
      <c r="AB1154" s="491"/>
      <c r="AC1154" s="491"/>
      <c r="AD1154" s="493"/>
    </row>
    <row r="1155" spans="18:30" x14ac:dyDescent="0.25">
      <c r="R1155" s="491"/>
      <c r="S1155" s="491"/>
      <c r="T1155" s="491"/>
      <c r="U1155" s="491"/>
      <c r="V1155" s="491"/>
      <c r="W1155" s="491"/>
      <c r="X1155" s="491"/>
      <c r="Y1155" s="491"/>
      <c r="Z1155" s="491"/>
      <c r="AA1155" s="491"/>
      <c r="AB1155" s="491"/>
      <c r="AC1155" s="491"/>
      <c r="AD1155" s="493"/>
    </row>
    <row r="1156" spans="18:30" x14ac:dyDescent="0.25">
      <c r="R1156" s="491"/>
      <c r="S1156" s="491"/>
      <c r="T1156" s="491"/>
      <c r="U1156" s="491"/>
      <c r="V1156" s="491"/>
      <c r="W1156" s="491"/>
      <c r="X1156" s="491"/>
      <c r="Y1156" s="491"/>
      <c r="Z1156" s="491"/>
      <c r="AA1156" s="491"/>
      <c r="AB1156" s="491"/>
      <c r="AC1156" s="491"/>
      <c r="AD1156" s="493"/>
    </row>
    <row r="1157" spans="18:30" x14ac:dyDescent="0.25">
      <c r="R1157" s="491"/>
      <c r="S1157" s="491"/>
      <c r="T1157" s="491"/>
      <c r="U1157" s="491"/>
      <c r="V1157" s="491"/>
      <c r="W1157" s="491"/>
      <c r="X1157" s="491"/>
      <c r="Y1157" s="491"/>
      <c r="Z1157" s="491"/>
      <c r="AA1157" s="491"/>
      <c r="AB1157" s="491"/>
      <c r="AC1157" s="491"/>
      <c r="AD1157" s="493"/>
    </row>
    <row r="1158" spans="18:30" x14ac:dyDescent="0.25">
      <c r="R1158" s="491"/>
      <c r="S1158" s="491"/>
      <c r="T1158" s="491"/>
      <c r="U1158" s="491"/>
      <c r="V1158" s="491"/>
      <c r="W1158" s="491"/>
      <c r="X1158" s="491"/>
      <c r="Y1158" s="491"/>
      <c r="Z1158" s="491"/>
      <c r="AA1158" s="491"/>
      <c r="AB1158" s="491"/>
      <c r="AC1158" s="491"/>
      <c r="AD1158" s="493"/>
    </row>
    <row r="1159" spans="18:30" x14ac:dyDescent="0.25">
      <c r="R1159" s="491"/>
      <c r="S1159" s="491"/>
      <c r="T1159" s="491"/>
      <c r="U1159" s="491"/>
      <c r="V1159" s="491"/>
      <c r="W1159" s="491"/>
      <c r="X1159" s="491"/>
      <c r="Y1159" s="491"/>
      <c r="Z1159" s="491"/>
      <c r="AA1159" s="491"/>
      <c r="AB1159" s="491"/>
      <c r="AC1159" s="491"/>
      <c r="AD1159" s="493"/>
    </row>
    <row r="1160" spans="18:30" x14ac:dyDescent="0.25">
      <c r="R1160" s="491"/>
      <c r="S1160" s="491"/>
      <c r="T1160" s="491"/>
      <c r="U1160" s="491"/>
      <c r="V1160" s="491"/>
      <c r="W1160" s="491"/>
      <c r="X1160" s="491"/>
      <c r="Y1160" s="491"/>
      <c r="Z1160" s="491"/>
      <c r="AA1160" s="491"/>
      <c r="AB1160" s="491"/>
      <c r="AC1160" s="491"/>
      <c r="AD1160" s="493"/>
    </row>
    <row r="1161" spans="18:30" x14ac:dyDescent="0.25">
      <c r="R1161" s="491"/>
      <c r="S1161" s="491"/>
      <c r="T1161" s="491"/>
      <c r="U1161" s="491"/>
      <c r="V1161" s="491"/>
      <c r="W1161" s="491"/>
      <c r="X1161" s="491"/>
      <c r="Y1161" s="491"/>
      <c r="Z1161" s="491"/>
      <c r="AA1161" s="491"/>
      <c r="AB1161" s="491"/>
      <c r="AC1161" s="491"/>
      <c r="AD1161" s="493"/>
    </row>
    <row r="1162" spans="18:30" x14ac:dyDescent="0.25">
      <c r="R1162" s="491"/>
      <c r="S1162" s="491"/>
      <c r="T1162" s="491"/>
      <c r="U1162" s="491"/>
      <c r="V1162" s="491"/>
      <c r="W1162" s="491"/>
      <c r="X1162" s="491"/>
      <c r="Y1162" s="491"/>
      <c r="Z1162" s="491"/>
      <c r="AA1162" s="491"/>
      <c r="AB1162" s="491"/>
      <c r="AC1162" s="491"/>
      <c r="AD1162" s="493"/>
    </row>
    <row r="1163" spans="18:30" x14ac:dyDescent="0.25">
      <c r="R1163" s="491"/>
      <c r="S1163" s="491"/>
      <c r="T1163" s="491"/>
      <c r="U1163" s="491"/>
      <c r="V1163" s="491"/>
      <c r="W1163" s="491"/>
      <c r="X1163" s="491"/>
      <c r="Y1163" s="491"/>
      <c r="Z1163" s="491"/>
      <c r="AA1163" s="491"/>
      <c r="AB1163" s="491"/>
      <c r="AC1163" s="491"/>
      <c r="AD1163" s="493"/>
    </row>
    <row r="1164" spans="18:30" x14ac:dyDescent="0.25">
      <c r="R1164" s="491"/>
      <c r="S1164" s="491"/>
      <c r="T1164" s="491"/>
      <c r="U1164" s="491"/>
      <c r="V1164" s="491"/>
      <c r="W1164" s="491"/>
      <c r="X1164" s="491"/>
      <c r="Y1164" s="491"/>
      <c r="Z1164" s="491"/>
      <c r="AA1164" s="491"/>
      <c r="AB1164" s="491"/>
      <c r="AC1164" s="491"/>
      <c r="AD1164" s="493"/>
    </row>
    <row r="1165" spans="18:30" x14ac:dyDescent="0.25">
      <c r="R1165" s="491"/>
      <c r="S1165" s="491"/>
      <c r="T1165" s="491"/>
      <c r="U1165" s="491"/>
      <c r="V1165" s="491"/>
      <c r="W1165" s="491"/>
      <c r="X1165" s="491"/>
      <c r="Y1165" s="491"/>
      <c r="Z1165" s="491"/>
      <c r="AA1165" s="491"/>
      <c r="AB1165" s="491"/>
      <c r="AC1165" s="491"/>
      <c r="AD1165" s="493"/>
    </row>
    <row r="1166" spans="18:30" x14ac:dyDescent="0.25">
      <c r="R1166" s="491"/>
      <c r="S1166" s="491"/>
      <c r="T1166" s="491"/>
      <c r="U1166" s="491"/>
      <c r="V1166" s="491"/>
      <c r="W1166" s="491"/>
      <c r="X1166" s="491"/>
      <c r="Y1166" s="491"/>
      <c r="Z1166" s="491"/>
      <c r="AA1166" s="491"/>
      <c r="AB1166" s="491"/>
      <c r="AC1166" s="491"/>
      <c r="AD1166" s="493"/>
    </row>
    <row r="1167" spans="18:30" x14ac:dyDescent="0.25">
      <c r="R1167" s="491"/>
      <c r="S1167" s="491"/>
      <c r="T1167" s="491"/>
      <c r="U1167" s="491"/>
      <c r="V1167" s="491"/>
      <c r="W1167" s="491"/>
      <c r="X1167" s="491"/>
      <c r="Y1167" s="491"/>
      <c r="Z1167" s="491"/>
      <c r="AA1167" s="491"/>
      <c r="AB1167" s="491"/>
      <c r="AC1167" s="491"/>
      <c r="AD1167" s="493"/>
    </row>
    <row r="1168" spans="18:30" x14ac:dyDescent="0.25">
      <c r="R1168" s="491"/>
      <c r="S1168" s="491"/>
      <c r="T1168" s="491"/>
      <c r="U1168" s="491"/>
      <c r="V1168" s="491"/>
      <c r="W1168" s="491"/>
      <c r="X1168" s="491"/>
      <c r="Y1168" s="491"/>
      <c r="Z1168" s="491"/>
      <c r="AA1168" s="491"/>
      <c r="AB1168" s="491"/>
      <c r="AC1168" s="491"/>
      <c r="AD1168" s="493"/>
    </row>
    <row r="1169" spans="18:30" x14ac:dyDescent="0.25">
      <c r="R1169" s="491"/>
      <c r="S1169" s="491"/>
      <c r="T1169" s="491"/>
      <c r="U1169" s="491"/>
      <c r="V1169" s="491"/>
      <c r="W1169" s="491"/>
      <c r="X1169" s="491"/>
      <c r="Y1169" s="491"/>
      <c r="Z1169" s="491"/>
      <c r="AA1169" s="491"/>
      <c r="AB1169" s="491"/>
      <c r="AC1169" s="491"/>
      <c r="AD1169" s="493"/>
    </row>
    <row r="1170" spans="18:30" x14ac:dyDescent="0.25">
      <c r="R1170" s="491"/>
      <c r="S1170" s="491"/>
      <c r="T1170" s="491"/>
      <c r="U1170" s="491"/>
      <c r="V1170" s="491"/>
      <c r="W1170" s="491"/>
      <c r="X1170" s="491"/>
      <c r="Y1170" s="491"/>
      <c r="Z1170" s="491"/>
      <c r="AA1170" s="491"/>
      <c r="AB1170" s="491"/>
      <c r="AC1170" s="491"/>
      <c r="AD1170" s="493"/>
    </row>
    <row r="1171" spans="18:30" x14ac:dyDescent="0.25">
      <c r="R1171" s="491"/>
      <c r="S1171" s="491"/>
      <c r="T1171" s="491"/>
      <c r="U1171" s="491"/>
      <c r="V1171" s="491"/>
      <c r="W1171" s="491"/>
      <c r="X1171" s="491"/>
      <c r="Y1171" s="491"/>
      <c r="Z1171" s="491"/>
      <c r="AA1171" s="491"/>
      <c r="AB1171" s="491"/>
      <c r="AC1171" s="491"/>
      <c r="AD1171" s="493"/>
    </row>
    <row r="1172" spans="18:30" x14ac:dyDescent="0.25">
      <c r="R1172" s="491"/>
      <c r="S1172" s="491"/>
      <c r="T1172" s="491"/>
      <c r="U1172" s="491"/>
      <c r="V1172" s="491"/>
      <c r="W1172" s="491"/>
      <c r="X1172" s="491"/>
      <c r="Y1172" s="491"/>
      <c r="Z1172" s="491"/>
      <c r="AA1172" s="491"/>
      <c r="AB1172" s="491"/>
      <c r="AC1172" s="491"/>
      <c r="AD1172" s="493"/>
    </row>
    <row r="1173" spans="18:30" x14ac:dyDescent="0.25">
      <c r="R1173" s="491"/>
      <c r="S1173" s="491"/>
      <c r="T1173" s="491"/>
      <c r="U1173" s="491"/>
      <c r="V1173" s="491"/>
      <c r="W1173" s="491"/>
      <c r="X1173" s="491"/>
      <c r="Y1173" s="491"/>
      <c r="Z1173" s="491"/>
      <c r="AA1173" s="491"/>
      <c r="AB1173" s="491"/>
      <c r="AC1173" s="491"/>
      <c r="AD1173" s="493"/>
    </row>
    <row r="1174" spans="18:30" x14ac:dyDescent="0.25">
      <c r="R1174" s="491"/>
      <c r="S1174" s="491"/>
      <c r="T1174" s="491"/>
      <c r="U1174" s="491"/>
      <c r="V1174" s="491"/>
      <c r="W1174" s="491"/>
      <c r="X1174" s="491"/>
      <c r="Y1174" s="491"/>
      <c r="Z1174" s="491"/>
      <c r="AA1174" s="491"/>
      <c r="AB1174" s="491"/>
      <c r="AC1174" s="491"/>
      <c r="AD1174" s="493"/>
    </row>
    <row r="1175" spans="18:30" x14ac:dyDescent="0.25">
      <c r="R1175" s="491"/>
      <c r="S1175" s="491"/>
      <c r="T1175" s="491"/>
      <c r="U1175" s="491"/>
      <c r="V1175" s="491"/>
      <c r="W1175" s="491"/>
      <c r="X1175" s="491"/>
      <c r="Y1175" s="491"/>
      <c r="Z1175" s="491"/>
      <c r="AA1175" s="491"/>
      <c r="AB1175" s="491"/>
      <c r="AC1175" s="491"/>
      <c r="AD1175" s="493"/>
    </row>
    <row r="1176" spans="18:30" x14ac:dyDescent="0.25">
      <c r="R1176" s="491"/>
      <c r="S1176" s="491"/>
      <c r="T1176" s="491"/>
      <c r="U1176" s="491"/>
      <c r="V1176" s="491"/>
      <c r="W1176" s="491"/>
      <c r="X1176" s="491"/>
      <c r="Y1176" s="491"/>
      <c r="Z1176" s="491"/>
      <c r="AA1176" s="491"/>
      <c r="AB1176" s="491"/>
      <c r="AC1176" s="491"/>
      <c r="AD1176" s="493"/>
    </row>
    <row r="1177" spans="18:30" x14ac:dyDescent="0.25">
      <c r="R1177" s="491"/>
      <c r="S1177" s="491"/>
      <c r="T1177" s="491"/>
      <c r="U1177" s="491"/>
      <c r="V1177" s="491"/>
      <c r="W1177" s="491"/>
      <c r="X1177" s="491"/>
      <c r="Y1177" s="491"/>
      <c r="Z1177" s="491"/>
      <c r="AA1177" s="491"/>
      <c r="AB1177" s="491"/>
      <c r="AC1177" s="491"/>
      <c r="AD1177" s="493"/>
    </row>
    <row r="1178" spans="18:30" x14ac:dyDescent="0.25">
      <c r="R1178" s="491"/>
      <c r="S1178" s="491"/>
      <c r="T1178" s="491"/>
      <c r="U1178" s="491"/>
      <c r="V1178" s="491"/>
      <c r="W1178" s="491"/>
      <c r="X1178" s="491"/>
      <c r="Y1178" s="491"/>
      <c r="Z1178" s="491"/>
      <c r="AA1178" s="491"/>
      <c r="AB1178" s="491"/>
      <c r="AC1178" s="491"/>
      <c r="AD1178" s="493"/>
    </row>
    <row r="1179" spans="18:30" x14ac:dyDescent="0.25">
      <c r="R1179" s="491"/>
      <c r="S1179" s="491"/>
      <c r="T1179" s="491"/>
      <c r="U1179" s="491"/>
      <c r="V1179" s="491"/>
      <c r="W1179" s="491"/>
      <c r="X1179" s="491"/>
      <c r="Y1179" s="491"/>
      <c r="Z1179" s="491"/>
      <c r="AA1179" s="491"/>
      <c r="AB1179" s="491"/>
      <c r="AC1179" s="491"/>
      <c r="AD1179" s="493"/>
    </row>
    <row r="1180" spans="18:30" x14ac:dyDescent="0.25">
      <c r="R1180" s="491"/>
      <c r="S1180" s="491"/>
      <c r="T1180" s="491"/>
      <c r="U1180" s="491"/>
      <c r="V1180" s="491"/>
      <c r="W1180" s="491"/>
      <c r="X1180" s="491"/>
      <c r="Y1180" s="491"/>
      <c r="Z1180" s="491"/>
      <c r="AA1180" s="491"/>
      <c r="AB1180" s="491"/>
      <c r="AC1180" s="491"/>
      <c r="AD1180" s="493"/>
    </row>
    <row r="1181" spans="18:30" x14ac:dyDescent="0.25">
      <c r="R1181" s="491"/>
      <c r="S1181" s="491"/>
      <c r="T1181" s="491"/>
      <c r="U1181" s="491"/>
      <c r="V1181" s="491"/>
      <c r="W1181" s="491"/>
      <c r="X1181" s="491"/>
      <c r="Y1181" s="491"/>
      <c r="Z1181" s="491"/>
      <c r="AA1181" s="491"/>
      <c r="AB1181" s="491"/>
      <c r="AC1181" s="491"/>
      <c r="AD1181" s="493"/>
    </row>
    <row r="1182" spans="18:30" x14ac:dyDescent="0.25">
      <c r="R1182" s="491"/>
      <c r="S1182" s="491"/>
      <c r="T1182" s="491"/>
      <c r="U1182" s="491"/>
      <c r="V1182" s="491"/>
      <c r="W1182" s="491"/>
      <c r="X1182" s="491"/>
      <c r="Y1182" s="491"/>
      <c r="Z1182" s="491"/>
      <c r="AA1182" s="491"/>
      <c r="AB1182" s="491"/>
      <c r="AC1182" s="491"/>
      <c r="AD1182" s="493"/>
    </row>
    <row r="1183" spans="18:30" x14ac:dyDescent="0.25">
      <c r="R1183" s="491"/>
      <c r="S1183" s="491"/>
      <c r="T1183" s="491"/>
      <c r="U1183" s="491"/>
      <c r="V1183" s="491"/>
      <c r="W1183" s="491"/>
      <c r="X1183" s="491"/>
      <c r="Y1183" s="491"/>
      <c r="Z1183" s="491"/>
      <c r="AA1183" s="491"/>
      <c r="AB1183" s="491"/>
      <c r="AC1183" s="491"/>
      <c r="AD1183" s="493"/>
    </row>
    <row r="1184" spans="18:30" x14ac:dyDescent="0.25">
      <c r="R1184" s="491"/>
      <c r="S1184" s="491"/>
      <c r="T1184" s="491"/>
      <c r="U1184" s="491"/>
      <c r="V1184" s="491"/>
      <c r="W1184" s="491"/>
      <c r="X1184" s="491"/>
      <c r="Y1184" s="491"/>
      <c r="Z1184" s="491"/>
      <c r="AA1184" s="491"/>
      <c r="AB1184" s="491"/>
      <c r="AC1184" s="491"/>
      <c r="AD1184" s="493"/>
    </row>
    <row r="1185" spans="18:30" x14ac:dyDescent="0.25">
      <c r="R1185" s="491"/>
      <c r="S1185" s="491"/>
      <c r="T1185" s="491"/>
      <c r="U1185" s="491"/>
      <c r="V1185" s="491"/>
      <c r="W1185" s="491"/>
      <c r="X1185" s="491"/>
      <c r="Y1185" s="491"/>
      <c r="Z1185" s="491"/>
      <c r="AA1185" s="491"/>
      <c r="AB1185" s="491"/>
      <c r="AC1185" s="491"/>
      <c r="AD1185" s="493"/>
    </row>
    <row r="1186" spans="18:30" x14ac:dyDescent="0.25">
      <c r="R1186" s="491"/>
      <c r="S1186" s="491"/>
      <c r="T1186" s="491"/>
      <c r="U1186" s="491"/>
      <c r="V1186" s="491"/>
      <c r="W1186" s="491"/>
      <c r="X1186" s="491"/>
      <c r="Y1186" s="491"/>
      <c r="Z1186" s="491"/>
      <c r="AA1186" s="491"/>
      <c r="AB1186" s="491"/>
      <c r="AC1186" s="491"/>
      <c r="AD1186" s="493"/>
    </row>
    <row r="1187" spans="18:30" x14ac:dyDescent="0.25">
      <c r="R1187" s="491"/>
      <c r="S1187" s="491"/>
      <c r="T1187" s="491"/>
      <c r="U1187" s="491"/>
      <c r="V1187" s="491"/>
      <c r="W1187" s="491"/>
      <c r="X1187" s="491"/>
      <c r="Y1187" s="491"/>
      <c r="Z1187" s="491"/>
      <c r="AA1187" s="491"/>
      <c r="AB1187" s="491"/>
      <c r="AC1187" s="491"/>
      <c r="AD1187" s="493"/>
    </row>
    <row r="1188" spans="18:30" x14ac:dyDescent="0.25">
      <c r="R1188" s="491"/>
      <c r="S1188" s="491"/>
      <c r="T1188" s="491"/>
      <c r="U1188" s="491"/>
      <c r="V1188" s="491"/>
      <c r="W1188" s="491"/>
      <c r="X1188" s="491"/>
      <c r="Y1188" s="491"/>
      <c r="Z1188" s="491"/>
      <c r="AA1188" s="491"/>
      <c r="AB1188" s="491"/>
      <c r="AC1188" s="491"/>
      <c r="AD1188" s="493"/>
    </row>
    <row r="1189" spans="18:30" x14ac:dyDescent="0.25">
      <c r="R1189" s="491"/>
      <c r="S1189" s="491"/>
      <c r="T1189" s="491"/>
      <c r="U1189" s="491"/>
      <c r="V1189" s="491"/>
      <c r="W1189" s="491"/>
      <c r="X1189" s="491"/>
      <c r="Y1189" s="491"/>
      <c r="Z1189" s="491"/>
      <c r="AA1189" s="491"/>
      <c r="AB1189" s="491"/>
      <c r="AC1189" s="491"/>
      <c r="AD1189" s="493"/>
    </row>
    <row r="1190" spans="18:30" x14ac:dyDescent="0.25">
      <c r="R1190" s="491"/>
      <c r="S1190" s="491"/>
      <c r="T1190" s="491"/>
      <c r="U1190" s="491"/>
      <c r="V1190" s="491"/>
      <c r="W1190" s="491"/>
      <c r="X1190" s="491"/>
      <c r="Y1190" s="491"/>
      <c r="Z1190" s="491"/>
      <c r="AA1190" s="491"/>
      <c r="AB1190" s="491"/>
      <c r="AC1190" s="491"/>
      <c r="AD1190" s="493"/>
    </row>
    <row r="1191" spans="18:30" x14ac:dyDescent="0.25">
      <c r="R1191" s="491"/>
      <c r="S1191" s="491"/>
      <c r="T1191" s="491"/>
      <c r="U1191" s="491"/>
      <c r="V1191" s="491"/>
      <c r="W1191" s="491"/>
      <c r="X1191" s="491"/>
      <c r="Y1191" s="491"/>
      <c r="Z1191" s="491"/>
      <c r="AA1191" s="491"/>
      <c r="AB1191" s="491"/>
      <c r="AC1191" s="491"/>
      <c r="AD1191" s="493"/>
    </row>
    <row r="1192" spans="18:30" x14ac:dyDescent="0.25">
      <c r="R1192" s="491"/>
      <c r="S1192" s="491"/>
      <c r="T1192" s="491"/>
      <c r="U1192" s="491"/>
      <c r="V1192" s="491"/>
      <c r="W1192" s="491"/>
      <c r="X1192" s="491"/>
      <c r="Y1192" s="491"/>
      <c r="Z1192" s="491"/>
      <c r="AA1192" s="491"/>
      <c r="AB1192" s="491"/>
      <c r="AC1192" s="491"/>
      <c r="AD1192" s="493"/>
    </row>
    <row r="1193" spans="18:30" x14ac:dyDescent="0.25">
      <c r="R1193" s="491"/>
      <c r="S1193" s="491"/>
      <c r="T1193" s="491"/>
      <c r="U1193" s="491"/>
      <c r="V1193" s="491"/>
      <c r="W1193" s="491"/>
      <c r="X1193" s="491"/>
      <c r="Y1193" s="491"/>
      <c r="Z1193" s="491"/>
      <c r="AA1193" s="491"/>
      <c r="AB1193" s="491"/>
      <c r="AC1193" s="491"/>
      <c r="AD1193" s="493"/>
    </row>
    <row r="1194" spans="18:30" x14ac:dyDescent="0.25">
      <c r="R1194" s="491"/>
      <c r="S1194" s="491"/>
      <c r="T1194" s="491"/>
      <c r="U1194" s="491"/>
      <c r="V1194" s="491"/>
      <c r="W1194" s="491"/>
      <c r="X1194" s="491"/>
      <c r="Y1194" s="491"/>
      <c r="Z1194" s="491"/>
      <c r="AA1194" s="491"/>
      <c r="AB1194" s="491"/>
      <c r="AC1194" s="491"/>
      <c r="AD1194" s="493"/>
    </row>
    <row r="1195" spans="18:30" x14ac:dyDescent="0.25">
      <c r="R1195" s="491"/>
      <c r="S1195" s="491"/>
      <c r="T1195" s="491"/>
      <c r="U1195" s="491"/>
      <c r="V1195" s="491"/>
      <c r="W1195" s="491"/>
      <c r="X1195" s="491"/>
      <c r="Y1195" s="491"/>
      <c r="Z1195" s="491"/>
      <c r="AA1195" s="491"/>
      <c r="AB1195" s="491"/>
      <c r="AC1195" s="491"/>
      <c r="AD1195" s="493"/>
    </row>
    <row r="1196" spans="18:30" x14ac:dyDescent="0.25">
      <c r="R1196" s="491"/>
      <c r="S1196" s="491"/>
      <c r="T1196" s="491"/>
      <c r="U1196" s="491"/>
      <c r="V1196" s="491"/>
      <c r="W1196" s="491"/>
      <c r="X1196" s="491"/>
      <c r="Y1196" s="491"/>
      <c r="Z1196" s="491"/>
      <c r="AA1196" s="491"/>
      <c r="AB1196" s="491"/>
      <c r="AC1196" s="491"/>
      <c r="AD1196" s="493"/>
    </row>
    <row r="1197" spans="18:30" x14ac:dyDescent="0.25">
      <c r="R1197" s="491"/>
      <c r="S1197" s="491"/>
      <c r="T1197" s="491"/>
      <c r="U1197" s="491"/>
      <c r="V1197" s="491"/>
      <c r="W1197" s="491"/>
      <c r="X1197" s="491"/>
      <c r="Y1197" s="491"/>
      <c r="Z1197" s="491"/>
      <c r="AA1197" s="491"/>
      <c r="AB1197" s="491"/>
      <c r="AC1197" s="491"/>
      <c r="AD1197" s="493"/>
    </row>
    <row r="1198" spans="18:30" x14ac:dyDescent="0.25">
      <c r="R1198" s="491"/>
      <c r="S1198" s="491"/>
      <c r="T1198" s="491"/>
      <c r="U1198" s="491"/>
      <c r="V1198" s="491"/>
      <c r="W1198" s="491"/>
      <c r="X1198" s="491"/>
      <c r="Y1198" s="491"/>
      <c r="Z1198" s="491"/>
      <c r="AA1198" s="491"/>
      <c r="AB1198" s="491"/>
      <c r="AC1198" s="491"/>
      <c r="AD1198" s="493"/>
    </row>
    <row r="1199" spans="18:30" x14ac:dyDescent="0.25">
      <c r="R1199" s="491"/>
      <c r="S1199" s="491"/>
      <c r="T1199" s="491"/>
      <c r="U1199" s="491"/>
      <c r="V1199" s="491"/>
      <c r="W1199" s="491"/>
      <c r="X1199" s="491"/>
      <c r="Y1199" s="491"/>
      <c r="Z1199" s="491"/>
      <c r="AA1199" s="491"/>
      <c r="AB1199" s="491"/>
      <c r="AC1199" s="491"/>
      <c r="AD1199" s="493"/>
    </row>
    <row r="1200" spans="18:30" x14ac:dyDescent="0.25">
      <c r="R1200" s="491"/>
      <c r="S1200" s="491"/>
      <c r="T1200" s="491"/>
      <c r="U1200" s="491"/>
      <c r="V1200" s="491"/>
      <c r="W1200" s="491"/>
      <c r="X1200" s="491"/>
      <c r="Y1200" s="491"/>
      <c r="Z1200" s="491"/>
      <c r="AA1200" s="491"/>
      <c r="AB1200" s="491"/>
      <c r="AC1200" s="491"/>
      <c r="AD1200" s="493"/>
    </row>
    <row r="1201" spans="18:30" x14ac:dyDescent="0.25">
      <c r="R1201" s="491"/>
      <c r="S1201" s="491"/>
      <c r="T1201" s="491"/>
      <c r="U1201" s="491"/>
      <c r="V1201" s="491"/>
      <c r="W1201" s="491"/>
      <c r="X1201" s="491"/>
      <c r="Y1201" s="491"/>
      <c r="Z1201" s="491"/>
      <c r="AA1201" s="491"/>
      <c r="AB1201" s="491"/>
      <c r="AC1201" s="491"/>
      <c r="AD1201" s="493"/>
    </row>
    <row r="1202" spans="18:30" x14ac:dyDescent="0.25">
      <c r="R1202" s="491"/>
      <c r="S1202" s="491"/>
      <c r="T1202" s="491"/>
      <c r="U1202" s="491"/>
      <c r="V1202" s="491"/>
      <c r="W1202" s="491"/>
      <c r="X1202" s="491"/>
      <c r="Y1202" s="491"/>
      <c r="Z1202" s="491"/>
      <c r="AA1202" s="491"/>
      <c r="AB1202" s="491"/>
      <c r="AC1202" s="491"/>
      <c r="AD1202" s="493"/>
    </row>
    <row r="1203" spans="18:30" x14ac:dyDescent="0.25">
      <c r="R1203" s="491"/>
      <c r="S1203" s="491"/>
      <c r="T1203" s="491"/>
      <c r="U1203" s="491"/>
      <c r="V1203" s="491"/>
      <c r="W1203" s="491"/>
      <c r="X1203" s="491"/>
      <c r="Y1203" s="491"/>
      <c r="Z1203" s="491"/>
      <c r="AA1203" s="491"/>
      <c r="AB1203" s="491"/>
      <c r="AC1203" s="491"/>
      <c r="AD1203" s="493"/>
    </row>
    <row r="1204" spans="18:30" x14ac:dyDescent="0.25">
      <c r="R1204" s="491"/>
      <c r="S1204" s="491"/>
      <c r="T1204" s="491"/>
      <c r="U1204" s="491"/>
      <c r="V1204" s="491"/>
      <c r="W1204" s="491"/>
      <c r="X1204" s="491"/>
      <c r="Y1204" s="491"/>
      <c r="Z1204" s="491"/>
      <c r="AA1204" s="491"/>
      <c r="AB1204" s="491"/>
      <c r="AC1204" s="491"/>
      <c r="AD1204" s="493"/>
    </row>
    <row r="1205" spans="18:30" x14ac:dyDescent="0.25">
      <c r="R1205" s="491"/>
      <c r="S1205" s="491"/>
      <c r="T1205" s="491"/>
      <c r="U1205" s="491"/>
      <c r="V1205" s="491"/>
      <c r="W1205" s="491"/>
      <c r="X1205" s="491"/>
      <c r="Y1205" s="491"/>
      <c r="Z1205" s="491"/>
      <c r="AA1205" s="491"/>
      <c r="AB1205" s="491"/>
      <c r="AC1205" s="491"/>
      <c r="AD1205" s="493"/>
    </row>
    <row r="1206" spans="18:30" x14ac:dyDescent="0.25">
      <c r="R1206" s="491"/>
      <c r="S1206" s="491"/>
      <c r="T1206" s="491"/>
      <c r="U1206" s="491"/>
      <c r="V1206" s="491"/>
      <c r="W1206" s="491"/>
      <c r="X1206" s="491"/>
      <c r="Y1206" s="491"/>
      <c r="Z1206" s="491"/>
      <c r="AA1206" s="491"/>
      <c r="AB1206" s="491"/>
      <c r="AC1206" s="491"/>
      <c r="AD1206" s="493"/>
    </row>
    <row r="1207" spans="18:30" x14ac:dyDescent="0.25">
      <c r="R1207" s="491"/>
      <c r="S1207" s="491"/>
      <c r="T1207" s="491"/>
      <c r="U1207" s="491"/>
      <c r="V1207" s="491"/>
      <c r="W1207" s="491"/>
      <c r="X1207" s="491"/>
      <c r="Y1207" s="491"/>
      <c r="Z1207" s="491"/>
      <c r="AA1207" s="491"/>
      <c r="AB1207" s="491"/>
      <c r="AC1207" s="491"/>
      <c r="AD1207" s="493"/>
    </row>
    <row r="1208" spans="18:30" x14ac:dyDescent="0.25">
      <c r="R1208" s="491"/>
      <c r="S1208" s="491"/>
      <c r="T1208" s="491"/>
      <c r="U1208" s="491"/>
      <c r="V1208" s="491"/>
      <c r="W1208" s="491"/>
      <c r="X1208" s="491"/>
      <c r="Y1208" s="491"/>
      <c r="Z1208" s="491"/>
      <c r="AA1208" s="491"/>
      <c r="AB1208" s="491"/>
      <c r="AC1208" s="491"/>
      <c r="AD1208" s="493"/>
    </row>
    <row r="1209" spans="18:30" x14ac:dyDescent="0.25">
      <c r="R1209" s="491"/>
      <c r="S1209" s="491"/>
      <c r="T1209" s="491"/>
      <c r="U1209" s="491"/>
      <c r="V1209" s="491"/>
      <c r="W1209" s="491"/>
      <c r="X1209" s="491"/>
      <c r="Y1209" s="491"/>
      <c r="Z1209" s="491"/>
      <c r="AA1209" s="491"/>
      <c r="AB1209" s="491"/>
      <c r="AC1209" s="491"/>
      <c r="AD1209" s="493"/>
    </row>
    <row r="1210" spans="18:30" x14ac:dyDescent="0.25">
      <c r="R1210" s="491"/>
      <c r="S1210" s="491"/>
      <c r="T1210" s="491"/>
      <c r="U1210" s="491"/>
      <c r="V1210" s="491"/>
      <c r="W1210" s="491"/>
      <c r="X1210" s="491"/>
      <c r="Y1210" s="491"/>
      <c r="Z1210" s="491"/>
      <c r="AA1210" s="491"/>
      <c r="AB1210" s="491"/>
      <c r="AC1210" s="491"/>
      <c r="AD1210" s="493"/>
    </row>
    <row r="1211" spans="18:30" x14ac:dyDescent="0.25">
      <c r="R1211" s="491"/>
      <c r="S1211" s="491"/>
      <c r="T1211" s="491"/>
      <c r="U1211" s="491"/>
      <c r="V1211" s="491"/>
      <c r="W1211" s="491"/>
      <c r="X1211" s="491"/>
      <c r="Y1211" s="491"/>
      <c r="Z1211" s="491"/>
      <c r="AA1211" s="491"/>
      <c r="AB1211" s="491"/>
      <c r="AC1211" s="491"/>
      <c r="AD1211" s="493"/>
    </row>
    <row r="1212" spans="18:30" x14ac:dyDescent="0.25">
      <c r="R1212" s="491"/>
      <c r="S1212" s="491"/>
      <c r="T1212" s="491"/>
      <c r="U1212" s="491"/>
      <c r="V1212" s="491"/>
      <c r="W1212" s="491"/>
      <c r="X1212" s="491"/>
      <c r="Y1212" s="491"/>
      <c r="Z1212" s="491"/>
      <c r="AA1212" s="491"/>
      <c r="AB1212" s="491"/>
      <c r="AC1212" s="491"/>
      <c r="AD1212" s="493"/>
    </row>
    <row r="1213" spans="18:30" x14ac:dyDescent="0.25">
      <c r="R1213" s="491"/>
      <c r="S1213" s="491"/>
      <c r="T1213" s="491"/>
      <c r="U1213" s="491"/>
      <c r="V1213" s="491"/>
      <c r="W1213" s="491"/>
      <c r="X1213" s="491"/>
      <c r="Y1213" s="491"/>
      <c r="Z1213" s="491"/>
      <c r="AA1213" s="491"/>
      <c r="AB1213" s="491"/>
      <c r="AC1213" s="491"/>
      <c r="AD1213" s="493"/>
    </row>
    <row r="1214" spans="18:30" x14ac:dyDescent="0.25">
      <c r="R1214" s="491"/>
      <c r="S1214" s="491"/>
      <c r="T1214" s="491"/>
      <c r="U1214" s="491"/>
      <c r="V1214" s="491"/>
      <c r="W1214" s="491"/>
      <c r="X1214" s="491"/>
      <c r="Y1214" s="491"/>
      <c r="Z1214" s="491"/>
      <c r="AA1214" s="491"/>
      <c r="AB1214" s="491"/>
      <c r="AC1214" s="491"/>
      <c r="AD1214" s="493"/>
    </row>
    <row r="1215" spans="18:30" x14ac:dyDescent="0.25">
      <c r="R1215" s="491"/>
      <c r="S1215" s="491"/>
      <c r="T1215" s="491"/>
      <c r="U1215" s="491"/>
      <c r="V1215" s="491"/>
      <c r="W1215" s="491"/>
      <c r="X1215" s="491"/>
      <c r="Y1215" s="491"/>
      <c r="Z1215" s="491"/>
      <c r="AA1215" s="491"/>
      <c r="AB1215" s="491"/>
      <c r="AC1215" s="491"/>
      <c r="AD1215" s="493"/>
    </row>
    <row r="1216" spans="18:30" x14ac:dyDescent="0.25">
      <c r="R1216" s="491"/>
      <c r="S1216" s="491"/>
      <c r="T1216" s="491"/>
      <c r="U1216" s="491"/>
      <c r="V1216" s="491"/>
      <c r="W1216" s="491"/>
      <c r="X1216" s="491"/>
      <c r="Y1216" s="491"/>
      <c r="Z1216" s="491"/>
      <c r="AA1216" s="491"/>
      <c r="AB1216" s="491"/>
      <c r="AC1216" s="491"/>
      <c r="AD1216" s="493"/>
    </row>
    <row r="1217" spans="18:30" x14ac:dyDescent="0.25">
      <c r="R1217" s="491"/>
      <c r="S1217" s="491"/>
      <c r="T1217" s="491"/>
      <c r="U1217" s="491"/>
      <c r="V1217" s="491"/>
      <c r="W1217" s="491"/>
      <c r="X1217" s="491"/>
      <c r="Y1217" s="491"/>
      <c r="Z1217" s="491"/>
      <c r="AA1217" s="491"/>
      <c r="AB1217" s="491"/>
      <c r="AC1217" s="491"/>
      <c r="AD1217" s="493"/>
    </row>
    <row r="1218" spans="18:30" x14ac:dyDescent="0.25">
      <c r="R1218" s="491"/>
      <c r="S1218" s="491"/>
      <c r="T1218" s="491"/>
      <c r="U1218" s="491"/>
      <c r="V1218" s="491"/>
      <c r="W1218" s="491"/>
      <c r="X1218" s="491"/>
      <c r="Y1218" s="491"/>
      <c r="Z1218" s="491"/>
      <c r="AA1218" s="491"/>
      <c r="AB1218" s="491"/>
      <c r="AC1218" s="491"/>
      <c r="AD1218" s="493"/>
    </row>
    <row r="1219" spans="18:30" x14ac:dyDescent="0.25">
      <c r="R1219" s="491"/>
      <c r="S1219" s="491"/>
      <c r="T1219" s="491"/>
      <c r="U1219" s="491"/>
      <c r="V1219" s="491"/>
      <c r="W1219" s="491"/>
      <c r="X1219" s="491"/>
      <c r="Y1219" s="491"/>
      <c r="Z1219" s="491"/>
      <c r="AA1219" s="491"/>
      <c r="AB1219" s="491"/>
      <c r="AC1219" s="491"/>
      <c r="AD1219" s="493"/>
    </row>
    <row r="1220" spans="18:30" x14ac:dyDescent="0.25">
      <c r="R1220" s="491"/>
      <c r="S1220" s="491"/>
      <c r="T1220" s="491"/>
      <c r="U1220" s="491"/>
      <c r="V1220" s="491"/>
      <c r="W1220" s="491"/>
      <c r="X1220" s="491"/>
      <c r="Y1220" s="491"/>
      <c r="Z1220" s="491"/>
      <c r="AA1220" s="491"/>
      <c r="AB1220" s="491"/>
      <c r="AC1220" s="491"/>
      <c r="AD1220" s="493"/>
    </row>
    <row r="1221" spans="18:30" x14ac:dyDescent="0.25">
      <c r="R1221" s="491"/>
      <c r="S1221" s="491"/>
      <c r="T1221" s="491"/>
      <c r="U1221" s="491"/>
      <c r="V1221" s="491"/>
      <c r="W1221" s="491"/>
      <c r="X1221" s="491"/>
      <c r="Y1221" s="491"/>
      <c r="Z1221" s="491"/>
      <c r="AA1221" s="491"/>
      <c r="AB1221" s="491"/>
      <c r="AC1221" s="491"/>
      <c r="AD1221" s="493"/>
    </row>
    <row r="1222" spans="18:30" x14ac:dyDescent="0.25">
      <c r="R1222" s="491"/>
      <c r="S1222" s="491"/>
      <c r="T1222" s="491"/>
      <c r="U1222" s="491"/>
      <c r="V1222" s="491"/>
      <c r="W1222" s="491"/>
      <c r="X1222" s="491"/>
      <c r="Y1222" s="491"/>
      <c r="Z1222" s="491"/>
      <c r="AA1222" s="491"/>
      <c r="AB1222" s="491"/>
      <c r="AC1222" s="491"/>
      <c r="AD1222" s="493"/>
    </row>
    <row r="1223" spans="18:30" x14ac:dyDescent="0.25">
      <c r="R1223" s="491"/>
      <c r="S1223" s="491"/>
      <c r="T1223" s="491"/>
      <c r="U1223" s="491"/>
      <c r="V1223" s="491"/>
      <c r="W1223" s="491"/>
      <c r="X1223" s="491"/>
      <c r="Y1223" s="491"/>
      <c r="Z1223" s="491"/>
      <c r="AA1223" s="491"/>
      <c r="AB1223" s="491"/>
      <c r="AC1223" s="491"/>
      <c r="AD1223" s="493"/>
    </row>
    <row r="1224" spans="18:30" x14ac:dyDescent="0.25">
      <c r="R1224" s="491"/>
      <c r="S1224" s="491"/>
      <c r="T1224" s="491"/>
      <c r="U1224" s="491"/>
      <c r="V1224" s="491"/>
      <c r="W1224" s="491"/>
      <c r="X1224" s="491"/>
      <c r="Y1224" s="491"/>
      <c r="Z1224" s="491"/>
      <c r="AA1224" s="491"/>
      <c r="AB1224" s="491"/>
      <c r="AC1224" s="491"/>
      <c r="AD1224" s="493"/>
    </row>
    <row r="1225" spans="18:30" x14ac:dyDescent="0.25">
      <c r="R1225" s="491"/>
      <c r="S1225" s="491"/>
      <c r="T1225" s="491"/>
      <c r="U1225" s="491"/>
      <c r="V1225" s="491"/>
      <c r="W1225" s="491"/>
      <c r="X1225" s="491"/>
      <c r="Y1225" s="491"/>
      <c r="Z1225" s="491"/>
      <c r="AA1225" s="491"/>
      <c r="AB1225" s="491"/>
      <c r="AC1225" s="491"/>
      <c r="AD1225" s="493"/>
    </row>
    <row r="1226" spans="18:30" x14ac:dyDescent="0.25">
      <c r="R1226" s="491"/>
      <c r="S1226" s="491"/>
      <c r="T1226" s="491"/>
      <c r="U1226" s="491"/>
      <c r="V1226" s="491"/>
      <c r="W1226" s="491"/>
      <c r="X1226" s="491"/>
      <c r="Y1226" s="491"/>
      <c r="Z1226" s="491"/>
      <c r="AA1226" s="491"/>
      <c r="AB1226" s="491"/>
      <c r="AC1226" s="491"/>
      <c r="AD1226" s="493"/>
    </row>
    <row r="1227" spans="18:30" x14ac:dyDescent="0.25">
      <c r="R1227" s="491"/>
      <c r="S1227" s="491"/>
      <c r="T1227" s="491"/>
      <c r="U1227" s="491"/>
      <c r="V1227" s="491"/>
      <c r="W1227" s="491"/>
      <c r="X1227" s="491"/>
      <c r="Y1227" s="491"/>
      <c r="Z1227" s="491"/>
      <c r="AA1227" s="491"/>
      <c r="AB1227" s="491"/>
      <c r="AC1227" s="491"/>
      <c r="AD1227" s="493"/>
    </row>
    <row r="1228" spans="18:30" x14ac:dyDescent="0.25">
      <c r="R1228" s="491"/>
      <c r="S1228" s="491"/>
      <c r="T1228" s="491"/>
      <c r="U1228" s="491"/>
      <c r="V1228" s="491"/>
      <c r="W1228" s="491"/>
      <c r="X1228" s="491"/>
      <c r="Y1228" s="491"/>
      <c r="Z1228" s="491"/>
      <c r="AA1228" s="491"/>
      <c r="AB1228" s="491"/>
      <c r="AC1228" s="491"/>
      <c r="AD1228" s="493"/>
    </row>
    <row r="1229" spans="18:30" x14ac:dyDescent="0.25">
      <c r="R1229" s="491"/>
      <c r="S1229" s="491"/>
      <c r="T1229" s="491"/>
      <c r="U1229" s="491"/>
      <c r="V1229" s="491"/>
      <c r="W1229" s="491"/>
      <c r="X1229" s="491"/>
      <c r="Y1229" s="491"/>
      <c r="Z1229" s="491"/>
      <c r="AA1229" s="491"/>
      <c r="AB1229" s="491"/>
      <c r="AC1229" s="491"/>
      <c r="AD1229" s="493"/>
    </row>
    <row r="1230" spans="18:30" x14ac:dyDescent="0.25">
      <c r="R1230" s="491"/>
      <c r="S1230" s="491"/>
      <c r="T1230" s="491"/>
      <c r="U1230" s="491"/>
      <c r="V1230" s="491"/>
      <c r="W1230" s="491"/>
      <c r="X1230" s="491"/>
      <c r="Y1230" s="491"/>
      <c r="Z1230" s="491"/>
      <c r="AA1230" s="491"/>
      <c r="AB1230" s="491"/>
      <c r="AC1230" s="491"/>
      <c r="AD1230" s="493"/>
    </row>
    <row r="1231" spans="18:30" x14ac:dyDescent="0.25">
      <c r="R1231" s="491"/>
      <c r="S1231" s="491"/>
      <c r="T1231" s="491"/>
      <c r="U1231" s="491"/>
      <c r="V1231" s="491"/>
      <c r="W1231" s="491"/>
      <c r="X1231" s="491"/>
      <c r="Y1231" s="491"/>
      <c r="Z1231" s="491"/>
      <c r="AA1231" s="491"/>
      <c r="AB1231" s="491"/>
      <c r="AC1231" s="491"/>
      <c r="AD1231" s="493"/>
    </row>
    <row r="1232" spans="18:30" x14ac:dyDescent="0.25">
      <c r="R1232" s="491"/>
      <c r="S1232" s="491"/>
      <c r="T1232" s="491"/>
      <c r="U1232" s="491"/>
      <c r="V1232" s="491"/>
      <c r="W1232" s="491"/>
      <c r="X1232" s="491"/>
      <c r="Y1232" s="491"/>
      <c r="Z1232" s="491"/>
      <c r="AA1232" s="491"/>
      <c r="AB1232" s="491"/>
      <c r="AC1232" s="491"/>
      <c r="AD1232" s="493"/>
    </row>
    <row r="1233" spans="18:30" x14ac:dyDescent="0.25">
      <c r="R1233" s="491"/>
      <c r="S1233" s="491"/>
      <c r="T1233" s="491"/>
      <c r="U1233" s="491"/>
      <c r="V1233" s="491"/>
      <c r="W1233" s="491"/>
      <c r="X1233" s="491"/>
      <c r="Y1233" s="491"/>
      <c r="Z1233" s="491"/>
      <c r="AA1233" s="491"/>
      <c r="AB1233" s="491"/>
      <c r="AC1233" s="491"/>
      <c r="AD1233" s="493"/>
    </row>
    <row r="1234" spans="18:30" x14ac:dyDescent="0.25">
      <c r="R1234" s="491"/>
      <c r="S1234" s="491"/>
      <c r="T1234" s="491"/>
      <c r="U1234" s="491"/>
      <c r="V1234" s="491"/>
      <c r="W1234" s="491"/>
      <c r="X1234" s="491"/>
      <c r="Y1234" s="491"/>
      <c r="Z1234" s="491"/>
      <c r="AA1234" s="491"/>
      <c r="AB1234" s="491"/>
      <c r="AC1234" s="491"/>
      <c r="AD1234" s="493"/>
    </row>
    <row r="1235" spans="18:30" x14ac:dyDescent="0.25">
      <c r="R1235" s="491"/>
      <c r="S1235" s="491"/>
      <c r="T1235" s="491"/>
      <c r="U1235" s="491"/>
      <c r="V1235" s="491"/>
      <c r="W1235" s="491"/>
      <c r="X1235" s="491"/>
      <c r="Y1235" s="491"/>
      <c r="Z1235" s="491"/>
      <c r="AA1235" s="491"/>
      <c r="AB1235" s="491"/>
      <c r="AC1235" s="491"/>
      <c r="AD1235" s="493"/>
    </row>
    <row r="1236" spans="18:30" x14ac:dyDescent="0.25">
      <c r="R1236" s="491"/>
      <c r="S1236" s="491"/>
      <c r="T1236" s="491"/>
      <c r="U1236" s="491"/>
      <c r="V1236" s="491"/>
      <c r="W1236" s="491"/>
      <c r="X1236" s="491"/>
      <c r="Y1236" s="491"/>
      <c r="Z1236" s="491"/>
      <c r="AA1236" s="491"/>
      <c r="AB1236" s="491"/>
      <c r="AC1236" s="491"/>
      <c r="AD1236" s="493"/>
    </row>
    <row r="1237" spans="18:30" x14ac:dyDescent="0.25">
      <c r="R1237" s="491"/>
      <c r="S1237" s="491"/>
      <c r="T1237" s="491"/>
      <c r="U1237" s="491"/>
      <c r="V1237" s="491"/>
      <c r="W1237" s="491"/>
      <c r="X1237" s="491"/>
      <c r="Y1237" s="491"/>
      <c r="Z1237" s="491"/>
      <c r="AA1237" s="491"/>
      <c r="AB1237" s="491"/>
      <c r="AC1237" s="491"/>
      <c r="AD1237" s="493"/>
    </row>
    <row r="1238" spans="18:30" x14ac:dyDescent="0.25">
      <c r="R1238" s="491"/>
      <c r="S1238" s="491"/>
      <c r="T1238" s="491"/>
      <c r="U1238" s="491"/>
      <c r="V1238" s="491"/>
      <c r="W1238" s="491"/>
      <c r="X1238" s="491"/>
      <c r="Y1238" s="491"/>
      <c r="Z1238" s="491"/>
      <c r="AA1238" s="491"/>
      <c r="AB1238" s="491"/>
      <c r="AC1238" s="491"/>
      <c r="AD1238" s="493"/>
    </row>
    <row r="1239" spans="18:30" x14ac:dyDescent="0.25">
      <c r="R1239" s="491"/>
      <c r="S1239" s="491"/>
      <c r="T1239" s="491"/>
      <c r="U1239" s="491"/>
      <c r="V1239" s="491"/>
      <c r="W1239" s="491"/>
      <c r="X1239" s="491"/>
      <c r="Y1239" s="491"/>
      <c r="Z1239" s="491"/>
      <c r="AA1239" s="491"/>
      <c r="AB1239" s="491"/>
      <c r="AC1239" s="491"/>
      <c r="AD1239" s="493"/>
    </row>
    <row r="1240" spans="18:30" x14ac:dyDescent="0.25">
      <c r="R1240" s="491"/>
      <c r="S1240" s="491"/>
      <c r="T1240" s="491"/>
      <c r="U1240" s="491"/>
      <c r="V1240" s="491"/>
      <c r="W1240" s="491"/>
      <c r="X1240" s="491"/>
      <c r="Y1240" s="491"/>
      <c r="Z1240" s="491"/>
      <c r="AA1240" s="491"/>
      <c r="AB1240" s="491"/>
      <c r="AC1240" s="491"/>
      <c r="AD1240" s="493"/>
    </row>
    <row r="1241" spans="18:30" x14ac:dyDescent="0.25">
      <c r="R1241" s="491"/>
      <c r="S1241" s="491"/>
      <c r="T1241" s="491"/>
      <c r="U1241" s="491"/>
      <c r="V1241" s="491"/>
      <c r="W1241" s="491"/>
      <c r="X1241" s="491"/>
      <c r="Y1241" s="491"/>
      <c r="Z1241" s="491"/>
      <c r="AA1241" s="491"/>
      <c r="AB1241" s="491"/>
      <c r="AC1241" s="491"/>
      <c r="AD1241" s="493"/>
    </row>
    <row r="1242" spans="18:30" x14ac:dyDescent="0.25">
      <c r="R1242" s="491"/>
      <c r="S1242" s="491"/>
      <c r="T1242" s="491"/>
      <c r="U1242" s="491"/>
      <c r="V1242" s="491"/>
      <c r="W1242" s="491"/>
      <c r="X1242" s="491"/>
      <c r="Y1242" s="491"/>
      <c r="Z1242" s="491"/>
      <c r="AA1242" s="491"/>
      <c r="AB1242" s="491"/>
      <c r="AC1242" s="491"/>
      <c r="AD1242" s="493"/>
    </row>
    <row r="1243" spans="18:30" x14ac:dyDescent="0.25">
      <c r="R1243" s="491"/>
      <c r="S1243" s="491"/>
      <c r="T1243" s="491"/>
      <c r="U1243" s="491"/>
      <c r="V1243" s="491"/>
      <c r="W1243" s="491"/>
      <c r="X1243" s="491"/>
      <c r="Y1243" s="491"/>
      <c r="Z1243" s="491"/>
      <c r="AA1243" s="491"/>
      <c r="AB1243" s="491"/>
      <c r="AC1243" s="491"/>
      <c r="AD1243" s="493"/>
    </row>
    <row r="1244" spans="18:30" x14ac:dyDescent="0.25">
      <c r="R1244" s="491"/>
      <c r="S1244" s="491"/>
      <c r="T1244" s="491"/>
      <c r="U1244" s="491"/>
      <c r="V1244" s="491"/>
      <c r="W1244" s="491"/>
      <c r="X1244" s="491"/>
      <c r="Y1244" s="491"/>
      <c r="Z1244" s="491"/>
      <c r="AA1244" s="491"/>
      <c r="AB1244" s="491"/>
      <c r="AC1244" s="491"/>
      <c r="AD1244" s="493"/>
    </row>
    <row r="1245" spans="18:30" x14ac:dyDescent="0.25">
      <c r="R1245" s="491"/>
      <c r="S1245" s="491"/>
      <c r="T1245" s="491"/>
      <c r="U1245" s="491"/>
      <c r="V1245" s="491"/>
      <c r="W1245" s="491"/>
      <c r="X1245" s="491"/>
      <c r="Y1245" s="491"/>
      <c r="Z1245" s="491"/>
      <c r="AA1245" s="491"/>
      <c r="AB1245" s="491"/>
      <c r="AC1245" s="491"/>
      <c r="AD1245" s="493"/>
    </row>
    <row r="1246" spans="18:30" x14ac:dyDescent="0.25">
      <c r="R1246" s="491"/>
      <c r="S1246" s="491"/>
      <c r="T1246" s="491"/>
      <c r="U1246" s="491"/>
      <c r="V1246" s="491"/>
      <c r="W1246" s="491"/>
      <c r="X1246" s="491"/>
      <c r="Y1246" s="491"/>
      <c r="Z1246" s="491"/>
      <c r="AA1246" s="491"/>
      <c r="AB1246" s="491"/>
      <c r="AC1246" s="491"/>
      <c r="AD1246" s="493"/>
    </row>
    <row r="1247" spans="18:30" x14ac:dyDescent="0.25">
      <c r="R1247" s="491"/>
      <c r="S1247" s="491"/>
      <c r="T1247" s="491"/>
      <c r="U1247" s="491"/>
      <c r="V1247" s="491"/>
      <c r="W1247" s="491"/>
      <c r="X1247" s="491"/>
      <c r="Y1247" s="491"/>
      <c r="Z1247" s="491"/>
      <c r="AA1247" s="491"/>
      <c r="AB1247" s="491"/>
      <c r="AC1247" s="491"/>
      <c r="AD1247" s="493"/>
    </row>
    <row r="1248" spans="18:30" x14ac:dyDescent="0.25">
      <c r="R1248" s="491"/>
      <c r="S1248" s="491"/>
      <c r="T1248" s="491"/>
      <c r="U1248" s="491"/>
      <c r="V1248" s="491"/>
      <c r="W1248" s="491"/>
      <c r="X1248" s="491"/>
      <c r="Y1248" s="491"/>
      <c r="Z1248" s="491"/>
      <c r="AA1248" s="491"/>
      <c r="AB1248" s="491"/>
      <c r="AC1248" s="491"/>
      <c r="AD1248" s="493"/>
    </row>
    <row r="1249" spans="18:30" x14ac:dyDescent="0.25">
      <c r="R1249" s="491"/>
      <c r="S1249" s="491"/>
      <c r="T1249" s="491"/>
      <c r="U1249" s="491"/>
      <c r="V1249" s="491"/>
      <c r="W1249" s="491"/>
      <c r="X1249" s="491"/>
      <c r="Y1249" s="491"/>
      <c r="Z1249" s="491"/>
      <c r="AA1249" s="491"/>
      <c r="AB1249" s="491"/>
      <c r="AC1249" s="491"/>
      <c r="AD1249" s="493"/>
    </row>
    <row r="1250" spans="18:30" x14ac:dyDescent="0.25">
      <c r="R1250" s="491"/>
      <c r="S1250" s="491"/>
      <c r="T1250" s="491"/>
      <c r="U1250" s="491"/>
      <c r="V1250" s="491"/>
      <c r="W1250" s="491"/>
      <c r="X1250" s="491"/>
      <c r="Y1250" s="491"/>
      <c r="Z1250" s="491"/>
      <c r="AA1250" s="491"/>
      <c r="AB1250" s="491"/>
      <c r="AC1250" s="491"/>
      <c r="AD1250" s="493"/>
    </row>
    <row r="1251" spans="18:30" x14ac:dyDescent="0.25">
      <c r="R1251" s="491"/>
      <c r="S1251" s="491"/>
      <c r="T1251" s="491"/>
      <c r="U1251" s="491"/>
      <c r="V1251" s="491"/>
      <c r="W1251" s="491"/>
      <c r="X1251" s="491"/>
      <c r="Y1251" s="491"/>
      <c r="Z1251" s="491"/>
      <c r="AA1251" s="491"/>
      <c r="AB1251" s="491"/>
      <c r="AC1251" s="491"/>
      <c r="AD1251" s="493"/>
    </row>
    <row r="1252" spans="18:30" x14ac:dyDescent="0.25">
      <c r="R1252" s="491"/>
      <c r="S1252" s="491"/>
      <c r="T1252" s="491"/>
      <c r="U1252" s="491"/>
      <c r="V1252" s="491"/>
      <c r="W1252" s="491"/>
      <c r="X1252" s="491"/>
      <c r="Y1252" s="491"/>
      <c r="Z1252" s="491"/>
      <c r="AA1252" s="491"/>
      <c r="AB1252" s="491"/>
      <c r="AC1252" s="491"/>
      <c r="AD1252" s="493"/>
    </row>
    <row r="1253" spans="18:30" x14ac:dyDescent="0.25">
      <c r="R1253" s="491"/>
      <c r="S1253" s="491"/>
      <c r="T1253" s="491"/>
      <c r="U1253" s="491"/>
      <c r="V1253" s="491"/>
      <c r="W1253" s="491"/>
      <c r="X1253" s="491"/>
      <c r="Y1253" s="491"/>
      <c r="Z1253" s="491"/>
      <c r="AA1253" s="491"/>
      <c r="AB1253" s="491"/>
      <c r="AC1253" s="491"/>
      <c r="AD1253" s="493"/>
    </row>
    <row r="1254" spans="18:30" x14ac:dyDescent="0.25">
      <c r="R1254" s="491"/>
      <c r="S1254" s="491"/>
      <c r="T1254" s="491"/>
      <c r="U1254" s="491"/>
      <c r="V1254" s="491"/>
      <c r="W1254" s="491"/>
      <c r="X1254" s="491"/>
      <c r="Y1254" s="491"/>
      <c r="Z1254" s="491"/>
      <c r="AA1254" s="491"/>
      <c r="AB1254" s="491"/>
      <c r="AC1254" s="491"/>
      <c r="AD1254" s="493"/>
    </row>
    <row r="1255" spans="18:30" x14ac:dyDescent="0.25">
      <c r="R1255" s="491"/>
      <c r="S1255" s="491"/>
      <c r="T1255" s="491"/>
      <c r="U1255" s="491"/>
      <c r="V1255" s="491"/>
      <c r="W1255" s="491"/>
      <c r="X1255" s="491"/>
      <c r="Y1255" s="491"/>
      <c r="Z1255" s="491"/>
      <c r="AA1255" s="491"/>
      <c r="AB1255" s="491"/>
      <c r="AC1255" s="491"/>
      <c r="AD1255" s="493"/>
    </row>
    <row r="1256" spans="18:30" x14ac:dyDescent="0.25">
      <c r="R1256" s="491"/>
      <c r="S1256" s="491"/>
      <c r="T1256" s="491"/>
      <c r="U1256" s="491"/>
      <c r="V1256" s="491"/>
      <c r="W1256" s="491"/>
      <c r="X1256" s="491"/>
      <c r="Y1256" s="491"/>
      <c r="Z1256" s="491"/>
      <c r="AA1256" s="491"/>
      <c r="AB1256" s="491"/>
      <c r="AC1256" s="491"/>
      <c r="AD1256" s="493"/>
    </row>
    <row r="1257" spans="18:30" x14ac:dyDescent="0.25">
      <c r="R1257" s="491"/>
      <c r="S1257" s="491"/>
      <c r="T1257" s="491"/>
      <c r="U1257" s="491"/>
      <c r="V1257" s="491"/>
      <c r="W1257" s="491"/>
      <c r="X1257" s="491"/>
      <c r="Y1257" s="491"/>
      <c r="Z1257" s="491"/>
      <c r="AA1257" s="491"/>
      <c r="AB1257" s="491"/>
      <c r="AC1257" s="491"/>
      <c r="AD1257" s="493"/>
    </row>
    <row r="1258" spans="18:30" x14ac:dyDescent="0.25">
      <c r="R1258" s="491"/>
      <c r="S1258" s="491"/>
      <c r="T1258" s="491"/>
      <c r="U1258" s="491"/>
      <c r="V1258" s="491"/>
      <c r="W1258" s="491"/>
      <c r="X1258" s="491"/>
      <c r="Y1258" s="491"/>
      <c r="Z1258" s="491"/>
      <c r="AA1258" s="491"/>
      <c r="AB1258" s="491"/>
      <c r="AC1258" s="491"/>
      <c r="AD1258" s="493"/>
    </row>
    <row r="1259" spans="18:30" x14ac:dyDescent="0.25">
      <c r="R1259" s="491"/>
      <c r="S1259" s="491"/>
      <c r="T1259" s="491"/>
      <c r="U1259" s="491"/>
      <c r="V1259" s="491"/>
      <c r="W1259" s="491"/>
      <c r="X1259" s="491"/>
      <c r="Y1259" s="491"/>
      <c r="Z1259" s="491"/>
      <c r="AA1259" s="491"/>
      <c r="AB1259" s="491"/>
      <c r="AC1259" s="491"/>
      <c r="AD1259" s="493"/>
    </row>
    <row r="1260" spans="18:30" x14ac:dyDescent="0.25">
      <c r="R1260" s="491"/>
      <c r="S1260" s="491"/>
      <c r="T1260" s="491"/>
      <c r="U1260" s="491"/>
      <c r="V1260" s="491"/>
      <c r="W1260" s="491"/>
      <c r="X1260" s="491"/>
      <c r="Y1260" s="491"/>
      <c r="Z1260" s="491"/>
      <c r="AA1260" s="491"/>
      <c r="AB1260" s="491"/>
      <c r="AC1260" s="491"/>
      <c r="AD1260" s="493"/>
    </row>
    <row r="1261" spans="18:30" x14ac:dyDescent="0.25">
      <c r="R1261" s="491"/>
      <c r="S1261" s="491"/>
      <c r="T1261" s="491"/>
      <c r="U1261" s="491"/>
      <c r="V1261" s="491"/>
      <c r="W1261" s="491"/>
      <c r="X1261" s="491"/>
      <c r="Y1261" s="491"/>
      <c r="Z1261" s="491"/>
      <c r="AA1261" s="491"/>
      <c r="AB1261" s="491"/>
      <c r="AC1261" s="491"/>
      <c r="AD1261" s="493"/>
    </row>
    <row r="1262" spans="18:30" x14ac:dyDescent="0.25">
      <c r="R1262" s="491"/>
      <c r="S1262" s="491"/>
      <c r="T1262" s="491"/>
      <c r="U1262" s="491"/>
      <c r="V1262" s="491"/>
      <c r="W1262" s="491"/>
      <c r="X1262" s="491"/>
      <c r="Y1262" s="491"/>
      <c r="Z1262" s="491"/>
      <c r="AA1262" s="491"/>
      <c r="AB1262" s="491"/>
      <c r="AC1262" s="491"/>
      <c r="AD1262" s="493"/>
    </row>
    <row r="1263" spans="18:30" x14ac:dyDescent="0.25">
      <c r="R1263" s="491"/>
      <c r="S1263" s="491"/>
      <c r="T1263" s="491"/>
      <c r="U1263" s="491"/>
      <c r="V1263" s="491"/>
      <c r="W1263" s="491"/>
      <c r="X1263" s="491"/>
      <c r="Y1263" s="491"/>
      <c r="Z1263" s="491"/>
      <c r="AA1263" s="491"/>
      <c r="AB1263" s="491"/>
      <c r="AC1263" s="491"/>
      <c r="AD1263" s="493"/>
    </row>
    <row r="1264" spans="18:30" x14ac:dyDescent="0.25">
      <c r="R1264" s="491"/>
      <c r="S1264" s="491"/>
      <c r="T1264" s="491"/>
      <c r="U1264" s="491"/>
      <c r="V1264" s="491"/>
      <c r="W1264" s="491"/>
      <c r="X1264" s="491"/>
      <c r="Y1264" s="491"/>
      <c r="Z1264" s="491"/>
      <c r="AA1264" s="491"/>
      <c r="AB1264" s="491"/>
      <c r="AC1264" s="491"/>
      <c r="AD1264" s="493"/>
    </row>
    <row r="1265" spans="18:30" x14ac:dyDescent="0.25">
      <c r="R1265" s="491"/>
      <c r="S1265" s="491"/>
      <c r="T1265" s="491"/>
      <c r="U1265" s="491"/>
      <c r="V1265" s="491"/>
      <c r="W1265" s="491"/>
      <c r="X1265" s="491"/>
      <c r="Y1265" s="491"/>
      <c r="Z1265" s="491"/>
      <c r="AA1265" s="491"/>
      <c r="AB1265" s="491"/>
      <c r="AC1265" s="491"/>
      <c r="AD1265" s="493"/>
    </row>
    <row r="1266" spans="18:30" x14ac:dyDescent="0.25">
      <c r="R1266" s="491"/>
      <c r="S1266" s="491"/>
      <c r="T1266" s="491"/>
      <c r="U1266" s="491"/>
      <c r="V1266" s="491"/>
      <c r="W1266" s="491"/>
      <c r="X1266" s="491"/>
      <c r="Y1266" s="491"/>
      <c r="Z1266" s="491"/>
      <c r="AA1266" s="491"/>
      <c r="AB1266" s="491"/>
      <c r="AC1266" s="491"/>
      <c r="AD1266" s="493"/>
    </row>
    <row r="1267" spans="18:30" x14ac:dyDescent="0.25">
      <c r="R1267" s="491"/>
      <c r="S1267" s="491"/>
      <c r="T1267" s="491"/>
      <c r="U1267" s="491"/>
      <c r="V1267" s="491"/>
      <c r="W1267" s="491"/>
      <c r="X1267" s="491"/>
      <c r="Y1267" s="491"/>
      <c r="Z1267" s="491"/>
      <c r="AA1267" s="491"/>
      <c r="AB1267" s="491"/>
      <c r="AC1267" s="491"/>
      <c r="AD1267" s="493"/>
    </row>
    <row r="1268" spans="18:30" x14ac:dyDescent="0.25">
      <c r="R1268" s="491"/>
      <c r="S1268" s="491"/>
      <c r="T1268" s="491"/>
      <c r="U1268" s="491"/>
      <c r="V1268" s="491"/>
      <c r="W1268" s="491"/>
      <c r="X1268" s="491"/>
      <c r="Y1268" s="491"/>
      <c r="Z1268" s="491"/>
      <c r="AA1268" s="491"/>
      <c r="AB1268" s="491"/>
      <c r="AC1268" s="491"/>
      <c r="AD1268" s="493"/>
    </row>
    <row r="1269" spans="18:30" x14ac:dyDescent="0.25">
      <c r="R1269" s="491"/>
      <c r="S1269" s="491"/>
      <c r="T1269" s="491"/>
      <c r="U1269" s="491"/>
      <c r="V1269" s="491"/>
      <c r="W1269" s="491"/>
      <c r="X1269" s="491"/>
      <c r="Y1269" s="491"/>
      <c r="Z1269" s="491"/>
      <c r="AA1269" s="491"/>
      <c r="AB1269" s="491"/>
      <c r="AC1269" s="491"/>
      <c r="AD1269" s="493"/>
    </row>
    <row r="1270" spans="18:30" x14ac:dyDescent="0.25">
      <c r="R1270" s="491"/>
      <c r="S1270" s="491"/>
      <c r="T1270" s="491"/>
      <c r="U1270" s="491"/>
      <c r="V1270" s="491"/>
      <c r="W1270" s="491"/>
      <c r="X1270" s="491"/>
      <c r="Y1270" s="491"/>
      <c r="Z1270" s="491"/>
      <c r="AA1270" s="491"/>
      <c r="AB1270" s="491"/>
      <c r="AC1270" s="491"/>
      <c r="AD1270" s="493"/>
    </row>
    <row r="1271" spans="18:30" x14ac:dyDescent="0.25">
      <c r="R1271" s="491"/>
      <c r="S1271" s="491"/>
      <c r="T1271" s="491"/>
      <c r="U1271" s="491"/>
      <c r="V1271" s="491"/>
      <c r="W1271" s="491"/>
      <c r="X1271" s="491"/>
      <c r="Y1271" s="491"/>
      <c r="Z1271" s="491"/>
      <c r="AA1271" s="491"/>
      <c r="AB1271" s="491"/>
      <c r="AC1271" s="491"/>
      <c r="AD1271" s="493"/>
    </row>
    <row r="1272" spans="18:30" x14ac:dyDescent="0.25">
      <c r="R1272" s="491"/>
      <c r="S1272" s="491"/>
      <c r="T1272" s="491"/>
      <c r="U1272" s="491"/>
      <c r="V1272" s="491"/>
      <c r="W1272" s="491"/>
      <c r="X1272" s="491"/>
      <c r="Y1272" s="491"/>
      <c r="Z1272" s="491"/>
      <c r="AA1272" s="491"/>
      <c r="AB1272" s="491"/>
      <c r="AC1272" s="491"/>
      <c r="AD1272" s="493"/>
    </row>
    <row r="1273" spans="18:30" x14ac:dyDescent="0.25">
      <c r="R1273" s="491"/>
      <c r="S1273" s="491"/>
      <c r="T1273" s="491"/>
      <c r="U1273" s="491"/>
      <c r="V1273" s="491"/>
      <c r="W1273" s="491"/>
      <c r="X1273" s="491"/>
      <c r="Y1273" s="491"/>
      <c r="Z1273" s="491"/>
      <c r="AA1273" s="491"/>
      <c r="AB1273" s="491"/>
      <c r="AC1273" s="491"/>
      <c r="AD1273" s="493"/>
    </row>
    <row r="1274" spans="18:30" x14ac:dyDescent="0.25">
      <c r="R1274" s="491"/>
      <c r="S1274" s="491"/>
      <c r="T1274" s="491"/>
      <c r="U1274" s="491"/>
      <c r="V1274" s="491"/>
      <c r="W1274" s="491"/>
      <c r="X1274" s="491"/>
      <c r="Y1274" s="491"/>
      <c r="Z1274" s="491"/>
      <c r="AA1274" s="491"/>
      <c r="AB1274" s="491"/>
      <c r="AC1274" s="491"/>
      <c r="AD1274" s="493"/>
    </row>
    <row r="1275" spans="18:30" x14ac:dyDescent="0.25">
      <c r="R1275" s="491"/>
      <c r="S1275" s="491"/>
      <c r="T1275" s="491"/>
      <c r="U1275" s="491"/>
      <c r="V1275" s="491"/>
      <c r="W1275" s="491"/>
      <c r="X1275" s="491"/>
      <c r="Y1275" s="491"/>
      <c r="Z1275" s="491"/>
      <c r="AA1275" s="491"/>
      <c r="AB1275" s="491"/>
      <c r="AC1275" s="491"/>
      <c r="AD1275" s="493"/>
    </row>
    <row r="1276" spans="18:30" x14ac:dyDescent="0.25">
      <c r="R1276" s="491"/>
      <c r="S1276" s="491"/>
      <c r="T1276" s="491"/>
      <c r="U1276" s="491"/>
      <c r="V1276" s="491"/>
      <c r="W1276" s="491"/>
      <c r="X1276" s="491"/>
      <c r="Y1276" s="491"/>
      <c r="Z1276" s="491"/>
      <c r="AA1276" s="491"/>
      <c r="AB1276" s="491"/>
      <c r="AC1276" s="491"/>
      <c r="AD1276" s="493"/>
    </row>
    <row r="1277" spans="18:30" x14ac:dyDescent="0.25">
      <c r="R1277" s="491"/>
      <c r="S1277" s="491"/>
      <c r="T1277" s="491"/>
      <c r="U1277" s="491"/>
      <c r="V1277" s="491"/>
      <c r="W1277" s="491"/>
      <c r="X1277" s="491"/>
      <c r="Y1277" s="491"/>
      <c r="Z1277" s="491"/>
      <c r="AA1277" s="491"/>
      <c r="AB1277" s="491"/>
      <c r="AC1277" s="491"/>
      <c r="AD1277" s="493"/>
    </row>
    <row r="1278" spans="18:30" x14ac:dyDescent="0.25">
      <c r="R1278" s="491"/>
      <c r="S1278" s="491"/>
      <c r="T1278" s="491"/>
      <c r="U1278" s="491"/>
      <c r="V1278" s="491"/>
      <c r="W1278" s="491"/>
      <c r="X1278" s="491"/>
      <c r="Y1278" s="491"/>
      <c r="Z1278" s="491"/>
      <c r="AA1278" s="491"/>
      <c r="AB1278" s="491"/>
      <c r="AC1278" s="491"/>
      <c r="AD1278" s="493"/>
    </row>
    <row r="1279" spans="18:30" x14ac:dyDescent="0.25">
      <c r="R1279" s="491"/>
      <c r="S1279" s="491"/>
      <c r="T1279" s="491"/>
      <c r="U1279" s="491"/>
      <c r="V1279" s="491"/>
      <c r="W1279" s="491"/>
      <c r="X1279" s="491"/>
      <c r="Y1279" s="491"/>
      <c r="Z1279" s="491"/>
      <c r="AA1279" s="491"/>
      <c r="AB1279" s="491"/>
      <c r="AC1279" s="491"/>
      <c r="AD1279" s="493"/>
    </row>
    <row r="1280" spans="18:30" x14ac:dyDescent="0.25">
      <c r="R1280" s="491"/>
      <c r="S1280" s="491"/>
      <c r="T1280" s="491"/>
      <c r="U1280" s="491"/>
      <c r="V1280" s="491"/>
      <c r="W1280" s="491"/>
      <c r="X1280" s="491"/>
      <c r="Y1280" s="491"/>
      <c r="Z1280" s="491"/>
      <c r="AA1280" s="491"/>
      <c r="AB1280" s="491"/>
      <c r="AC1280" s="491"/>
      <c r="AD1280" s="493"/>
    </row>
    <row r="1281" spans="18:30" x14ac:dyDescent="0.25">
      <c r="R1281" s="491"/>
      <c r="S1281" s="491"/>
      <c r="T1281" s="491"/>
      <c r="U1281" s="491"/>
      <c r="V1281" s="491"/>
      <c r="W1281" s="491"/>
      <c r="X1281" s="491"/>
      <c r="Y1281" s="491"/>
      <c r="Z1281" s="491"/>
      <c r="AA1281" s="491"/>
      <c r="AB1281" s="491"/>
      <c r="AC1281" s="491"/>
      <c r="AD1281" s="493"/>
    </row>
    <row r="1282" spans="18:30" x14ac:dyDescent="0.25">
      <c r="R1282" s="491"/>
      <c r="S1282" s="491"/>
      <c r="T1282" s="491"/>
      <c r="U1282" s="491"/>
      <c r="V1282" s="491"/>
      <c r="W1282" s="491"/>
      <c r="X1282" s="491"/>
      <c r="Y1282" s="491"/>
      <c r="Z1282" s="491"/>
      <c r="AA1282" s="491"/>
      <c r="AB1282" s="491"/>
      <c r="AC1282" s="491"/>
      <c r="AD1282" s="493"/>
    </row>
    <row r="1283" spans="18:30" x14ac:dyDescent="0.25">
      <c r="R1283" s="491"/>
      <c r="S1283" s="491"/>
      <c r="T1283" s="491"/>
      <c r="U1283" s="491"/>
      <c r="V1283" s="491"/>
      <c r="W1283" s="491"/>
      <c r="X1283" s="491"/>
      <c r="Y1283" s="491"/>
      <c r="Z1283" s="491"/>
      <c r="AA1283" s="491"/>
      <c r="AB1283" s="491"/>
      <c r="AC1283" s="491"/>
      <c r="AD1283" s="493"/>
    </row>
    <row r="1284" spans="18:30" x14ac:dyDescent="0.25">
      <c r="R1284" s="491"/>
      <c r="S1284" s="491"/>
      <c r="T1284" s="491"/>
      <c r="U1284" s="491"/>
      <c r="V1284" s="491"/>
      <c r="W1284" s="491"/>
      <c r="X1284" s="491"/>
      <c r="Y1284" s="491"/>
      <c r="Z1284" s="491"/>
      <c r="AA1284" s="491"/>
      <c r="AB1284" s="491"/>
      <c r="AC1284" s="491"/>
      <c r="AD1284" s="493"/>
    </row>
    <row r="1285" spans="18:30" x14ac:dyDescent="0.25">
      <c r="R1285" s="491"/>
      <c r="S1285" s="491"/>
      <c r="T1285" s="491"/>
      <c r="U1285" s="491"/>
      <c r="V1285" s="491"/>
      <c r="W1285" s="491"/>
      <c r="X1285" s="491"/>
      <c r="Y1285" s="491"/>
      <c r="Z1285" s="491"/>
      <c r="AA1285" s="491"/>
      <c r="AB1285" s="491"/>
      <c r="AC1285" s="491"/>
      <c r="AD1285" s="493"/>
    </row>
    <row r="1286" spans="18:30" x14ac:dyDescent="0.25">
      <c r="R1286" s="491"/>
      <c r="S1286" s="491"/>
      <c r="T1286" s="491"/>
      <c r="U1286" s="491"/>
      <c r="V1286" s="491"/>
      <c r="W1286" s="491"/>
      <c r="X1286" s="491"/>
      <c r="Y1286" s="491"/>
      <c r="Z1286" s="491"/>
      <c r="AA1286" s="491"/>
      <c r="AB1286" s="491"/>
      <c r="AC1286" s="491"/>
      <c r="AD1286" s="493"/>
    </row>
    <row r="1287" spans="18:30" x14ac:dyDescent="0.25">
      <c r="R1287" s="491"/>
      <c r="S1287" s="491"/>
      <c r="T1287" s="491"/>
      <c r="U1287" s="491"/>
      <c r="V1287" s="491"/>
      <c r="W1287" s="491"/>
      <c r="X1287" s="491"/>
      <c r="Y1287" s="491"/>
      <c r="Z1287" s="491"/>
      <c r="AA1287" s="491"/>
      <c r="AB1287" s="491"/>
      <c r="AC1287" s="491"/>
      <c r="AD1287" s="493"/>
    </row>
    <row r="1288" spans="18:30" x14ac:dyDescent="0.25">
      <c r="R1288" s="491"/>
      <c r="S1288" s="491"/>
      <c r="T1288" s="491"/>
      <c r="U1288" s="491"/>
      <c r="V1288" s="491"/>
      <c r="W1288" s="491"/>
      <c r="X1288" s="491"/>
      <c r="Y1288" s="491"/>
      <c r="Z1288" s="491"/>
      <c r="AA1288" s="491"/>
      <c r="AB1288" s="491"/>
      <c r="AC1288" s="491"/>
      <c r="AD1288" s="493"/>
    </row>
    <row r="1289" spans="18:30" x14ac:dyDescent="0.25">
      <c r="R1289" s="491"/>
      <c r="S1289" s="491"/>
      <c r="T1289" s="491"/>
      <c r="U1289" s="491"/>
      <c r="V1289" s="491"/>
      <c r="W1289" s="491"/>
      <c r="X1289" s="491"/>
      <c r="Y1289" s="491"/>
      <c r="Z1289" s="491"/>
      <c r="AA1289" s="491"/>
      <c r="AB1289" s="491"/>
      <c r="AC1289" s="491"/>
      <c r="AD1289" s="493"/>
    </row>
    <row r="1290" spans="18:30" x14ac:dyDescent="0.25">
      <c r="R1290" s="491"/>
      <c r="S1290" s="491"/>
      <c r="T1290" s="491"/>
      <c r="U1290" s="491"/>
      <c r="V1290" s="491"/>
      <c r="W1290" s="491"/>
      <c r="X1290" s="491"/>
      <c r="Y1290" s="491"/>
      <c r="Z1290" s="491"/>
      <c r="AA1290" s="491"/>
      <c r="AB1290" s="491"/>
      <c r="AC1290" s="491"/>
      <c r="AD1290" s="493"/>
    </row>
    <row r="1291" spans="18:30" x14ac:dyDescent="0.25">
      <c r="R1291" s="491"/>
      <c r="S1291" s="491"/>
      <c r="T1291" s="491"/>
      <c r="U1291" s="491"/>
      <c r="V1291" s="491"/>
      <c r="W1291" s="491"/>
      <c r="X1291" s="491"/>
      <c r="Y1291" s="491"/>
      <c r="Z1291" s="491"/>
      <c r="AA1291" s="491"/>
      <c r="AB1291" s="491"/>
      <c r="AC1291" s="491"/>
      <c r="AD1291" s="493"/>
    </row>
    <row r="1292" spans="18:30" x14ac:dyDescent="0.25">
      <c r="R1292" s="491"/>
      <c r="S1292" s="491"/>
      <c r="T1292" s="491"/>
      <c r="U1292" s="491"/>
      <c r="V1292" s="491"/>
      <c r="W1292" s="491"/>
      <c r="X1292" s="491"/>
      <c r="Y1292" s="491"/>
      <c r="Z1292" s="491"/>
      <c r="AA1292" s="491"/>
      <c r="AB1292" s="491"/>
      <c r="AC1292" s="491"/>
      <c r="AD1292" s="493"/>
    </row>
    <row r="1293" spans="18:30" x14ac:dyDescent="0.25">
      <c r="R1293" s="491"/>
      <c r="S1293" s="491"/>
      <c r="T1293" s="491"/>
      <c r="U1293" s="491"/>
      <c r="V1293" s="491"/>
      <c r="W1293" s="491"/>
      <c r="X1293" s="491"/>
      <c r="Y1293" s="491"/>
      <c r="Z1293" s="491"/>
      <c r="AA1293" s="491"/>
      <c r="AB1293" s="491"/>
      <c r="AC1293" s="491"/>
      <c r="AD1293" s="493"/>
    </row>
    <row r="1294" spans="18:30" x14ac:dyDescent="0.25">
      <c r="R1294" s="491"/>
      <c r="S1294" s="491"/>
      <c r="T1294" s="491"/>
      <c r="U1294" s="491"/>
      <c r="V1294" s="491"/>
      <c r="W1294" s="491"/>
      <c r="X1294" s="491"/>
      <c r="Y1294" s="491"/>
      <c r="Z1294" s="491"/>
      <c r="AA1294" s="491"/>
      <c r="AB1294" s="491"/>
      <c r="AC1294" s="491"/>
      <c r="AD1294" s="493"/>
    </row>
    <row r="1295" spans="18:30" x14ac:dyDescent="0.25">
      <c r="R1295" s="491"/>
      <c r="S1295" s="491"/>
      <c r="T1295" s="491"/>
      <c r="U1295" s="491"/>
      <c r="V1295" s="491"/>
      <c r="W1295" s="491"/>
      <c r="X1295" s="491"/>
      <c r="Y1295" s="491"/>
      <c r="Z1295" s="491"/>
      <c r="AA1295" s="491"/>
      <c r="AB1295" s="491"/>
      <c r="AC1295" s="491"/>
      <c r="AD1295" s="493"/>
    </row>
    <row r="1296" spans="18:30" x14ac:dyDescent="0.25">
      <c r="R1296" s="491"/>
      <c r="S1296" s="491"/>
      <c r="T1296" s="491"/>
      <c r="U1296" s="491"/>
      <c r="V1296" s="491"/>
      <c r="W1296" s="491"/>
      <c r="X1296" s="491"/>
      <c r="Y1296" s="491"/>
      <c r="Z1296" s="491"/>
      <c r="AA1296" s="491"/>
      <c r="AB1296" s="491"/>
      <c r="AC1296" s="491"/>
      <c r="AD1296" s="493"/>
    </row>
    <row r="1297" spans="18:30" x14ac:dyDescent="0.25">
      <c r="R1297" s="491"/>
      <c r="S1297" s="491"/>
      <c r="T1297" s="491"/>
      <c r="U1297" s="491"/>
      <c r="V1297" s="491"/>
      <c r="W1297" s="491"/>
      <c r="X1297" s="491"/>
      <c r="Y1297" s="491"/>
      <c r="Z1297" s="491"/>
      <c r="AA1297" s="491"/>
      <c r="AB1297" s="491"/>
      <c r="AC1297" s="491"/>
      <c r="AD1297" s="493"/>
    </row>
    <row r="1298" spans="18:30" x14ac:dyDescent="0.25">
      <c r="R1298" s="491"/>
      <c r="S1298" s="491"/>
      <c r="T1298" s="491"/>
      <c r="U1298" s="491"/>
      <c r="V1298" s="491"/>
      <c r="W1298" s="491"/>
      <c r="X1298" s="491"/>
      <c r="Y1298" s="491"/>
      <c r="Z1298" s="491"/>
      <c r="AA1298" s="491"/>
      <c r="AB1298" s="491"/>
      <c r="AC1298" s="491"/>
      <c r="AD1298" s="493"/>
    </row>
    <row r="1299" spans="18:30" x14ac:dyDescent="0.25">
      <c r="R1299" s="491"/>
      <c r="S1299" s="491"/>
      <c r="T1299" s="491"/>
      <c r="U1299" s="491"/>
      <c r="V1299" s="491"/>
      <c r="W1299" s="491"/>
      <c r="X1299" s="491"/>
      <c r="Y1299" s="491"/>
      <c r="Z1299" s="491"/>
      <c r="AA1299" s="491"/>
      <c r="AB1299" s="491"/>
      <c r="AC1299" s="491"/>
      <c r="AD1299" s="493"/>
    </row>
    <row r="1300" spans="18:30" x14ac:dyDescent="0.25">
      <c r="R1300" s="491"/>
      <c r="S1300" s="491"/>
      <c r="T1300" s="491"/>
      <c r="U1300" s="491"/>
      <c r="V1300" s="491"/>
      <c r="W1300" s="491"/>
      <c r="X1300" s="491"/>
      <c r="Y1300" s="491"/>
      <c r="Z1300" s="491"/>
      <c r="AA1300" s="491"/>
      <c r="AB1300" s="491"/>
      <c r="AC1300" s="491"/>
      <c r="AD1300" s="493"/>
    </row>
    <row r="1301" spans="18:30" x14ac:dyDescent="0.25">
      <c r="R1301" s="491"/>
      <c r="S1301" s="491"/>
      <c r="T1301" s="491"/>
      <c r="U1301" s="491"/>
      <c r="V1301" s="491"/>
      <c r="W1301" s="491"/>
      <c r="X1301" s="491"/>
      <c r="Y1301" s="491"/>
      <c r="Z1301" s="491"/>
      <c r="AA1301" s="491"/>
      <c r="AB1301" s="491"/>
      <c r="AC1301" s="491"/>
      <c r="AD1301" s="493"/>
    </row>
    <row r="1302" spans="18:30" x14ac:dyDescent="0.25">
      <c r="R1302" s="491"/>
      <c r="S1302" s="491"/>
      <c r="T1302" s="491"/>
      <c r="U1302" s="491"/>
      <c r="V1302" s="491"/>
      <c r="W1302" s="491"/>
      <c r="X1302" s="491"/>
      <c r="Y1302" s="491"/>
      <c r="Z1302" s="491"/>
      <c r="AA1302" s="491"/>
      <c r="AB1302" s="491"/>
      <c r="AC1302" s="491"/>
      <c r="AD1302" s="493"/>
    </row>
    <row r="1303" spans="18:30" x14ac:dyDescent="0.25">
      <c r="R1303" s="491"/>
      <c r="S1303" s="491"/>
      <c r="T1303" s="491"/>
      <c r="U1303" s="491"/>
      <c r="V1303" s="491"/>
      <c r="W1303" s="491"/>
      <c r="X1303" s="491"/>
      <c r="Y1303" s="491"/>
      <c r="Z1303" s="491"/>
      <c r="AA1303" s="491"/>
      <c r="AB1303" s="491"/>
      <c r="AC1303" s="491"/>
      <c r="AD1303" s="493"/>
    </row>
    <row r="1304" spans="18:30" x14ac:dyDescent="0.25">
      <c r="R1304" s="491"/>
      <c r="S1304" s="491"/>
      <c r="T1304" s="491"/>
      <c r="U1304" s="491"/>
      <c r="V1304" s="491"/>
      <c r="W1304" s="491"/>
      <c r="X1304" s="491"/>
      <c r="Y1304" s="491"/>
      <c r="Z1304" s="491"/>
      <c r="AA1304" s="491"/>
      <c r="AB1304" s="491"/>
      <c r="AC1304" s="491"/>
      <c r="AD1304" s="493"/>
    </row>
    <row r="1305" spans="18:30" x14ac:dyDescent="0.25">
      <c r="R1305" s="491"/>
      <c r="S1305" s="491"/>
      <c r="T1305" s="491"/>
      <c r="U1305" s="491"/>
      <c r="V1305" s="491"/>
      <c r="W1305" s="491"/>
      <c r="X1305" s="491"/>
      <c r="Y1305" s="491"/>
      <c r="Z1305" s="491"/>
      <c r="AA1305" s="491"/>
      <c r="AB1305" s="491"/>
      <c r="AC1305" s="491"/>
      <c r="AD1305" s="493"/>
    </row>
    <row r="1306" spans="18:30" x14ac:dyDescent="0.25">
      <c r="R1306" s="491"/>
      <c r="S1306" s="491"/>
      <c r="T1306" s="491"/>
      <c r="U1306" s="491"/>
      <c r="V1306" s="491"/>
      <c r="W1306" s="491"/>
      <c r="X1306" s="491"/>
      <c r="Y1306" s="491"/>
      <c r="Z1306" s="491"/>
      <c r="AA1306" s="491"/>
      <c r="AB1306" s="491"/>
      <c r="AC1306" s="491"/>
      <c r="AD1306" s="493"/>
    </row>
    <row r="1307" spans="18:30" x14ac:dyDescent="0.25">
      <c r="R1307" s="491"/>
      <c r="S1307" s="491"/>
      <c r="T1307" s="491"/>
      <c r="U1307" s="491"/>
      <c r="V1307" s="491"/>
      <c r="W1307" s="491"/>
      <c r="X1307" s="491"/>
      <c r="Y1307" s="491"/>
      <c r="Z1307" s="491"/>
      <c r="AA1307" s="491"/>
      <c r="AB1307" s="491"/>
      <c r="AC1307" s="491"/>
      <c r="AD1307" s="493"/>
    </row>
    <row r="1308" spans="18:30" x14ac:dyDescent="0.25">
      <c r="R1308" s="491"/>
      <c r="S1308" s="491"/>
      <c r="T1308" s="491"/>
      <c r="U1308" s="491"/>
      <c r="V1308" s="491"/>
      <c r="W1308" s="491"/>
      <c r="X1308" s="491"/>
      <c r="Y1308" s="491"/>
      <c r="Z1308" s="491"/>
      <c r="AA1308" s="491"/>
      <c r="AB1308" s="491"/>
      <c r="AC1308" s="491"/>
      <c r="AD1308" s="493"/>
    </row>
    <row r="1309" spans="18:30" x14ac:dyDescent="0.25">
      <c r="R1309" s="491"/>
      <c r="S1309" s="491"/>
      <c r="T1309" s="491"/>
      <c r="U1309" s="491"/>
      <c r="V1309" s="491"/>
      <c r="W1309" s="491"/>
      <c r="X1309" s="491"/>
      <c r="Y1309" s="491"/>
      <c r="Z1309" s="491"/>
      <c r="AA1309" s="491"/>
      <c r="AB1309" s="491"/>
      <c r="AC1309" s="491"/>
      <c r="AD1309" s="493"/>
    </row>
    <row r="1310" spans="18:30" x14ac:dyDescent="0.25">
      <c r="R1310" s="491"/>
      <c r="S1310" s="491"/>
      <c r="T1310" s="491"/>
      <c r="U1310" s="491"/>
      <c r="V1310" s="491"/>
      <c r="W1310" s="491"/>
      <c r="X1310" s="491"/>
      <c r="Y1310" s="491"/>
      <c r="Z1310" s="491"/>
      <c r="AA1310" s="491"/>
      <c r="AB1310" s="491"/>
      <c r="AC1310" s="491"/>
      <c r="AD1310" s="493"/>
    </row>
    <row r="1311" spans="18:30" x14ac:dyDescent="0.25">
      <c r="R1311" s="491"/>
      <c r="S1311" s="491"/>
      <c r="T1311" s="491"/>
      <c r="U1311" s="491"/>
      <c r="V1311" s="491"/>
      <c r="W1311" s="491"/>
      <c r="X1311" s="491"/>
      <c r="Y1311" s="491"/>
      <c r="Z1311" s="491"/>
      <c r="AA1311" s="491"/>
      <c r="AB1311" s="491"/>
      <c r="AC1311" s="491"/>
      <c r="AD1311" s="493"/>
    </row>
    <row r="1312" spans="18:30" x14ac:dyDescent="0.25">
      <c r="R1312" s="491"/>
      <c r="S1312" s="491"/>
      <c r="T1312" s="491"/>
      <c r="U1312" s="491"/>
      <c r="V1312" s="491"/>
      <c r="W1312" s="491"/>
      <c r="X1312" s="491"/>
      <c r="Y1312" s="491"/>
      <c r="Z1312" s="491"/>
      <c r="AA1312" s="491"/>
      <c r="AB1312" s="491"/>
      <c r="AC1312" s="491"/>
      <c r="AD1312" s="493"/>
    </row>
    <row r="1313" spans="18:30" x14ac:dyDescent="0.25">
      <c r="R1313" s="491"/>
      <c r="S1313" s="491"/>
      <c r="T1313" s="491"/>
      <c r="U1313" s="491"/>
      <c r="V1313" s="491"/>
      <c r="W1313" s="491"/>
      <c r="X1313" s="491"/>
      <c r="Y1313" s="491"/>
      <c r="Z1313" s="491"/>
      <c r="AA1313" s="491"/>
      <c r="AB1313" s="491"/>
      <c r="AC1313" s="491"/>
      <c r="AD1313" s="493"/>
    </row>
    <row r="1314" spans="18:30" x14ac:dyDescent="0.25">
      <c r="R1314" s="491"/>
      <c r="S1314" s="491"/>
      <c r="T1314" s="491"/>
      <c r="U1314" s="491"/>
      <c r="V1314" s="491"/>
      <c r="W1314" s="491"/>
      <c r="X1314" s="491"/>
      <c r="Y1314" s="491"/>
      <c r="Z1314" s="491"/>
      <c r="AA1314" s="491"/>
      <c r="AB1314" s="491"/>
      <c r="AC1314" s="491"/>
      <c r="AD1314" s="493"/>
    </row>
    <row r="1315" spans="18:30" x14ac:dyDescent="0.25">
      <c r="R1315" s="491"/>
      <c r="S1315" s="491"/>
      <c r="T1315" s="491"/>
      <c r="U1315" s="491"/>
      <c r="V1315" s="491"/>
      <c r="W1315" s="491"/>
      <c r="X1315" s="491"/>
      <c r="Y1315" s="491"/>
      <c r="Z1315" s="491"/>
      <c r="AA1315" s="491"/>
      <c r="AB1315" s="491"/>
      <c r="AC1315" s="491"/>
      <c r="AD1315" s="493"/>
    </row>
    <row r="1316" spans="18:30" x14ac:dyDescent="0.25">
      <c r="R1316" s="491"/>
      <c r="S1316" s="491"/>
      <c r="T1316" s="491"/>
      <c r="U1316" s="491"/>
      <c r="V1316" s="491"/>
      <c r="W1316" s="491"/>
      <c r="X1316" s="491"/>
      <c r="Y1316" s="491"/>
      <c r="Z1316" s="491"/>
      <c r="AA1316" s="491"/>
      <c r="AB1316" s="491"/>
      <c r="AC1316" s="491"/>
      <c r="AD1316" s="493"/>
    </row>
    <row r="1317" spans="18:30" x14ac:dyDescent="0.25">
      <c r="R1317" s="491"/>
      <c r="S1317" s="491"/>
      <c r="T1317" s="491"/>
      <c r="U1317" s="491"/>
      <c r="V1317" s="491"/>
      <c r="W1317" s="491"/>
      <c r="X1317" s="491"/>
      <c r="Y1317" s="491"/>
      <c r="Z1317" s="491"/>
      <c r="AA1317" s="491"/>
      <c r="AB1317" s="491"/>
      <c r="AC1317" s="491"/>
      <c r="AD1317" s="493"/>
    </row>
    <row r="1318" spans="18:30" x14ac:dyDescent="0.25">
      <c r="R1318" s="491"/>
      <c r="S1318" s="491"/>
      <c r="T1318" s="491"/>
      <c r="U1318" s="491"/>
      <c r="V1318" s="491"/>
      <c r="W1318" s="491"/>
      <c r="X1318" s="491"/>
      <c r="Y1318" s="491"/>
      <c r="Z1318" s="491"/>
      <c r="AA1318" s="491"/>
      <c r="AB1318" s="491"/>
      <c r="AC1318" s="491"/>
      <c r="AD1318" s="493"/>
    </row>
    <row r="1319" spans="18:30" x14ac:dyDescent="0.25">
      <c r="R1319" s="491"/>
      <c r="S1319" s="491"/>
      <c r="T1319" s="491"/>
      <c r="U1319" s="491"/>
      <c r="V1319" s="491"/>
      <c r="W1319" s="491"/>
      <c r="X1319" s="491"/>
      <c r="Y1319" s="491"/>
      <c r="Z1319" s="491"/>
      <c r="AA1319" s="491"/>
      <c r="AB1319" s="491"/>
      <c r="AC1319" s="491"/>
      <c r="AD1319" s="493"/>
    </row>
    <row r="1320" spans="18:30" x14ac:dyDescent="0.25">
      <c r="R1320" s="491"/>
      <c r="S1320" s="491"/>
      <c r="T1320" s="491"/>
      <c r="U1320" s="491"/>
      <c r="V1320" s="491"/>
      <c r="W1320" s="491"/>
      <c r="X1320" s="491"/>
      <c r="Y1320" s="491"/>
      <c r="Z1320" s="491"/>
      <c r="AA1320" s="491"/>
      <c r="AB1320" s="491"/>
      <c r="AC1320" s="491"/>
      <c r="AD1320" s="493"/>
    </row>
    <row r="1321" spans="18:30" x14ac:dyDescent="0.25">
      <c r="R1321" s="491"/>
      <c r="S1321" s="491"/>
      <c r="T1321" s="491"/>
      <c r="U1321" s="491"/>
      <c r="V1321" s="491"/>
      <c r="W1321" s="491"/>
      <c r="X1321" s="491"/>
      <c r="Y1321" s="491"/>
      <c r="Z1321" s="491"/>
      <c r="AA1321" s="491"/>
      <c r="AB1321" s="491"/>
      <c r="AC1321" s="491"/>
      <c r="AD1321" s="493"/>
    </row>
    <row r="1322" spans="18:30" x14ac:dyDescent="0.25">
      <c r="R1322" s="491"/>
      <c r="S1322" s="491"/>
      <c r="T1322" s="491"/>
      <c r="U1322" s="491"/>
      <c r="V1322" s="491"/>
      <c r="W1322" s="491"/>
      <c r="X1322" s="491"/>
      <c r="Y1322" s="491"/>
      <c r="Z1322" s="491"/>
      <c r="AA1322" s="491"/>
      <c r="AB1322" s="491"/>
      <c r="AC1322" s="491"/>
      <c r="AD1322" s="493"/>
    </row>
    <row r="1323" spans="18:30" x14ac:dyDescent="0.25">
      <c r="R1323" s="491"/>
      <c r="S1323" s="491"/>
      <c r="T1323" s="491"/>
      <c r="U1323" s="491"/>
      <c r="V1323" s="491"/>
      <c r="W1323" s="491"/>
      <c r="X1323" s="491"/>
      <c r="Y1323" s="491"/>
      <c r="Z1323" s="491"/>
      <c r="AA1323" s="491"/>
      <c r="AB1323" s="491"/>
      <c r="AC1323" s="491"/>
      <c r="AD1323" s="493"/>
    </row>
    <row r="1324" spans="18:30" x14ac:dyDescent="0.25">
      <c r="R1324" s="491"/>
      <c r="S1324" s="491"/>
      <c r="T1324" s="491"/>
      <c r="U1324" s="491"/>
      <c r="V1324" s="491"/>
      <c r="W1324" s="491"/>
      <c r="X1324" s="491"/>
      <c r="Y1324" s="491"/>
      <c r="Z1324" s="491"/>
      <c r="AA1324" s="491"/>
      <c r="AB1324" s="491"/>
      <c r="AC1324" s="491"/>
      <c r="AD1324" s="493"/>
    </row>
    <row r="1325" spans="18:30" x14ac:dyDescent="0.25">
      <c r="R1325" s="491"/>
      <c r="S1325" s="491"/>
      <c r="T1325" s="491"/>
      <c r="U1325" s="491"/>
      <c r="V1325" s="491"/>
      <c r="W1325" s="491"/>
      <c r="X1325" s="491"/>
      <c r="Y1325" s="491"/>
      <c r="Z1325" s="491"/>
      <c r="AA1325" s="491"/>
      <c r="AB1325" s="491"/>
      <c r="AC1325" s="491"/>
      <c r="AD1325" s="493"/>
    </row>
    <row r="1326" spans="18:30" x14ac:dyDescent="0.25">
      <c r="R1326" s="491"/>
      <c r="S1326" s="491"/>
      <c r="T1326" s="491"/>
      <c r="U1326" s="491"/>
      <c r="V1326" s="491"/>
      <c r="W1326" s="491"/>
      <c r="X1326" s="491"/>
      <c r="Y1326" s="491"/>
      <c r="Z1326" s="491"/>
      <c r="AA1326" s="491"/>
      <c r="AB1326" s="491"/>
      <c r="AC1326" s="491"/>
      <c r="AD1326" s="493"/>
    </row>
    <row r="1327" spans="18:30" x14ac:dyDescent="0.25">
      <c r="R1327" s="491"/>
      <c r="S1327" s="491"/>
      <c r="T1327" s="491"/>
      <c r="U1327" s="491"/>
      <c r="V1327" s="491"/>
      <c r="W1327" s="491"/>
      <c r="X1327" s="491"/>
      <c r="Y1327" s="491"/>
      <c r="Z1327" s="491"/>
      <c r="AA1327" s="491"/>
      <c r="AB1327" s="491"/>
      <c r="AC1327" s="491"/>
      <c r="AD1327" s="493"/>
    </row>
    <row r="1328" spans="18:30" x14ac:dyDescent="0.25">
      <c r="R1328" s="491"/>
      <c r="S1328" s="491"/>
      <c r="T1328" s="491"/>
      <c r="U1328" s="491"/>
      <c r="V1328" s="491"/>
      <c r="W1328" s="491"/>
      <c r="X1328" s="491"/>
      <c r="Y1328" s="491"/>
      <c r="Z1328" s="491"/>
      <c r="AA1328" s="491"/>
      <c r="AB1328" s="491"/>
      <c r="AC1328" s="491"/>
      <c r="AD1328" s="493"/>
    </row>
    <row r="1329" spans="18:30" x14ac:dyDescent="0.25">
      <c r="R1329" s="491"/>
      <c r="S1329" s="491"/>
      <c r="T1329" s="491"/>
      <c r="U1329" s="491"/>
      <c r="V1329" s="491"/>
      <c r="W1329" s="491"/>
      <c r="X1329" s="491"/>
      <c r="Y1329" s="491"/>
      <c r="Z1329" s="491"/>
      <c r="AA1329" s="491"/>
      <c r="AB1329" s="491"/>
      <c r="AC1329" s="491"/>
      <c r="AD1329" s="493"/>
    </row>
    <row r="1330" spans="18:30" x14ac:dyDescent="0.25">
      <c r="R1330" s="491"/>
      <c r="S1330" s="491"/>
      <c r="T1330" s="491"/>
      <c r="U1330" s="491"/>
      <c r="V1330" s="491"/>
      <c r="W1330" s="491"/>
      <c r="X1330" s="491"/>
      <c r="Y1330" s="491"/>
      <c r="Z1330" s="491"/>
      <c r="AA1330" s="491"/>
      <c r="AB1330" s="491"/>
      <c r="AC1330" s="491"/>
      <c r="AD1330" s="493"/>
    </row>
    <row r="1331" spans="18:30" x14ac:dyDescent="0.25">
      <c r="R1331" s="491"/>
      <c r="S1331" s="491"/>
      <c r="T1331" s="491"/>
      <c r="U1331" s="491"/>
      <c r="V1331" s="491"/>
      <c r="W1331" s="491"/>
      <c r="X1331" s="491"/>
      <c r="Y1331" s="491"/>
      <c r="Z1331" s="491"/>
      <c r="AA1331" s="491"/>
      <c r="AB1331" s="491"/>
      <c r="AC1331" s="491"/>
      <c r="AD1331" s="493"/>
    </row>
    <row r="1332" spans="18:30" x14ac:dyDescent="0.25">
      <c r="R1332" s="491"/>
      <c r="S1332" s="491"/>
      <c r="T1332" s="491"/>
      <c r="U1332" s="491"/>
      <c r="V1332" s="491"/>
      <c r="W1332" s="491"/>
      <c r="X1332" s="491"/>
      <c r="Y1332" s="491"/>
      <c r="Z1332" s="491"/>
      <c r="AA1332" s="491"/>
      <c r="AB1332" s="491"/>
      <c r="AC1332" s="491"/>
      <c r="AD1332" s="493"/>
    </row>
    <row r="1333" spans="18:30" x14ac:dyDescent="0.25">
      <c r="R1333" s="491"/>
      <c r="S1333" s="491"/>
      <c r="T1333" s="491"/>
      <c r="U1333" s="491"/>
      <c r="V1333" s="491"/>
      <c r="W1333" s="491"/>
      <c r="X1333" s="491"/>
      <c r="Y1333" s="491"/>
      <c r="Z1333" s="491"/>
      <c r="AA1333" s="491"/>
      <c r="AB1333" s="491"/>
      <c r="AC1333" s="491"/>
      <c r="AD1333" s="493"/>
    </row>
    <row r="1334" spans="18:30" x14ac:dyDescent="0.25">
      <c r="R1334" s="491"/>
      <c r="S1334" s="491"/>
      <c r="T1334" s="491"/>
      <c r="U1334" s="491"/>
      <c r="V1334" s="491"/>
      <c r="W1334" s="491"/>
      <c r="X1334" s="491"/>
      <c r="Y1334" s="491"/>
      <c r="Z1334" s="491"/>
      <c r="AA1334" s="491"/>
      <c r="AB1334" s="491"/>
      <c r="AC1334" s="491"/>
      <c r="AD1334" s="493"/>
    </row>
    <row r="1335" spans="18:30" x14ac:dyDescent="0.25">
      <c r="R1335" s="491"/>
      <c r="S1335" s="491"/>
      <c r="T1335" s="491"/>
      <c r="U1335" s="491"/>
      <c r="V1335" s="491"/>
      <c r="W1335" s="491"/>
      <c r="X1335" s="491"/>
      <c r="Y1335" s="491"/>
      <c r="Z1335" s="491"/>
      <c r="AA1335" s="491"/>
      <c r="AB1335" s="491"/>
      <c r="AC1335" s="491"/>
      <c r="AD1335" s="493"/>
    </row>
    <row r="1336" spans="18:30" x14ac:dyDescent="0.25">
      <c r="R1336" s="491"/>
      <c r="S1336" s="491"/>
      <c r="T1336" s="491"/>
      <c r="U1336" s="491"/>
      <c r="V1336" s="491"/>
      <c r="W1336" s="491"/>
      <c r="X1336" s="491"/>
      <c r="Y1336" s="491"/>
      <c r="Z1336" s="491"/>
      <c r="AA1336" s="491"/>
      <c r="AB1336" s="491"/>
      <c r="AC1336" s="491"/>
      <c r="AD1336" s="493"/>
    </row>
    <row r="1337" spans="18:30" x14ac:dyDescent="0.25">
      <c r="R1337" s="491"/>
      <c r="S1337" s="491"/>
      <c r="T1337" s="491"/>
      <c r="U1337" s="491"/>
      <c r="V1337" s="491"/>
      <c r="W1337" s="491"/>
      <c r="X1337" s="491"/>
      <c r="Y1337" s="491"/>
      <c r="Z1337" s="491"/>
      <c r="AA1337" s="491"/>
      <c r="AB1337" s="491"/>
      <c r="AC1337" s="491"/>
      <c r="AD1337" s="493"/>
    </row>
    <row r="1338" spans="18:30" x14ac:dyDescent="0.25">
      <c r="R1338" s="491"/>
      <c r="S1338" s="491"/>
      <c r="T1338" s="491"/>
      <c r="U1338" s="491"/>
      <c r="V1338" s="491"/>
      <c r="W1338" s="491"/>
      <c r="X1338" s="491"/>
      <c r="Y1338" s="491"/>
      <c r="Z1338" s="491"/>
      <c r="AA1338" s="491"/>
      <c r="AB1338" s="491"/>
      <c r="AC1338" s="491"/>
      <c r="AD1338" s="493"/>
    </row>
    <row r="1339" spans="18:30" x14ac:dyDescent="0.25">
      <c r="R1339" s="491"/>
      <c r="S1339" s="491"/>
      <c r="T1339" s="491"/>
      <c r="U1339" s="491"/>
      <c r="V1339" s="491"/>
      <c r="W1339" s="491"/>
      <c r="X1339" s="491"/>
      <c r="Y1339" s="491"/>
      <c r="Z1339" s="491"/>
      <c r="AA1339" s="491"/>
      <c r="AB1339" s="491"/>
      <c r="AC1339" s="491"/>
      <c r="AD1339" s="493"/>
    </row>
    <row r="1340" spans="18:30" x14ac:dyDescent="0.25">
      <c r="R1340" s="491"/>
      <c r="S1340" s="491"/>
      <c r="T1340" s="491"/>
      <c r="U1340" s="491"/>
      <c r="V1340" s="491"/>
      <c r="W1340" s="491"/>
      <c r="X1340" s="491"/>
      <c r="Y1340" s="491"/>
      <c r="Z1340" s="491"/>
      <c r="AA1340" s="491"/>
      <c r="AB1340" s="491"/>
      <c r="AC1340" s="491"/>
      <c r="AD1340" s="493"/>
    </row>
    <row r="1341" spans="18:30" x14ac:dyDescent="0.25">
      <c r="R1341" s="491"/>
      <c r="S1341" s="491"/>
      <c r="T1341" s="491"/>
      <c r="U1341" s="491"/>
      <c r="V1341" s="491"/>
      <c r="W1341" s="491"/>
      <c r="X1341" s="491"/>
      <c r="Y1341" s="491"/>
      <c r="Z1341" s="491"/>
      <c r="AA1341" s="491"/>
      <c r="AB1341" s="491"/>
      <c r="AC1341" s="491"/>
      <c r="AD1341" s="493"/>
    </row>
    <row r="1342" spans="18:30" x14ac:dyDescent="0.25">
      <c r="R1342" s="491"/>
      <c r="S1342" s="491"/>
      <c r="T1342" s="491"/>
      <c r="U1342" s="491"/>
      <c r="V1342" s="491"/>
      <c r="W1342" s="491"/>
      <c r="X1342" s="491"/>
      <c r="Y1342" s="491"/>
      <c r="Z1342" s="491"/>
      <c r="AA1342" s="491"/>
      <c r="AB1342" s="491"/>
      <c r="AC1342" s="491"/>
      <c r="AD1342" s="493"/>
    </row>
    <row r="1343" spans="18:30" x14ac:dyDescent="0.25">
      <c r="R1343" s="491"/>
      <c r="S1343" s="491"/>
      <c r="T1343" s="491"/>
      <c r="U1343" s="491"/>
      <c r="V1343" s="491"/>
      <c r="W1343" s="491"/>
      <c r="X1343" s="491"/>
      <c r="Y1343" s="491"/>
      <c r="Z1343" s="491"/>
      <c r="AA1343" s="491"/>
      <c r="AB1343" s="491"/>
      <c r="AC1343" s="491"/>
      <c r="AD1343" s="493"/>
    </row>
    <row r="1344" spans="18:30" x14ac:dyDescent="0.25">
      <c r="R1344" s="491"/>
      <c r="S1344" s="491"/>
      <c r="T1344" s="491"/>
      <c r="U1344" s="491"/>
      <c r="V1344" s="491"/>
      <c r="W1344" s="491"/>
      <c r="X1344" s="491"/>
      <c r="Y1344" s="491"/>
      <c r="Z1344" s="491"/>
      <c r="AA1344" s="491"/>
      <c r="AB1344" s="491"/>
      <c r="AC1344" s="491"/>
      <c r="AD1344" s="493"/>
    </row>
    <row r="1345" spans="18:30" x14ac:dyDescent="0.25">
      <c r="R1345" s="491"/>
      <c r="S1345" s="491"/>
      <c r="T1345" s="491"/>
      <c r="U1345" s="491"/>
      <c r="V1345" s="491"/>
      <c r="W1345" s="491"/>
      <c r="X1345" s="491"/>
      <c r="Y1345" s="491"/>
      <c r="Z1345" s="491"/>
      <c r="AA1345" s="491"/>
      <c r="AB1345" s="491"/>
      <c r="AC1345" s="491"/>
      <c r="AD1345" s="493"/>
    </row>
    <row r="1346" spans="18:30" x14ac:dyDescent="0.25">
      <c r="R1346" s="491"/>
      <c r="S1346" s="491"/>
      <c r="T1346" s="491"/>
      <c r="U1346" s="491"/>
      <c r="V1346" s="491"/>
      <c r="W1346" s="491"/>
      <c r="X1346" s="491"/>
      <c r="Y1346" s="491"/>
      <c r="Z1346" s="491"/>
      <c r="AA1346" s="491"/>
      <c r="AB1346" s="491"/>
      <c r="AC1346" s="491"/>
      <c r="AD1346" s="493"/>
    </row>
    <row r="1347" spans="18:30" x14ac:dyDescent="0.25">
      <c r="R1347" s="491"/>
      <c r="S1347" s="491"/>
      <c r="T1347" s="491"/>
      <c r="U1347" s="491"/>
      <c r="V1347" s="491"/>
      <c r="W1347" s="491"/>
      <c r="X1347" s="491"/>
      <c r="Y1347" s="491"/>
      <c r="Z1347" s="491"/>
      <c r="AA1347" s="491"/>
      <c r="AB1347" s="491"/>
      <c r="AC1347" s="491"/>
      <c r="AD1347" s="493"/>
    </row>
    <row r="1348" spans="18:30" x14ac:dyDescent="0.25">
      <c r="R1348" s="491"/>
      <c r="S1348" s="491"/>
      <c r="T1348" s="491"/>
      <c r="U1348" s="491"/>
      <c r="V1348" s="491"/>
      <c r="W1348" s="491"/>
      <c r="X1348" s="491"/>
      <c r="Y1348" s="491"/>
      <c r="Z1348" s="491"/>
      <c r="AA1348" s="491"/>
      <c r="AB1348" s="491"/>
      <c r="AC1348" s="491"/>
      <c r="AD1348" s="493"/>
    </row>
    <row r="1349" spans="18:30" x14ac:dyDescent="0.25">
      <c r="R1349" s="491"/>
      <c r="S1349" s="491"/>
      <c r="T1349" s="491"/>
      <c r="U1349" s="491"/>
      <c r="V1349" s="491"/>
      <c r="W1349" s="491"/>
      <c r="X1349" s="491"/>
      <c r="Y1349" s="491"/>
      <c r="Z1349" s="491"/>
      <c r="AA1349" s="491"/>
      <c r="AB1349" s="491"/>
      <c r="AC1349" s="491"/>
      <c r="AD1349" s="493"/>
    </row>
    <row r="1350" spans="18:30" x14ac:dyDescent="0.25">
      <c r="R1350" s="491"/>
      <c r="S1350" s="491"/>
      <c r="T1350" s="491"/>
      <c r="U1350" s="491"/>
      <c r="V1350" s="491"/>
      <c r="W1350" s="491"/>
      <c r="X1350" s="491"/>
      <c r="Y1350" s="491"/>
      <c r="Z1350" s="491"/>
      <c r="AA1350" s="491"/>
      <c r="AB1350" s="491"/>
      <c r="AC1350" s="491"/>
      <c r="AD1350" s="493"/>
    </row>
    <row r="1351" spans="18:30" x14ac:dyDescent="0.25">
      <c r="R1351" s="491"/>
      <c r="S1351" s="491"/>
      <c r="T1351" s="491"/>
      <c r="U1351" s="491"/>
      <c r="V1351" s="491"/>
      <c r="W1351" s="491"/>
      <c r="X1351" s="491"/>
      <c r="Y1351" s="491"/>
      <c r="Z1351" s="491"/>
      <c r="AA1351" s="491"/>
      <c r="AB1351" s="491"/>
      <c r="AC1351" s="491"/>
      <c r="AD1351" s="493"/>
    </row>
    <row r="1352" spans="18:30" x14ac:dyDescent="0.25">
      <c r="R1352" s="491"/>
      <c r="S1352" s="491"/>
      <c r="T1352" s="491"/>
      <c r="U1352" s="491"/>
      <c r="V1352" s="491"/>
      <c r="W1352" s="491"/>
      <c r="X1352" s="491"/>
      <c r="Y1352" s="491"/>
      <c r="Z1352" s="491"/>
      <c r="AA1352" s="491"/>
      <c r="AB1352" s="491"/>
      <c r="AC1352" s="491"/>
      <c r="AD1352" s="493"/>
    </row>
    <row r="1353" spans="18:30" x14ac:dyDescent="0.25">
      <c r="R1353" s="491"/>
      <c r="S1353" s="491"/>
      <c r="T1353" s="491"/>
      <c r="U1353" s="491"/>
      <c r="V1353" s="491"/>
      <c r="W1353" s="491"/>
      <c r="X1353" s="491"/>
      <c r="Y1353" s="491"/>
      <c r="Z1353" s="491"/>
      <c r="AA1353" s="491"/>
      <c r="AB1353" s="491"/>
      <c r="AC1353" s="491"/>
      <c r="AD1353" s="493"/>
    </row>
    <row r="1354" spans="18:30" x14ac:dyDescent="0.25">
      <c r="R1354" s="491"/>
      <c r="S1354" s="491"/>
      <c r="T1354" s="491"/>
      <c r="U1354" s="491"/>
      <c r="V1354" s="491"/>
      <c r="W1354" s="491"/>
      <c r="X1354" s="491"/>
      <c r="Y1354" s="491"/>
      <c r="Z1354" s="491"/>
      <c r="AA1354" s="491"/>
      <c r="AB1354" s="491"/>
      <c r="AC1354" s="491"/>
      <c r="AD1354" s="493"/>
    </row>
    <row r="1355" spans="18:30" x14ac:dyDescent="0.25">
      <c r="R1355" s="491"/>
      <c r="S1355" s="491"/>
      <c r="T1355" s="491"/>
      <c r="U1355" s="491"/>
      <c r="V1355" s="491"/>
      <c r="W1355" s="491"/>
      <c r="X1355" s="491"/>
      <c r="Y1355" s="491"/>
      <c r="Z1355" s="491"/>
      <c r="AA1355" s="491"/>
      <c r="AB1355" s="491"/>
      <c r="AC1355" s="491"/>
      <c r="AD1355" s="493"/>
    </row>
    <row r="1356" spans="18:30" x14ac:dyDescent="0.25">
      <c r="R1356" s="491"/>
      <c r="S1356" s="491"/>
      <c r="T1356" s="491"/>
      <c r="U1356" s="491"/>
      <c r="V1356" s="491"/>
      <c r="W1356" s="491"/>
      <c r="X1356" s="491"/>
      <c r="Y1356" s="491"/>
      <c r="Z1356" s="491"/>
      <c r="AA1356" s="491"/>
      <c r="AB1356" s="491"/>
      <c r="AC1356" s="491"/>
      <c r="AD1356" s="493"/>
    </row>
    <row r="1357" spans="18:30" x14ac:dyDescent="0.25">
      <c r="R1357" s="491"/>
      <c r="S1357" s="491"/>
      <c r="T1357" s="491"/>
      <c r="U1357" s="491"/>
      <c r="V1357" s="491"/>
      <c r="W1357" s="491"/>
      <c r="X1357" s="491"/>
      <c r="Y1357" s="491"/>
      <c r="Z1357" s="491"/>
      <c r="AA1357" s="491"/>
      <c r="AB1357" s="491"/>
      <c r="AC1357" s="491"/>
      <c r="AD1357" s="493"/>
    </row>
    <row r="1358" spans="18:30" x14ac:dyDescent="0.25">
      <c r="R1358" s="491"/>
      <c r="S1358" s="491"/>
      <c r="T1358" s="491"/>
      <c r="U1358" s="491"/>
      <c r="V1358" s="491"/>
      <c r="W1358" s="491"/>
      <c r="X1358" s="491"/>
      <c r="Y1358" s="491"/>
      <c r="Z1358" s="491"/>
      <c r="AA1358" s="491"/>
      <c r="AB1358" s="491"/>
      <c r="AC1358" s="491"/>
      <c r="AD1358" s="493"/>
    </row>
    <row r="1359" spans="18:30" x14ac:dyDescent="0.25">
      <c r="R1359" s="491"/>
      <c r="S1359" s="491"/>
      <c r="T1359" s="491"/>
      <c r="U1359" s="491"/>
      <c r="V1359" s="491"/>
      <c r="W1359" s="491"/>
      <c r="X1359" s="491"/>
      <c r="Y1359" s="491"/>
      <c r="Z1359" s="491"/>
      <c r="AA1359" s="491"/>
      <c r="AB1359" s="491"/>
      <c r="AC1359" s="491"/>
      <c r="AD1359" s="493"/>
    </row>
    <row r="1360" spans="18:30" x14ac:dyDescent="0.25">
      <c r="R1360" s="491"/>
      <c r="S1360" s="491"/>
      <c r="T1360" s="491"/>
      <c r="U1360" s="491"/>
      <c r="V1360" s="491"/>
      <c r="W1360" s="491"/>
      <c r="X1360" s="491"/>
      <c r="Y1360" s="491"/>
      <c r="Z1360" s="491"/>
      <c r="AA1360" s="491"/>
      <c r="AB1360" s="491"/>
      <c r="AC1360" s="491"/>
      <c r="AD1360" s="493"/>
    </row>
    <row r="1361" spans="18:30" x14ac:dyDescent="0.25">
      <c r="R1361" s="491"/>
      <c r="S1361" s="491"/>
      <c r="T1361" s="491"/>
      <c r="U1361" s="491"/>
      <c r="V1361" s="491"/>
      <c r="W1361" s="491"/>
      <c r="X1361" s="491"/>
      <c r="Y1361" s="491"/>
      <c r="Z1361" s="491"/>
      <c r="AA1361" s="491"/>
      <c r="AB1361" s="491"/>
      <c r="AC1361" s="491"/>
      <c r="AD1361" s="493"/>
    </row>
    <row r="1362" spans="18:30" x14ac:dyDescent="0.25">
      <c r="R1362" s="491"/>
      <c r="S1362" s="491"/>
      <c r="T1362" s="491"/>
      <c r="U1362" s="491"/>
      <c r="V1362" s="491"/>
      <c r="W1362" s="491"/>
      <c r="X1362" s="491"/>
      <c r="Y1362" s="491"/>
      <c r="Z1362" s="491"/>
      <c r="AA1362" s="491"/>
      <c r="AB1362" s="491"/>
      <c r="AC1362" s="491"/>
      <c r="AD1362" s="493"/>
    </row>
    <row r="1363" spans="18:30" x14ac:dyDescent="0.25">
      <c r="R1363" s="491"/>
      <c r="S1363" s="491"/>
      <c r="T1363" s="491"/>
      <c r="U1363" s="491"/>
      <c r="V1363" s="491"/>
      <c r="W1363" s="491"/>
      <c r="X1363" s="491"/>
      <c r="Y1363" s="491"/>
      <c r="Z1363" s="491"/>
      <c r="AA1363" s="491"/>
      <c r="AB1363" s="491"/>
      <c r="AC1363" s="491"/>
      <c r="AD1363" s="493"/>
    </row>
    <row r="1364" spans="18:30" x14ac:dyDescent="0.25">
      <c r="R1364" s="491"/>
      <c r="S1364" s="491"/>
      <c r="T1364" s="491"/>
      <c r="U1364" s="491"/>
      <c r="V1364" s="491"/>
      <c r="W1364" s="491"/>
      <c r="X1364" s="491"/>
      <c r="Y1364" s="491"/>
      <c r="Z1364" s="491"/>
      <c r="AA1364" s="491"/>
      <c r="AB1364" s="491"/>
      <c r="AC1364" s="491"/>
      <c r="AD1364" s="493"/>
    </row>
    <row r="1365" spans="18:30" x14ac:dyDescent="0.25">
      <c r="R1365" s="491"/>
      <c r="S1365" s="491"/>
      <c r="T1365" s="491"/>
      <c r="U1365" s="491"/>
      <c r="V1365" s="491"/>
      <c r="W1365" s="491"/>
      <c r="X1365" s="491"/>
      <c r="Y1365" s="491"/>
      <c r="Z1365" s="491"/>
      <c r="AA1365" s="491"/>
      <c r="AB1365" s="491"/>
      <c r="AC1365" s="491"/>
      <c r="AD1365" s="493"/>
    </row>
    <row r="1366" spans="18:30" x14ac:dyDescent="0.25">
      <c r="R1366" s="491"/>
      <c r="S1366" s="491"/>
      <c r="T1366" s="491"/>
      <c r="U1366" s="491"/>
      <c r="V1366" s="491"/>
      <c r="W1366" s="491"/>
      <c r="X1366" s="491"/>
      <c r="Y1366" s="491"/>
      <c r="Z1366" s="491"/>
      <c r="AA1366" s="491"/>
      <c r="AB1366" s="491"/>
      <c r="AC1366" s="491"/>
      <c r="AD1366" s="493"/>
    </row>
    <row r="1367" spans="18:30" x14ac:dyDescent="0.25">
      <c r="R1367" s="491"/>
      <c r="S1367" s="491"/>
      <c r="T1367" s="491"/>
      <c r="U1367" s="491"/>
      <c r="V1367" s="491"/>
      <c r="W1367" s="491"/>
      <c r="X1367" s="491"/>
      <c r="Y1367" s="491"/>
      <c r="Z1367" s="491"/>
      <c r="AA1367" s="491"/>
      <c r="AB1367" s="491"/>
      <c r="AC1367" s="491"/>
      <c r="AD1367" s="493"/>
    </row>
    <row r="1368" spans="18:30" x14ac:dyDescent="0.25">
      <c r="R1368" s="491"/>
      <c r="S1368" s="491"/>
      <c r="T1368" s="491"/>
      <c r="U1368" s="491"/>
      <c r="V1368" s="491"/>
      <c r="W1368" s="491"/>
      <c r="X1368" s="491"/>
      <c r="Y1368" s="491"/>
      <c r="Z1368" s="491"/>
      <c r="AA1368" s="491"/>
      <c r="AB1368" s="491"/>
      <c r="AC1368" s="491"/>
      <c r="AD1368" s="493"/>
    </row>
    <row r="1369" spans="18:30" x14ac:dyDescent="0.25">
      <c r="R1369" s="491"/>
      <c r="S1369" s="491"/>
      <c r="T1369" s="491"/>
      <c r="U1369" s="491"/>
      <c r="V1369" s="491"/>
      <c r="W1369" s="491"/>
      <c r="X1369" s="491"/>
      <c r="Y1369" s="491"/>
      <c r="Z1369" s="491"/>
      <c r="AA1369" s="491"/>
      <c r="AB1369" s="491"/>
      <c r="AC1369" s="491"/>
      <c r="AD1369" s="493"/>
    </row>
    <row r="1370" spans="18:30" x14ac:dyDescent="0.25">
      <c r="R1370" s="491"/>
      <c r="S1370" s="491"/>
      <c r="T1370" s="491"/>
      <c r="U1370" s="491"/>
      <c r="V1370" s="491"/>
      <c r="W1370" s="491"/>
      <c r="X1370" s="491"/>
      <c r="Y1370" s="491"/>
      <c r="Z1370" s="491"/>
      <c r="AA1370" s="491"/>
      <c r="AB1370" s="491"/>
      <c r="AC1370" s="491"/>
      <c r="AD1370" s="493"/>
    </row>
    <row r="1371" spans="18:30" x14ac:dyDescent="0.25">
      <c r="R1371" s="491"/>
      <c r="S1371" s="491"/>
      <c r="T1371" s="491"/>
      <c r="U1371" s="491"/>
      <c r="V1371" s="491"/>
      <c r="W1371" s="491"/>
      <c r="X1371" s="491"/>
      <c r="Y1371" s="491"/>
      <c r="Z1371" s="491"/>
      <c r="AA1371" s="491"/>
      <c r="AB1371" s="491"/>
      <c r="AC1371" s="491"/>
      <c r="AD1371" s="493"/>
    </row>
    <row r="1372" spans="18:30" x14ac:dyDescent="0.25">
      <c r="R1372" s="491"/>
      <c r="S1372" s="491"/>
      <c r="T1372" s="491"/>
      <c r="U1372" s="491"/>
      <c r="V1372" s="491"/>
      <c r="W1372" s="491"/>
      <c r="X1372" s="491"/>
      <c r="Y1372" s="491"/>
      <c r="Z1372" s="491"/>
      <c r="AA1372" s="491"/>
      <c r="AB1372" s="491"/>
      <c r="AC1372" s="491"/>
      <c r="AD1372" s="493"/>
    </row>
    <row r="1373" spans="18:30" x14ac:dyDescent="0.25">
      <c r="R1373" s="491"/>
      <c r="S1373" s="491"/>
      <c r="T1373" s="491"/>
      <c r="U1373" s="491"/>
      <c r="V1373" s="491"/>
      <c r="W1373" s="491"/>
      <c r="X1373" s="491"/>
      <c r="Y1373" s="491"/>
      <c r="Z1373" s="491"/>
      <c r="AA1373" s="491"/>
      <c r="AB1373" s="491"/>
      <c r="AC1373" s="491"/>
      <c r="AD1373" s="493"/>
    </row>
    <row r="1374" spans="18:30" x14ac:dyDescent="0.25">
      <c r="R1374" s="491"/>
      <c r="S1374" s="491"/>
      <c r="T1374" s="491"/>
      <c r="U1374" s="491"/>
      <c r="V1374" s="491"/>
      <c r="W1374" s="491"/>
      <c r="X1374" s="491"/>
      <c r="Y1374" s="491"/>
      <c r="Z1374" s="491"/>
      <c r="AA1374" s="491"/>
      <c r="AB1374" s="491"/>
      <c r="AC1374" s="491"/>
      <c r="AD1374" s="493"/>
    </row>
    <row r="1375" spans="18:30" x14ac:dyDescent="0.25">
      <c r="R1375" s="491"/>
      <c r="S1375" s="491"/>
      <c r="T1375" s="491"/>
      <c r="U1375" s="491"/>
      <c r="V1375" s="491"/>
      <c r="W1375" s="491"/>
      <c r="X1375" s="491"/>
      <c r="Y1375" s="491"/>
      <c r="Z1375" s="491"/>
      <c r="AA1375" s="491"/>
      <c r="AB1375" s="491"/>
      <c r="AC1375" s="491"/>
      <c r="AD1375" s="493"/>
    </row>
    <row r="1376" spans="18:30" x14ac:dyDescent="0.25">
      <c r="R1376" s="491"/>
      <c r="S1376" s="491"/>
      <c r="T1376" s="491"/>
      <c r="U1376" s="491"/>
      <c r="V1376" s="491"/>
      <c r="W1376" s="491"/>
      <c r="X1376" s="491"/>
      <c r="Y1376" s="491"/>
      <c r="Z1376" s="491"/>
      <c r="AA1376" s="491"/>
      <c r="AB1376" s="491"/>
      <c r="AC1376" s="491"/>
      <c r="AD1376" s="493"/>
    </row>
    <row r="1377" spans="18:30" x14ac:dyDescent="0.25">
      <c r="R1377" s="491"/>
      <c r="S1377" s="491"/>
      <c r="T1377" s="491"/>
      <c r="U1377" s="491"/>
      <c r="V1377" s="491"/>
      <c r="W1377" s="491"/>
      <c r="X1377" s="491"/>
      <c r="Y1377" s="491"/>
      <c r="Z1377" s="491"/>
      <c r="AA1377" s="491"/>
      <c r="AB1377" s="491"/>
      <c r="AC1377" s="491"/>
      <c r="AD1377" s="493"/>
    </row>
    <row r="1378" spans="18:30" x14ac:dyDescent="0.25">
      <c r="R1378" s="491"/>
      <c r="S1378" s="491"/>
      <c r="T1378" s="491"/>
      <c r="U1378" s="491"/>
      <c r="V1378" s="491"/>
      <c r="W1378" s="491"/>
      <c r="X1378" s="491"/>
      <c r="Y1378" s="491"/>
      <c r="Z1378" s="491"/>
      <c r="AA1378" s="491"/>
      <c r="AB1378" s="491"/>
      <c r="AC1378" s="491"/>
      <c r="AD1378" s="493"/>
    </row>
    <row r="1379" spans="18:30" x14ac:dyDescent="0.25">
      <c r="R1379" s="491"/>
      <c r="S1379" s="491"/>
      <c r="T1379" s="491"/>
      <c r="U1379" s="491"/>
      <c r="V1379" s="491"/>
      <c r="W1379" s="491"/>
      <c r="X1379" s="491"/>
      <c r="Y1379" s="491"/>
      <c r="Z1379" s="491"/>
      <c r="AA1379" s="491"/>
      <c r="AB1379" s="491"/>
      <c r="AC1379" s="491"/>
      <c r="AD1379" s="493"/>
    </row>
    <row r="1380" spans="18:30" x14ac:dyDescent="0.25">
      <c r="R1380" s="491"/>
      <c r="S1380" s="491"/>
      <c r="T1380" s="491"/>
      <c r="U1380" s="491"/>
      <c r="V1380" s="491"/>
      <c r="W1380" s="491"/>
      <c r="X1380" s="491"/>
      <c r="Y1380" s="491"/>
      <c r="Z1380" s="491"/>
      <c r="AA1380" s="491"/>
      <c r="AB1380" s="491"/>
      <c r="AC1380" s="491"/>
      <c r="AD1380" s="493"/>
    </row>
    <row r="1381" spans="18:30" x14ac:dyDescent="0.25">
      <c r="R1381" s="491"/>
      <c r="S1381" s="491"/>
      <c r="T1381" s="491"/>
      <c r="U1381" s="491"/>
      <c r="V1381" s="491"/>
      <c r="W1381" s="491"/>
      <c r="X1381" s="491"/>
      <c r="Y1381" s="491"/>
      <c r="Z1381" s="491"/>
      <c r="AA1381" s="491"/>
      <c r="AB1381" s="491"/>
      <c r="AC1381" s="491"/>
      <c r="AD1381" s="493"/>
    </row>
    <row r="1382" spans="18:30" x14ac:dyDescent="0.25">
      <c r="R1382" s="491"/>
      <c r="S1382" s="491"/>
      <c r="T1382" s="491"/>
      <c r="U1382" s="491"/>
      <c r="V1382" s="491"/>
      <c r="W1382" s="491"/>
      <c r="X1382" s="491"/>
      <c r="Y1382" s="491"/>
      <c r="Z1382" s="491"/>
      <c r="AA1382" s="491"/>
      <c r="AB1382" s="491"/>
      <c r="AC1382" s="491"/>
      <c r="AD1382" s="493"/>
    </row>
    <row r="1383" spans="18:30" x14ac:dyDescent="0.25">
      <c r="R1383" s="491"/>
      <c r="S1383" s="491"/>
      <c r="T1383" s="491"/>
      <c r="U1383" s="491"/>
      <c r="V1383" s="491"/>
      <c r="W1383" s="491"/>
      <c r="X1383" s="491"/>
      <c r="Y1383" s="491"/>
      <c r="Z1383" s="491"/>
      <c r="AA1383" s="491"/>
      <c r="AB1383" s="491"/>
      <c r="AC1383" s="491"/>
      <c r="AD1383" s="493"/>
    </row>
    <row r="1384" spans="18:30" x14ac:dyDescent="0.25">
      <c r="R1384" s="491"/>
      <c r="S1384" s="491"/>
      <c r="T1384" s="491"/>
      <c r="U1384" s="491"/>
      <c r="V1384" s="491"/>
      <c r="W1384" s="491"/>
      <c r="X1384" s="491"/>
      <c r="Y1384" s="491"/>
      <c r="Z1384" s="491"/>
      <c r="AA1384" s="491"/>
      <c r="AB1384" s="491"/>
      <c r="AC1384" s="491"/>
      <c r="AD1384" s="493"/>
    </row>
    <row r="1385" spans="18:30" x14ac:dyDescent="0.25">
      <c r="R1385" s="491"/>
      <c r="S1385" s="491"/>
      <c r="T1385" s="491"/>
      <c r="U1385" s="491"/>
      <c r="V1385" s="491"/>
      <c r="W1385" s="491"/>
      <c r="X1385" s="491"/>
      <c r="Y1385" s="491"/>
      <c r="Z1385" s="491"/>
      <c r="AA1385" s="491"/>
      <c r="AB1385" s="491"/>
      <c r="AC1385" s="491"/>
      <c r="AD1385" s="493"/>
    </row>
    <row r="1386" spans="18:30" x14ac:dyDescent="0.25">
      <c r="R1386" s="491"/>
      <c r="S1386" s="491"/>
      <c r="T1386" s="491"/>
      <c r="U1386" s="491"/>
      <c r="V1386" s="491"/>
      <c r="W1386" s="491"/>
      <c r="X1386" s="491"/>
      <c r="Y1386" s="491"/>
      <c r="Z1386" s="491"/>
      <c r="AA1386" s="491"/>
      <c r="AB1386" s="491"/>
      <c r="AC1386" s="491"/>
      <c r="AD1386" s="493"/>
    </row>
    <row r="1387" spans="18:30" x14ac:dyDescent="0.25">
      <c r="R1387" s="491"/>
      <c r="S1387" s="491"/>
      <c r="T1387" s="491"/>
      <c r="U1387" s="491"/>
      <c r="V1387" s="491"/>
      <c r="W1387" s="491"/>
      <c r="X1387" s="491"/>
      <c r="Y1387" s="491"/>
      <c r="Z1387" s="491"/>
      <c r="AA1387" s="491"/>
      <c r="AB1387" s="491"/>
      <c r="AC1387" s="491"/>
      <c r="AD1387" s="493"/>
    </row>
    <row r="1388" spans="18:30" x14ac:dyDescent="0.25">
      <c r="R1388" s="491"/>
      <c r="S1388" s="491"/>
      <c r="T1388" s="491"/>
      <c r="U1388" s="491"/>
      <c r="V1388" s="491"/>
      <c r="W1388" s="491"/>
      <c r="X1388" s="491"/>
      <c r="Y1388" s="491"/>
      <c r="Z1388" s="491"/>
      <c r="AA1388" s="491"/>
      <c r="AB1388" s="491"/>
      <c r="AC1388" s="491"/>
      <c r="AD1388" s="493"/>
    </row>
    <row r="1389" spans="18:30" x14ac:dyDescent="0.25">
      <c r="R1389" s="491"/>
      <c r="S1389" s="491"/>
      <c r="T1389" s="491"/>
      <c r="U1389" s="491"/>
      <c r="V1389" s="491"/>
      <c r="W1389" s="491"/>
      <c r="X1389" s="491"/>
      <c r="Y1389" s="491"/>
      <c r="Z1389" s="491"/>
      <c r="AA1389" s="491"/>
      <c r="AB1389" s="491"/>
      <c r="AC1389" s="491"/>
      <c r="AD1389" s="493"/>
    </row>
    <row r="1390" spans="18:30" x14ac:dyDescent="0.25">
      <c r="R1390" s="491"/>
      <c r="S1390" s="491"/>
      <c r="T1390" s="491"/>
      <c r="U1390" s="491"/>
      <c r="V1390" s="491"/>
      <c r="W1390" s="491"/>
      <c r="X1390" s="491"/>
      <c r="Y1390" s="491"/>
      <c r="Z1390" s="491"/>
      <c r="AA1390" s="491"/>
      <c r="AB1390" s="491"/>
      <c r="AC1390" s="491"/>
      <c r="AD1390" s="493"/>
    </row>
    <row r="1391" spans="18:30" x14ac:dyDescent="0.25">
      <c r="R1391" s="491"/>
      <c r="S1391" s="491"/>
      <c r="T1391" s="491"/>
      <c r="U1391" s="491"/>
      <c r="V1391" s="491"/>
      <c r="W1391" s="491"/>
      <c r="X1391" s="491"/>
      <c r="Y1391" s="491"/>
      <c r="Z1391" s="491"/>
      <c r="AA1391" s="491"/>
      <c r="AB1391" s="491"/>
      <c r="AC1391" s="491"/>
      <c r="AD1391" s="493"/>
    </row>
    <row r="1392" spans="18:30" x14ac:dyDescent="0.25">
      <c r="R1392" s="491"/>
      <c r="S1392" s="491"/>
      <c r="T1392" s="491"/>
      <c r="U1392" s="491"/>
      <c r="V1392" s="491"/>
      <c r="W1392" s="491"/>
      <c r="X1392" s="491"/>
      <c r="Y1392" s="491"/>
      <c r="Z1392" s="491"/>
      <c r="AA1392" s="491"/>
      <c r="AB1392" s="491"/>
      <c r="AC1392" s="491"/>
      <c r="AD1392" s="493"/>
    </row>
    <row r="1393" spans="18:30" x14ac:dyDescent="0.25">
      <c r="R1393" s="491"/>
      <c r="S1393" s="491"/>
      <c r="T1393" s="491"/>
      <c r="U1393" s="491"/>
      <c r="V1393" s="491"/>
      <c r="W1393" s="491"/>
      <c r="X1393" s="491"/>
      <c r="Y1393" s="491"/>
      <c r="Z1393" s="491"/>
      <c r="AA1393" s="491"/>
      <c r="AB1393" s="491"/>
      <c r="AC1393" s="491"/>
      <c r="AD1393" s="493"/>
    </row>
    <row r="1394" spans="18:30" x14ac:dyDescent="0.25">
      <c r="R1394" s="491"/>
      <c r="S1394" s="491"/>
      <c r="T1394" s="491"/>
      <c r="U1394" s="491"/>
      <c r="V1394" s="491"/>
      <c r="W1394" s="491"/>
      <c r="X1394" s="491"/>
      <c r="Y1394" s="491"/>
      <c r="Z1394" s="491"/>
      <c r="AA1394" s="491"/>
      <c r="AB1394" s="491"/>
      <c r="AC1394" s="491"/>
      <c r="AD1394" s="493"/>
    </row>
    <row r="1395" spans="18:30" x14ac:dyDescent="0.25">
      <c r="R1395" s="491"/>
      <c r="S1395" s="491"/>
      <c r="T1395" s="491"/>
      <c r="U1395" s="491"/>
      <c r="V1395" s="491"/>
      <c r="W1395" s="491"/>
      <c r="X1395" s="491"/>
      <c r="Y1395" s="491"/>
      <c r="Z1395" s="491"/>
      <c r="AA1395" s="491"/>
      <c r="AB1395" s="491"/>
      <c r="AC1395" s="491"/>
      <c r="AD1395" s="493"/>
    </row>
    <row r="1396" spans="18:30" x14ac:dyDescent="0.25">
      <c r="R1396" s="491"/>
      <c r="S1396" s="491"/>
      <c r="T1396" s="491"/>
      <c r="U1396" s="491"/>
      <c r="V1396" s="491"/>
      <c r="W1396" s="491"/>
      <c r="X1396" s="491"/>
      <c r="Y1396" s="491"/>
      <c r="Z1396" s="491"/>
      <c r="AA1396" s="491"/>
      <c r="AB1396" s="491"/>
      <c r="AC1396" s="491"/>
      <c r="AD1396" s="493"/>
    </row>
    <row r="1397" spans="18:30" x14ac:dyDescent="0.25">
      <c r="R1397" s="491"/>
      <c r="S1397" s="491"/>
      <c r="T1397" s="491"/>
      <c r="U1397" s="491"/>
      <c r="V1397" s="491"/>
      <c r="W1397" s="491"/>
      <c r="X1397" s="491"/>
      <c r="Y1397" s="491"/>
      <c r="Z1397" s="491"/>
      <c r="AA1397" s="491"/>
      <c r="AB1397" s="491"/>
      <c r="AC1397" s="491"/>
      <c r="AD1397" s="493"/>
    </row>
    <row r="1398" spans="18:30" x14ac:dyDescent="0.25">
      <c r="R1398" s="491"/>
      <c r="S1398" s="491"/>
      <c r="T1398" s="491"/>
      <c r="U1398" s="491"/>
      <c r="V1398" s="491"/>
      <c r="W1398" s="491"/>
      <c r="X1398" s="491"/>
      <c r="Y1398" s="491"/>
      <c r="Z1398" s="491"/>
      <c r="AA1398" s="491"/>
      <c r="AB1398" s="491"/>
      <c r="AC1398" s="491"/>
      <c r="AD1398" s="493"/>
    </row>
    <row r="1399" spans="18:30" x14ac:dyDescent="0.25">
      <c r="R1399" s="491"/>
      <c r="S1399" s="491"/>
      <c r="T1399" s="491"/>
      <c r="U1399" s="491"/>
      <c r="V1399" s="491"/>
      <c r="W1399" s="491"/>
      <c r="X1399" s="491"/>
      <c r="Y1399" s="491"/>
      <c r="Z1399" s="491"/>
      <c r="AA1399" s="491"/>
      <c r="AB1399" s="491"/>
      <c r="AC1399" s="491"/>
      <c r="AD1399" s="493"/>
    </row>
    <row r="1400" spans="18:30" x14ac:dyDescent="0.25">
      <c r="R1400" s="491"/>
      <c r="S1400" s="491"/>
      <c r="T1400" s="491"/>
      <c r="U1400" s="491"/>
      <c r="V1400" s="491"/>
      <c r="W1400" s="491"/>
      <c r="X1400" s="491"/>
      <c r="Y1400" s="491"/>
      <c r="Z1400" s="491"/>
      <c r="AA1400" s="491"/>
      <c r="AB1400" s="491"/>
      <c r="AC1400" s="491"/>
      <c r="AD1400" s="493"/>
    </row>
    <row r="1401" spans="18:30" x14ac:dyDescent="0.25">
      <c r="R1401" s="491"/>
      <c r="S1401" s="491"/>
      <c r="T1401" s="491"/>
      <c r="U1401" s="491"/>
      <c r="V1401" s="491"/>
      <c r="W1401" s="491"/>
      <c r="X1401" s="491"/>
      <c r="Y1401" s="491"/>
      <c r="Z1401" s="491"/>
      <c r="AA1401" s="491"/>
      <c r="AB1401" s="491"/>
      <c r="AC1401" s="491"/>
      <c r="AD1401" s="493"/>
    </row>
    <row r="1402" spans="18:30" x14ac:dyDescent="0.25">
      <c r="R1402" s="491"/>
      <c r="S1402" s="491"/>
      <c r="T1402" s="491"/>
      <c r="U1402" s="491"/>
      <c r="V1402" s="491"/>
      <c r="W1402" s="491"/>
      <c r="X1402" s="491"/>
      <c r="Y1402" s="491"/>
      <c r="Z1402" s="491"/>
      <c r="AA1402" s="491"/>
      <c r="AB1402" s="491"/>
      <c r="AC1402" s="491"/>
      <c r="AD1402" s="493"/>
    </row>
    <row r="1403" spans="18:30" x14ac:dyDescent="0.25">
      <c r="R1403" s="491"/>
      <c r="S1403" s="491"/>
      <c r="T1403" s="491"/>
      <c r="U1403" s="491"/>
      <c r="V1403" s="491"/>
      <c r="W1403" s="491"/>
      <c r="X1403" s="491"/>
      <c r="Y1403" s="491"/>
      <c r="Z1403" s="491"/>
      <c r="AA1403" s="491"/>
      <c r="AB1403" s="491"/>
      <c r="AC1403" s="491"/>
      <c r="AD1403" s="493"/>
    </row>
    <row r="1404" spans="18:30" x14ac:dyDescent="0.25">
      <c r="R1404" s="491"/>
      <c r="S1404" s="491"/>
      <c r="T1404" s="491"/>
      <c r="U1404" s="491"/>
      <c r="V1404" s="491"/>
      <c r="W1404" s="491"/>
      <c r="X1404" s="491"/>
      <c r="Y1404" s="491"/>
      <c r="Z1404" s="491"/>
      <c r="AA1404" s="491"/>
      <c r="AB1404" s="491"/>
      <c r="AC1404" s="491"/>
      <c r="AD1404" s="493"/>
    </row>
    <row r="1405" spans="18:30" x14ac:dyDescent="0.25">
      <c r="R1405" s="491"/>
      <c r="S1405" s="491"/>
      <c r="T1405" s="491"/>
      <c r="U1405" s="491"/>
      <c r="V1405" s="491"/>
      <c r="W1405" s="491"/>
      <c r="X1405" s="491"/>
      <c r="Y1405" s="491"/>
      <c r="Z1405" s="491"/>
      <c r="AA1405" s="491"/>
      <c r="AB1405" s="491"/>
      <c r="AC1405" s="491"/>
      <c r="AD1405" s="493"/>
    </row>
    <row r="1406" spans="18:30" x14ac:dyDescent="0.25">
      <c r="R1406" s="491"/>
      <c r="S1406" s="491"/>
      <c r="T1406" s="491"/>
      <c r="U1406" s="491"/>
      <c r="V1406" s="491"/>
      <c r="W1406" s="491"/>
      <c r="X1406" s="491"/>
      <c r="Y1406" s="491"/>
      <c r="Z1406" s="491"/>
      <c r="AA1406" s="491"/>
      <c r="AB1406" s="491"/>
      <c r="AC1406" s="491"/>
      <c r="AD1406" s="493"/>
    </row>
    <row r="1407" spans="18:30" x14ac:dyDescent="0.25">
      <c r="R1407" s="491"/>
      <c r="S1407" s="491"/>
      <c r="T1407" s="491"/>
      <c r="U1407" s="491"/>
      <c r="V1407" s="491"/>
      <c r="W1407" s="491"/>
      <c r="X1407" s="491"/>
      <c r="Y1407" s="491"/>
      <c r="Z1407" s="491"/>
      <c r="AA1407" s="491"/>
      <c r="AB1407" s="491"/>
      <c r="AC1407" s="491"/>
      <c r="AD1407" s="493"/>
    </row>
    <row r="1408" spans="18:30" x14ac:dyDescent="0.25">
      <c r="R1408" s="491"/>
      <c r="S1408" s="491"/>
      <c r="T1408" s="491"/>
      <c r="U1408" s="491"/>
      <c r="V1408" s="491"/>
      <c r="W1408" s="491"/>
      <c r="X1408" s="491"/>
      <c r="Y1408" s="491"/>
      <c r="Z1408" s="491"/>
      <c r="AA1408" s="491"/>
      <c r="AB1408" s="491"/>
      <c r="AC1408" s="491"/>
      <c r="AD1408" s="493"/>
    </row>
    <row r="1409" spans="18:30" x14ac:dyDescent="0.25">
      <c r="R1409" s="491"/>
      <c r="S1409" s="491"/>
      <c r="T1409" s="491"/>
      <c r="U1409" s="491"/>
      <c r="V1409" s="491"/>
      <c r="W1409" s="491"/>
      <c r="X1409" s="491"/>
      <c r="Y1409" s="491"/>
      <c r="Z1409" s="491"/>
      <c r="AA1409" s="491"/>
      <c r="AB1409" s="491"/>
      <c r="AC1409" s="491"/>
      <c r="AD1409" s="493"/>
    </row>
    <row r="1410" spans="18:30" x14ac:dyDescent="0.25">
      <c r="R1410" s="491"/>
      <c r="S1410" s="491"/>
      <c r="T1410" s="491"/>
      <c r="U1410" s="491"/>
      <c r="V1410" s="491"/>
      <c r="W1410" s="491"/>
      <c r="X1410" s="491"/>
      <c r="Y1410" s="491"/>
      <c r="Z1410" s="491"/>
      <c r="AA1410" s="491"/>
      <c r="AB1410" s="491"/>
      <c r="AC1410" s="491"/>
      <c r="AD1410" s="493"/>
    </row>
    <row r="1411" spans="18:30" x14ac:dyDescent="0.25">
      <c r="R1411" s="491"/>
      <c r="S1411" s="491"/>
      <c r="T1411" s="491"/>
      <c r="U1411" s="491"/>
      <c r="V1411" s="491"/>
      <c r="W1411" s="491"/>
      <c r="X1411" s="491"/>
      <c r="Y1411" s="491"/>
      <c r="Z1411" s="491"/>
      <c r="AA1411" s="491"/>
      <c r="AB1411" s="491"/>
      <c r="AC1411" s="491"/>
      <c r="AD1411" s="493"/>
    </row>
    <row r="1412" spans="18:30" x14ac:dyDescent="0.25">
      <c r="R1412" s="491"/>
      <c r="S1412" s="491"/>
      <c r="T1412" s="491"/>
      <c r="U1412" s="491"/>
      <c r="V1412" s="491"/>
      <c r="W1412" s="491"/>
      <c r="X1412" s="491"/>
      <c r="Y1412" s="491"/>
      <c r="Z1412" s="491"/>
      <c r="AA1412" s="491"/>
      <c r="AB1412" s="491"/>
      <c r="AC1412" s="491"/>
      <c r="AD1412" s="493"/>
    </row>
    <row r="1413" spans="18:30" x14ac:dyDescent="0.25">
      <c r="R1413" s="491"/>
      <c r="S1413" s="491"/>
      <c r="T1413" s="491"/>
      <c r="U1413" s="491"/>
      <c r="V1413" s="491"/>
      <c r="W1413" s="491"/>
      <c r="X1413" s="491"/>
      <c r="Y1413" s="491"/>
      <c r="Z1413" s="491"/>
      <c r="AA1413" s="491"/>
      <c r="AB1413" s="491"/>
      <c r="AC1413" s="491"/>
      <c r="AD1413" s="493"/>
    </row>
    <row r="1414" spans="18:30" x14ac:dyDescent="0.25">
      <c r="R1414" s="491"/>
      <c r="S1414" s="491"/>
      <c r="T1414" s="491"/>
      <c r="U1414" s="491"/>
      <c r="V1414" s="491"/>
      <c r="W1414" s="491"/>
      <c r="X1414" s="491"/>
      <c r="Y1414" s="491"/>
      <c r="Z1414" s="491"/>
      <c r="AA1414" s="491"/>
      <c r="AB1414" s="491"/>
      <c r="AC1414" s="491"/>
      <c r="AD1414" s="493"/>
    </row>
    <row r="1415" spans="18:30" x14ac:dyDescent="0.25">
      <c r="R1415" s="491"/>
      <c r="S1415" s="491"/>
      <c r="T1415" s="491"/>
      <c r="U1415" s="491"/>
      <c r="V1415" s="491"/>
      <c r="W1415" s="491"/>
      <c r="X1415" s="491"/>
      <c r="Y1415" s="491"/>
      <c r="Z1415" s="491"/>
      <c r="AA1415" s="491"/>
      <c r="AB1415" s="491"/>
      <c r="AC1415" s="491"/>
      <c r="AD1415" s="493"/>
    </row>
    <row r="1416" spans="18:30" x14ac:dyDescent="0.25">
      <c r="R1416" s="491"/>
      <c r="S1416" s="491"/>
      <c r="T1416" s="491"/>
      <c r="U1416" s="491"/>
      <c r="V1416" s="491"/>
      <c r="W1416" s="491"/>
      <c r="X1416" s="491"/>
      <c r="Y1416" s="491"/>
      <c r="Z1416" s="491"/>
      <c r="AA1416" s="491"/>
      <c r="AB1416" s="491"/>
      <c r="AC1416" s="491"/>
      <c r="AD1416" s="493"/>
    </row>
    <row r="1417" spans="18:30" x14ac:dyDescent="0.25">
      <c r="R1417" s="491"/>
      <c r="S1417" s="491"/>
      <c r="T1417" s="491"/>
      <c r="U1417" s="491"/>
      <c r="V1417" s="491"/>
      <c r="W1417" s="491"/>
      <c r="X1417" s="491"/>
      <c r="Y1417" s="491"/>
      <c r="Z1417" s="491"/>
      <c r="AA1417" s="491"/>
      <c r="AB1417" s="491"/>
      <c r="AC1417" s="491"/>
      <c r="AD1417" s="493"/>
    </row>
    <row r="1418" spans="18:30" x14ac:dyDescent="0.25">
      <c r="R1418" s="491"/>
      <c r="S1418" s="491"/>
      <c r="T1418" s="491"/>
      <c r="U1418" s="491"/>
      <c r="V1418" s="491"/>
      <c r="W1418" s="491"/>
      <c r="X1418" s="491"/>
      <c r="Y1418" s="491"/>
      <c r="Z1418" s="491"/>
      <c r="AA1418" s="491"/>
      <c r="AB1418" s="491"/>
      <c r="AC1418" s="491"/>
      <c r="AD1418" s="493"/>
    </row>
    <row r="1419" spans="18:30" x14ac:dyDescent="0.25">
      <c r="R1419" s="491"/>
      <c r="S1419" s="491"/>
      <c r="T1419" s="491"/>
      <c r="U1419" s="491"/>
      <c r="V1419" s="491"/>
      <c r="W1419" s="491"/>
      <c r="X1419" s="491"/>
      <c r="Y1419" s="491"/>
      <c r="Z1419" s="491"/>
      <c r="AA1419" s="491"/>
      <c r="AB1419" s="491"/>
      <c r="AC1419" s="491"/>
      <c r="AD1419" s="493"/>
    </row>
    <row r="1420" spans="18:30" x14ac:dyDescent="0.25">
      <c r="R1420" s="491"/>
      <c r="S1420" s="491"/>
      <c r="T1420" s="491"/>
      <c r="U1420" s="491"/>
      <c r="V1420" s="491"/>
      <c r="W1420" s="491"/>
      <c r="X1420" s="491"/>
      <c r="Y1420" s="491"/>
      <c r="Z1420" s="491"/>
      <c r="AA1420" s="491"/>
      <c r="AB1420" s="491"/>
      <c r="AC1420" s="491"/>
      <c r="AD1420" s="493"/>
    </row>
    <row r="1421" spans="18:30" x14ac:dyDescent="0.25">
      <c r="R1421" s="491"/>
      <c r="S1421" s="491"/>
      <c r="T1421" s="491"/>
      <c r="U1421" s="491"/>
      <c r="V1421" s="491"/>
      <c r="W1421" s="491"/>
      <c r="X1421" s="491"/>
      <c r="Y1421" s="491"/>
      <c r="Z1421" s="491"/>
      <c r="AA1421" s="491"/>
      <c r="AB1421" s="491"/>
      <c r="AC1421" s="491"/>
      <c r="AD1421" s="493"/>
    </row>
    <row r="1422" spans="18:30" x14ac:dyDescent="0.25">
      <c r="R1422" s="491"/>
      <c r="S1422" s="491"/>
      <c r="T1422" s="491"/>
      <c r="U1422" s="491"/>
      <c r="V1422" s="491"/>
      <c r="W1422" s="491"/>
      <c r="X1422" s="491"/>
      <c r="Y1422" s="491"/>
      <c r="Z1422" s="491"/>
      <c r="AA1422" s="491"/>
      <c r="AB1422" s="491"/>
      <c r="AC1422" s="491"/>
      <c r="AD1422" s="493"/>
    </row>
    <row r="1423" spans="18:30" x14ac:dyDescent="0.25">
      <c r="R1423" s="491"/>
      <c r="S1423" s="491"/>
      <c r="T1423" s="491"/>
      <c r="U1423" s="491"/>
      <c r="V1423" s="491"/>
      <c r="W1423" s="491"/>
      <c r="X1423" s="491"/>
      <c r="Y1423" s="491"/>
      <c r="Z1423" s="491"/>
      <c r="AA1423" s="491"/>
      <c r="AB1423" s="491"/>
      <c r="AC1423" s="491"/>
      <c r="AD1423" s="493"/>
    </row>
    <row r="1424" spans="18:30" x14ac:dyDescent="0.25">
      <c r="R1424" s="491"/>
      <c r="S1424" s="491"/>
      <c r="T1424" s="491"/>
      <c r="U1424" s="491"/>
      <c r="V1424" s="491"/>
      <c r="W1424" s="491"/>
      <c r="X1424" s="491"/>
      <c r="Y1424" s="491"/>
      <c r="Z1424" s="491"/>
      <c r="AA1424" s="491"/>
      <c r="AB1424" s="491"/>
      <c r="AC1424" s="491"/>
      <c r="AD1424" s="493"/>
    </row>
    <row r="1425" spans="18:30" x14ac:dyDescent="0.25">
      <c r="R1425" s="491"/>
      <c r="S1425" s="491"/>
      <c r="T1425" s="491"/>
      <c r="U1425" s="491"/>
      <c r="V1425" s="491"/>
      <c r="W1425" s="491"/>
      <c r="X1425" s="491"/>
      <c r="Y1425" s="491"/>
      <c r="Z1425" s="491"/>
      <c r="AA1425" s="491"/>
      <c r="AB1425" s="491"/>
      <c r="AC1425" s="491"/>
      <c r="AD1425" s="493"/>
    </row>
    <row r="1426" spans="18:30" x14ac:dyDescent="0.25">
      <c r="R1426" s="491"/>
      <c r="S1426" s="491"/>
      <c r="T1426" s="491"/>
      <c r="U1426" s="491"/>
      <c r="V1426" s="491"/>
      <c r="W1426" s="491"/>
      <c r="X1426" s="491"/>
      <c r="Y1426" s="491"/>
      <c r="Z1426" s="491"/>
      <c r="AA1426" s="491"/>
      <c r="AB1426" s="491"/>
      <c r="AC1426" s="491"/>
      <c r="AD1426" s="493"/>
    </row>
    <row r="1427" spans="18:30" x14ac:dyDescent="0.25">
      <c r="R1427" s="491"/>
      <c r="S1427" s="491"/>
      <c r="T1427" s="491"/>
      <c r="U1427" s="491"/>
      <c r="V1427" s="491"/>
      <c r="W1427" s="491"/>
      <c r="X1427" s="491"/>
      <c r="Y1427" s="491"/>
      <c r="Z1427" s="491"/>
      <c r="AA1427" s="491"/>
      <c r="AB1427" s="491"/>
      <c r="AC1427" s="491"/>
      <c r="AD1427" s="493"/>
    </row>
    <row r="1428" spans="18:30" x14ac:dyDescent="0.25">
      <c r="R1428" s="491"/>
      <c r="S1428" s="491"/>
      <c r="T1428" s="491"/>
      <c r="U1428" s="491"/>
      <c r="V1428" s="491"/>
      <c r="W1428" s="491"/>
      <c r="X1428" s="491"/>
      <c r="Y1428" s="491"/>
      <c r="Z1428" s="491"/>
      <c r="AA1428" s="491"/>
      <c r="AB1428" s="491"/>
      <c r="AC1428" s="491"/>
      <c r="AD1428" s="493"/>
    </row>
    <row r="1429" spans="18:30" x14ac:dyDescent="0.25">
      <c r="R1429" s="491"/>
      <c r="S1429" s="491"/>
      <c r="T1429" s="491"/>
      <c r="U1429" s="491"/>
      <c r="V1429" s="491"/>
      <c r="W1429" s="491"/>
      <c r="X1429" s="491"/>
      <c r="Y1429" s="491"/>
      <c r="Z1429" s="491"/>
      <c r="AA1429" s="491"/>
      <c r="AB1429" s="491"/>
      <c r="AC1429" s="491"/>
      <c r="AD1429" s="493"/>
    </row>
    <row r="1430" spans="18:30" x14ac:dyDescent="0.25">
      <c r="R1430" s="491"/>
      <c r="S1430" s="491"/>
      <c r="T1430" s="491"/>
      <c r="U1430" s="491"/>
      <c r="V1430" s="491"/>
      <c r="W1430" s="491"/>
      <c r="X1430" s="491"/>
      <c r="Y1430" s="491"/>
      <c r="Z1430" s="491"/>
      <c r="AA1430" s="491"/>
      <c r="AB1430" s="491"/>
      <c r="AC1430" s="491"/>
      <c r="AD1430" s="493"/>
    </row>
    <row r="1431" spans="18:30" x14ac:dyDescent="0.25">
      <c r="R1431" s="491"/>
      <c r="S1431" s="491"/>
      <c r="T1431" s="491"/>
      <c r="U1431" s="491"/>
      <c r="V1431" s="491"/>
      <c r="W1431" s="491"/>
      <c r="X1431" s="491"/>
      <c r="Y1431" s="491"/>
      <c r="Z1431" s="491"/>
      <c r="AA1431" s="491"/>
      <c r="AB1431" s="491"/>
      <c r="AC1431" s="491"/>
      <c r="AD1431" s="493"/>
    </row>
    <row r="1432" spans="18:30" x14ac:dyDescent="0.25">
      <c r="R1432" s="491"/>
      <c r="S1432" s="491"/>
      <c r="T1432" s="491"/>
      <c r="U1432" s="491"/>
      <c r="V1432" s="491"/>
      <c r="W1432" s="491"/>
      <c r="X1432" s="491"/>
      <c r="Y1432" s="491"/>
      <c r="Z1432" s="491"/>
      <c r="AA1432" s="491"/>
      <c r="AB1432" s="491"/>
      <c r="AC1432" s="491"/>
      <c r="AD1432" s="493"/>
    </row>
    <row r="1433" spans="18:30" x14ac:dyDescent="0.25">
      <c r="R1433" s="491"/>
      <c r="S1433" s="491"/>
      <c r="T1433" s="491"/>
      <c r="U1433" s="491"/>
      <c r="V1433" s="491"/>
      <c r="W1433" s="491"/>
      <c r="X1433" s="491"/>
      <c r="Y1433" s="491"/>
      <c r="Z1433" s="491"/>
      <c r="AA1433" s="491"/>
      <c r="AB1433" s="491"/>
      <c r="AC1433" s="491"/>
      <c r="AD1433" s="493"/>
    </row>
    <row r="1434" spans="18:30" x14ac:dyDescent="0.25">
      <c r="R1434" s="491"/>
      <c r="S1434" s="491"/>
      <c r="T1434" s="491"/>
      <c r="U1434" s="491"/>
      <c r="V1434" s="491"/>
      <c r="W1434" s="491"/>
      <c r="X1434" s="491"/>
      <c r="Y1434" s="491"/>
      <c r="Z1434" s="491"/>
      <c r="AA1434" s="491"/>
      <c r="AB1434" s="491"/>
      <c r="AC1434" s="491"/>
      <c r="AD1434" s="493"/>
    </row>
    <row r="1435" spans="18:30" x14ac:dyDescent="0.25">
      <c r="R1435" s="491"/>
      <c r="S1435" s="491"/>
      <c r="T1435" s="491"/>
      <c r="U1435" s="491"/>
      <c r="V1435" s="491"/>
      <c r="W1435" s="491"/>
      <c r="X1435" s="491"/>
      <c r="Y1435" s="491"/>
      <c r="Z1435" s="491"/>
      <c r="AA1435" s="491"/>
      <c r="AB1435" s="491"/>
      <c r="AC1435" s="491"/>
      <c r="AD1435" s="493"/>
    </row>
    <row r="1436" spans="18:30" x14ac:dyDescent="0.25">
      <c r="R1436" s="491"/>
      <c r="S1436" s="491"/>
      <c r="T1436" s="491"/>
      <c r="U1436" s="491"/>
      <c r="V1436" s="491"/>
      <c r="W1436" s="491"/>
      <c r="X1436" s="491"/>
      <c r="Y1436" s="491"/>
      <c r="Z1436" s="491"/>
      <c r="AA1436" s="491"/>
      <c r="AB1436" s="491"/>
      <c r="AC1436" s="491"/>
      <c r="AD1436" s="493"/>
    </row>
    <row r="1437" spans="18:30" x14ac:dyDescent="0.25">
      <c r="R1437" s="491"/>
      <c r="S1437" s="491"/>
      <c r="T1437" s="491"/>
      <c r="U1437" s="491"/>
      <c r="V1437" s="491"/>
      <c r="W1437" s="491"/>
      <c r="X1437" s="491"/>
      <c r="Y1437" s="491"/>
      <c r="Z1437" s="491"/>
      <c r="AA1437" s="491"/>
      <c r="AB1437" s="491"/>
      <c r="AC1437" s="491"/>
      <c r="AD1437" s="493"/>
    </row>
    <row r="1438" spans="18:30" x14ac:dyDescent="0.25">
      <c r="R1438" s="491"/>
      <c r="S1438" s="491"/>
      <c r="T1438" s="491"/>
      <c r="U1438" s="491"/>
      <c r="V1438" s="491"/>
      <c r="W1438" s="491"/>
      <c r="X1438" s="491"/>
      <c r="Y1438" s="491"/>
      <c r="Z1438" s="491"/>
      <c r="AA1438" s="491"/>
      <c r="AB1438" s="491"/>
      <c r="AC1438" s="491"/>
      <c r="AD1438" s="493"/>
    </row>
    <row r="1439" spans="18:30" x14ac:dyDescent="0.25">
      <c r="R1439" s="491"/>
      <c r="S1439" s="491"/>
      <c r="T1439" s="491"/>
      <c r="U1439" s="491"/>
      <c r="V1439" s="491"/>
      <c r="W1439" s="491"/>
      <c r="X1439" s="491"/>
      <c r="Y1439" s="491"/>
      <c r="Z1439" s="491"/>
      <c r="AA1439" s="491"/>
      <c r="AB1439" s="491"/>
      <c r="AC1439" s="491"/>
      <c r="AD1439" s="493"/>
    </row>
    <row r="1440" spans="18:30" x14ac:dyDescent="0.25">
      <c r="R1440" s="491"/>
      <c r="S1440" s="491"/>
      <c r="T1440" s="491"/>
      <c r="U1440" s="491"/>
      <c r="V1440" s="491"/>
      <c r="W1440" s="491"/>
      <c r="X1440" s="491"/>
      <c r="Y1440" s="491"/>
      <c r="Z1440" s="491"/>
      <c r="AA1440" s="491"/>
      <c r="AB1440" s="491"/>
      <c r="AC1440" s="491"/>
      <c r="AD1440" s="493"/>
    </row>
    <row r="1441" spans="18:30" x14ac:dyDescent="0.25">
      <c r="R1441" s="491"/>
      <c r="S1441" s="491"/>
      <c r="T1441" s="491"/>
      <c r="U1441" s="491"/>
      <c r="V1441" s="491"/>
      <c r="W1441" s="491"/>
      <c r="X1441" s="491"/>
      <c r="Y1441" s="491"/>
      <c r="Z1441" s="491"/>
      <c r="AA1441" s="491"/>
      <c r="AB1441" s="491"/>
      <c r="AC1441" s="491"/>
      <c r="AD1441" s="493"/>
    </row>
    <row r="1442" spans="18:30" x14ac:dyDescent="0.25">
      <c r="R1442" s="491"/>
      <c r="S1442" s="491"/>
      <c r="T1442" s="491"/>
      <c r="U1442" s="491"/>
      <c r="V1442" s="491"/>
      <c r="W1442" s="491"/>
      <c r="X1442" s="491"/>
      <c r="Y1442" s="491"/>
      <c r="Z1442" s="491"/>
      <c r="AA1442" s="491"/>
      <c r="AB1442" s="491"/>
      <c r="AC1442" s="491"/>
      <c r="AD1442" s="493"/>
    </row>
    <row r="1443" spans="18:30" x14ac:dyDescent="0.25">
      <c r="R1443" s="491"/>
      <c r="S1443" s="491"/>
      <c r="T1443" s="491"/>
      <c r="U1443" s="491"/>
      <c r="V1443" s="491"/>
      <c r="W1443" s="491"/>
      <c r="X1443" s="491"/>
      <c r="Y1443" s="491"/>
      <c r="Z1443" s="491"/>
      <c r="AA1443" s="491"/>
      <c r="AB1443" s="491"/>
      <c r="AC1443" s="491"/>
      <c r="AD1443" s="493"/>
    </row>
    <row r="1444" spans="18:30" x14ac:dyDescent="0.25">
      <c r="R1444" s="491"/>
      <c r="S1444" s="491"/>
      <c r="T1444" s="491"/>
      <c r="U1444" s="491"/>
      <c r="V1444" s="491"/>
      <c r="W1444" s="491"/>
      <c r="X1444" s="491"/>
      <c r="Y1444" s="491"/>
      <c r="Z1444" s="491"/>
      <c r="AA1444" s="491"/>
      <c r="AB1444" s="491"/>
      <c r="AC1444" s="491"/>
      <c r="AD1444" s="493"/>
    </row>
    <row r="1445" spans="18:30" x14ac:dyDescent="0.25">
      <c r="R1445" s="491"/>
      <c r="S1445" s="491"/>
      <c r="T1445" s="491"/>
      <c r="U1445" s="491"/>
      <c r="V1445" s="491"/>
      <c r="W1445" s="491"/>
      <c r="X1445" s="491"/>
      <c r="Y1445" s="491"/>
      <c r="Z1445" s="491"/>
      <c r="AA1445" s="491"/>
      <c r="AB1445" s="491"/>
      <c r="AC1445" s="491"/>
      <c r="AD1445" s="493"/>
    </row>
    <row r="1446" spans="18:30" x14ac:dyDescent="0.25">
      <c r="R1446" s="491"/>
      <c r="S1446" s="491"/>
      <c r="T1446" s="491"/>
      <c r="U1446" s="491"/>
      <c r="V1446" s="491"/>
      <c r="W1446" s="491"/>
      <c r="X1446" s="491"/>
      <c r="Y1446" s="491"/>
      <c r="Z1446" s="491"/>
      <c r="AA1446" s="491"/>
      <c r="AB1446" s="491"/>
      <c r="AC1446" s="491"/>
      <c r="AD1446" s="493"/>
    </row>
    <row r="1447" spans="18:30" x14ac:dyDescent="0.25">
      <c r="R1447" s="491"/>
      <c r="S1447" s="491"/>
      <c r="T1447" s="491"/>
      <c r="U1447" s="491"/>
      <c r="V1447" s="491"/>
      <c r="W1447" s="491"/>
      <c r="X1447" s="491"/>
      <c r="Y1447" s="491"/>
      <c r="Z1447" s="491"/>
      <c r="AA1447" s="491"/>
      <c r="AB1447" s="491"/>
      <c r="AC1447" s="491"/>
      <c r="AD1447" s="493"/>
    </row>
    <row r="1448" spans="18:30" x14ac:dyDescent="0.25">
      <c r="R1448" s="491"/>
      <c r="S1448" s="491"/>
      <c r="T1448" s="491"/>
      <c r="U1448" s="491"/>
      <c r="V1448" s="491"/>
      <c r="W1448" s="491"/>
      <c r="X1448" s="491"/>
      <c r="Y1448" s="491"/>
      <c r="Z1448" s="491"/>
      <c r="AA1448" s="491"/>
      <c r="AB1448" s="491"/>
      <c r="AC1448" s="491"/>
      <c r="AD1448" s="493"/>
    </row>
    <row r="1449" spans="18:30" x14ac:dyDescent="0.25">
      <c r="R1449" s="491"/>
      <c r="S1449" s="491"/>
      <c r="T1449" s="491"/>
      <c r="U1449" s="491"/>
      <c r="V1449" s="491"/>
      <c r="W1449" s="491"/>
      <c r="X1449" s="491"/>
      <c r="Y1449" s="491"/>
      <c r="Z1449" s="491"/>
      <c r="AA1449" s="491"/>
      <c r="AB1449" s="491"/>
      <c r="AC1449" s="491"/>
      <c r="AD1449" s="493"/>
    </row>
    <row r="1450" spans="18:30" x14ac:dyDescent="0.25">
      <c r="R1450" s="491"/>
      <c r="S1450" s="491"/>
      <c r="T1450" s="491"/>
      <c r="U1450" s="491"/>
      <c r="V1450" s="491"/>
      <c r="W1450" s="491"/>
      <c r="X1450" s="491"/>
      <c r="Y1450" s="491"/>
      <c r="Z1450" s="491"/>
      <c r="AA1450" s="491"/>
      <c r="AB1450" s="491"/>
      <c r="AC1450" s="491"/>
      <c r="AD1450" s="493"/>
    </row>
    <row r="1451" spans="18:30" x14ac:dyDescent="0.25">
      <c r="R1451" s="491"/>
      <c r="S1451" s="491"/>
      <c r="T1451" s="491"/>
      <c r="U1451" s="491"/>
      <c r="V1451" s="491"/>
      <c r="W1451" s="491"/>
      <c r="X1451" s="491"/>
      <c r="Y1451" s="491"/>
      <c r="Z1451" s="491"/>
      <c r="AA1451" s="491"/>
      <c r="AB1451" s="491"/>
      <c r="AC1451" s="491"/>
      <c r="AD1451" s="493"/>
    </row>
    <row r="1452" spans="18:30" x14ac:dyDescent="0.25">
      <c r="R1452" s="491"/>
      <c r="S1452" s="491"/>
      <c r="T1452" s="491"/>
      <c r="U1452" s="491"/>
      <c r="V1452" s="491"/>
      <c r="W1452" s="491"/>
      <c r="X1452" s="491"/>
      <c r="Y1452" s="491"/>
      <c r="Z1452" s="491"/>
      <c r="AA1452" s="491"/>
      <c r="AB1452" s="491"/>
      <c r="AC1452" s="491"/>
      <c r="AD1452" s="493"/>
    </row>
    <row r="1453" spans="18:30" x14ac:dyDescent="0.25">
      <c r="R1453" s="491"/>
      <c r="S1453" s="491"/>
      <c r="T1453" s="491"/>
      <c r="U1453" s="491"/>
      <c r="V1453" s="491"/>
      <c r="W1453" s="491"/>
      <c r="X1453" s="491"/>
      <c r="Y1453" s="491"/>
      <c r="Z1453" s="491"/>
      <c r="AA1453" s="491"/>
      <c r="AB1453" s="491"/>
      <c r="AC1453" s="491"/>
      <c r="AD1453" s="493"/>
    </row>
    <row r="1454" spans="18:30" x14ac:dyDescent="0.25">
      <c r="R1454" s="491"/>
      <c r="S1454" s="491"/>
      <c r="T1454" s="491"/>
      <c r="U1454" s="491"/>
      <c r="V1454" s="491"/>
      <c r="W1454" s="491"/>
      <c r="X1454" s="491"/>
      <c r="Y1454" s="491"/>
      <c r="Z1454" s="491"/>
      <c r="AA1454" s="491"/>
      <c r="AB1454" s="491"/>
      <c r="AC1454" s="491"/>
      <c r="AD1454" s="493"/>
    </row>
    <row r="1455" spans="18:30" x14ac:dyDescent="0.25">
      <c r="R1455" s="491"/>
      <c r="S1455" s="491"/>
      <c r="T1455" s="491"/>
      <c r="U1455" s="491"/>
      <c r="V1455" s="491"/>
      <c r="W1455" s="491"/>
      <c r="X1455" s="491"/>
      <c r="Y1455" s="491"/>
      <c r="Z1455" s="491"/>
      <c r="AA1455" s="491"/>
      <c r="AB1455" s="491"/>
      <c r="AC1455" s="491"/>
      <c r="AD1455" s="493"/>
    </row>
    <row r="1456" spans="18:30" x14ac:dyDescent="0.25">
      <c r="R1456" s="491"/>
      <c r="S1456" s="491"/>
      <c r="T1456" s="491"/>
      <c r="U1456" s="491"/>
      <c r="V1456" s="491"/>
      <c r="W1456" s="491"/>
      <c r="X1456" s="491"/>
      <c r="Y1456" s="491"/>
      <c r="Z1456" s="491"/>
      <c r="AA1456" s="491"/>
      <c r="AB1456" s="491"/>
      <c r="AC1456" s="491"/>
      <c r="AD1456" s="493"/>
    </row>
    <row r="1457" spans="18:30" x14ac:dyDescent="0.25">
      <c r="R1457" s="491"/>
      <c r="S1457" s="491"/>
      <c r="T1457" s="491"/>
      <c r="U1457" s="491"/>
      <c r="V1457" s="491"/>
      <c r="W1457" s="491"/>
      <c r="X1457" s="491"/>
      <c r="Y1457" s="491"/>
      <c r="Z1457" s="491"/>
      <c r="AA1457" s="491"/>
      <c r="AB1457" s="491"/>
      <c r="AC1457" s="491"/>
      <c r="AD1457" s="493"/>
    </row>
    <row r="1458" spans="18:30" x14ac:dyDescent="0.25">
      <c r="R1458" s="491"/>
      <c r="S1458" s="491"/>
      <c r="T1458" s="491"/>
      <c r="U1458" s="491"/>
      <c r="V1458" s="491"/>
      <c r="W1458" s="491"/>
      <c r="X1458" s="491"/>
      <c r="Y1458" s="491"/>
      <c r="Z1458" s="491"/>
      <c r="AA1458" s="491"/>
      <c r="AB1458" s="491"/>
      <c r="AC1458" s="491"/>
      <c r="AD1458" s="493"/>
    </row>
    <row r="1459" spans="18:30" x14ac:dyDescent="0.25">
      <c r="R1459" s="491"/>
      <c r="S1459" s="491"/>
      <c r="T1459" s="491"/>
      <c r="U1459" s="491"/>
      <c r="V1459" s="491"/>
      <c r="W1459" s="491"/>
      <c r="X1459" s="491"/>
      <c r="Y1459" s="491"/>
      <c r="Z1459" s="491"/>
      <c r="AA1459" s="491"/>
      <c r="AB1459" s="491"/>
      <c r="AC1459" s="491"/>
      <c r="AD1459" s="493"/>
    </row>
    <row r="1460" spans="18:30" x14ac:dyDescent="0.25">
      <c r="R1460" s="491"/>
      <c r="S1460" s="491"/>
      <c r="T1460" s="491"/>
      <c r="U1460" s="491"/>
      <c r="V1460" s="491"/>
      <c r="W1460" s="491"/>
      <c r="X1460" s="491"/>
      <c r="Y1460" s="491"/>
      <c r="Z1460" s="491"/>
      <c r="AA1460" s="491"/>
      <c r="AB1460" s="491"/>
      <c r="AC1460" s="491"/>
      <c r="AD1460" s="493"/>
    </row>
    <row r="1461" spans="18:30" x14ac:dyDescent="0.25">
      <c r="R1461" s="491"/>
      <c r="S1461" s="491"/>
      <c r="T1461" s="491"/>
      <c r="U1461" s="491"/>
      <c r="V1461" s="491"/>
      <c r="W1461" s="491"/>
      <c r="X1461" s="491"/>
      <c r="Y1461" s="491"/>
      <c r="Z1461" s="491"/>
      <c r="AA1461" s="491"/>
      <c r="AB1461" s="491"/>
      <c r="AC1461" s="491"/>
      <c r="AD1461" s="493"/>
    </row>
    <row r="1462" spans="18:30" x14ac:dyDescent="0.25">
      <c r="R1462" s="491"/>
      <c r="S1462" s="491"/>
      <c r="T1462" s="491"/>
      <c r="U1462" s="491"/>
      <c r="V1462" s="491"/>
      <c r="W1462" s="491"/>
      <c r="X1462" s="491"/>
      <c r="Y1462" s="491"/>
      <c r="Z1462" s="491"/>
      <c r="AA1462" s="491"/>
      <c r="AB1462" s="491"/>
      <c r="AC1462" s="491"/>
      <c r="AD1462" s="493"/>
    </row>
    <row r="1463" spans="18:30" x14ac:dyDescent="0.25">
      <c r="R1463" s="491"/>
      <c r="S1463" s="491"/>
      <c r="T1463" s="491"/>
      <c r="U1463" s="491"/>
      <c r="V1463" s="491"/>
      <c r="W1463" s="491"/>
      <c r="X1463" s="491"/>
      <c r="Y1463" s="491"/>
      <c r="Z1463" s="491"/>
      <c r="AA1463" s="491"/>
      <c r="AB1463" s="491"/>
      <c r="AC1463" s="491"/>
      <c r="AD1463" s="493"/>
    </row>
    <row r="1464" spans="18:30" x14ac:dyDescent="0.25">
      <c r="R1464" s="491"/>
      <c r="S1464" s="491"/>
      <c r="T1464" s="491"/>
      <c r="U1464" s="491"/>
      <c r="V1464" s="491"/>
      <c r="W1464" s="491"/>
      <c r="X1464" s="491"/>
      <c r="Y1464" s="491"/>
      <c r="Z1464" s="491"/>
      <c r="AA1464" s="491"/>
      <c r="AB1464" s="491"/>
      <c r="AC1464" s="491"/>
      <c r="AD1464" s="493"/>
    </row>
    <row r="1465" spans="18:30" x14ac:dyDescent="0.25">
      <c r="R1465" s="491"/>
      <c r="S1465" s="491"/>
      <c r="T1465" s="491"/>
      <c r="U1465" s="491"/>
      <c r="V1465" s="491"/>
      <c r="W1465" s="491"/>
      <c r="X1465" s="491"/>
      <c r="Y1465" s="491"/>
      <c r="Z1465" s="491"/>
      <c r="AA1465" s="491"/>
      <c r="AB1465" s="491"/>
      <c r="AC1465" s="491"/>
      <c r="AD1465" s="493"/>
    </row>
    <row r="1466" spans="18:30" x14ac:dyDescent="0.25">
      <c r="R1466" s="491"/>
      <c r="S1466" s="491"/>
      <c r="T1466" s="491"/>
      <c r="U1466" s="491"/>
      <c r="V1466" s="491"/>
      <c r="W1466" s="491"/>
      <c r="X1466" s="491"/>
      <c r="Y1466" s="491"/>
      <c r="Z1466" s="491"/>
      <c r="AA1466" s="491"/>
      <c r="AB1466" s="491"/>
      <c r="AC1466" s="491"/>
      <c r="AD1466" s="493"/>
    </row>
    <row r="1467" spans="18:30" x14ac:dyDescent="0.25">
      <c r="R1467" s="491"/>
      <c r="S1467" s="491"/>
      <c r="T1467" s="491"/>
      <c r="U1467" s="491"/>
      <c r="V1467" s="491"/>
      <c r="W1467" s="491"/>
      <c r="X1467" s="491"/>
      <c r="Y1467" s="491"/>
      <c r="Z1467" s="491"/>
      <c r="AA1467" s="491"/>
      <c r="AB1467" s="491"/>
      <c r="AC1467" s="491"/>
      <c r="AD1467" s="493"/>
    </row>
    <row r="1468" spans="18:30" x14ac:dyDescent="0.25">
      <c r="R1468" s="491"/>
      <c r="S1468" s="491"/>
      <c r="T1468" s="491"/>
      <c r="U1468" s="491"/>
      <c r="V1468" s="491"/>
      <c r="W1468" s="491"/>
      <c r="X1468" s="491"/>
      <c r="Y1468" s="491"/>
      <c r="Z1468" s="491"/>
      <c r="AA1468" s="491"/>
      <c r="AB1468" s="491"/>
      <c r="AC1468" s="491"/>
      <c r="AD1468" s="493"/>
    </row>
    <row r="1469" spans="18:30" x14ac:dyDescent="0.25">
      <c r="R1469" s="491"/>
      <c r="S1469" s="491"/>
      <c r="T1469" s="491"/>
      <c r="U1469" s="491"/>
      <c r="V1469" s="491"/>
      <c r="W1469" s="491"/>
      <c r="X1469" s="491"/>
      <c r="Y1469" s="491"/>
      <c r="Z1469" s="491"/>
      <c r="AA1469" s="491"/>
      <c r="AB1469" s="491"/>
      <c r="AC1469" s="491"/>
      <c r="AD1469" s="493"/>
    </row>
    <row r="1470" spans="18:30" x14ac:dyDescent="0.25">
      <c r="R1470" s="491"/>
      <c r="S1470" s="491"/>
      <c r="T1470" s="491"/>
      <c r="U1470" s="491"/>
      <c r="V1470" s="491"/>
      <c r="W1470" s="491"/>
      <c r="X1470" s="491"/>
      <c r="Y1470" s="491"/>
      <c r="Z1470" s="491"/>
      <c r="AA1470" s="491"/>
      <c r="AB1470" s="491"/>
      <c r="AC1470" s="491"/>
      <c r="AD1470" s="493"/>
    </row>
    <row r="1471" spans="18:30" x14ac:dyDescent="0.25">
      <c r="R1471" s="491"/>
      <c r="S1471" s="491"/>
      <c r="T1471" s="491"/>
      <c r="U1471" s="491"/>
      <c r="V1471" s="491"/>
      <c r="W1471" s="491"/>
      <c r="X1471" s="491"/>
      <c r="Y1471" s="491"/>
      <c r="Z1471" s="491"/>
      <c r="AA1471" s="491"/>
      <c r="AB1471" s="491"/>
      <c r="AC1471" s="491"/>
      <c r="AD1471" s="493"/>
    </row>
    <row r="1472" spans="18:30" x14ac:dyDescent="0.25">
      <c r="R1472" s="491"/>
      <c r="S1472" s="491"/>
      <c r="T1472" s="491"/>
      <c r="U1472" s="491"/>
      <c r="V1472" s="491"/>
      <c r="W1472" s="491"/>
      <c r="X1472" s="491"/>
      <c r="Y1472" s="491"/>
      <c r="Z1472" s="491"/>
      <c r="AA1472" s="491"/>
      <c r="AB1472" s="491"/>
      <c r="AC1472" s="491"/>
      <c r="AD1472" s="493"/>
    </row>
    <row r="1473" spans="18:30" x14ac:dyDescent="0.25">
      <c r="R1473" s="491"/>
      <c r="S1473" s="491"/>
      <c r="T1473" s="491"/>
      <c r="U1473" s="491"/>
      <c r="V1473" s="491"/>
      <c r="W1473" s="491"/>
      <c r="X1473" s="491"/>
      <c r="Y1473" s="491"/>
      <c r="Z1473" s="491"/>
      <c r="AA1473" s="491"/>
      <c r="AB1473" s="491"/>
      <c r="AC1473" s="491"/>
      <c r="AD1473" s="493"/>
    </row>
    <row r="1474" spans="18:30" x14ac:dyDescent="0.25">
      <c r="R1474" s="491"/>
      <c r="S1474" s="491"/>
      <c r="T1474" s="491"/>
      <c r="U1474" s="491"/>
      <c r="V1474" s="491"/>
      <c r="W1474" s="491"/>
      <c r="X1474" s="491"/>
      <c r="Y1474" s="491"/>
      <c r="Z1474" s="491"/>
      <c r="AA1474" s="491"/>
      <c r="AB1474" s="491"/>
      <c r="AC1474" s="491"/>
      <c r="AD1474" s="493"/>
    </row>
    <row r="1475" spans="18:30" x14ac:dyDescent="0.25">
      <c r="R1475" s="491"/>
      <c r="S1475" s="491"/>
      <c r="T1475" s="491"/>
      <c r="U1475" s="491"/>
      <c r="V1475" s="491"/>
      <c r="W1475" s="491"/>
      <c r="X1475" s="491"/>
      <c r="Y1475" s="491"/>
      <c r="Z1475" s="491"/>
      <c r="AA1475" s="491"/>
      <c r="AB1475" s="491"/>
      <c r="AC1475" s="491"/>
      <c r="AD1475" s="493"/>
    </row>
    <row r="1476" spans="18:30" x14ac:dyDescent="0.25">
      <c r="R1476" s="491"/>
      <c r="S1476" s="491"/>
      <c r="T1476" s="491"/>
      <c r="U1476" s="491"/>
      <c r="V1476" s="491"/>
      <c r="W1476" s="491"/>
      <c r="X1476" s="491"/>
      <c r="Y1476" s="491"/>
      <c r="Z1476" s="491"/>
      <c r="AA1476" s="491"/>
      <c r="AB1476" s="491"/>
      <c r="AC1476" s="491"/>
      <c r="AD1476" s="493"/>
    </row>
    <row r="1477" spans="18:30" x14ac:dyDescent="0.25">
      <c r="R1477" s="491"/>
      <c r="S1477" s="491"/>
      <c r="T1477" s="491"/>
      <c r="U1477" s="491"/>
      <c r="V1477" s="491"/>
      <c r="W1477" s="491"/>
      <c r="X1477" s="491"/>
      <c r="Y1477" s="491"/>
      <c r="Z1477" s="491"/>
      <c r="AA1477" s="491"/>
      <c r="AB1477" s="491"/>
      <c r="AC1477" s="491"/>
      <c r="AD1477" s="493"/>
    </row>
    <row r="1478" spans="18:30" x14ac:dyDescent="0.25">
      <c r="R1478" s="491"/>
      <c r="S1478" s="491"/>
      <c r="T1478" s="491"/>
      <c r="U1478" s="491"/>
      <c r="V1478" s="491"/>
      <c r="W1478" s="491"/>
      <c r="X1478" s="491"/>
      <c r="Y1478" s="491"/>
      <c r="Z1478" s="491"/>
      <c r="AA1478" s="491"/>
      <c r="AB1478" s="491"/>
      <c r="AC1478" s="491"/>
      <c r="AD1478" s="493"/>
    </row>
    <row r="1479" spans="18:30" x14ac:dyDescent="0.25">
      <c r="R1479" s="491"/>
      <c r="S1479" s="491"/>
      <c r="T1479" s="491"/>
      <c r="U1479" s="491"/>
      <c r="V1479" s="491"/>
      <c r="W1479" s="491"/>
      <c r="X1479" s="491"/>
      <c r="Y1479" s="491"/>
      <c r="Z1479" s="491"/>
      <c r="AA1479" s="491"/>
      <c r="AB1479" s="491"/>
      <c r="AC1479" s="491"/>
      <c r="AD1479" s="493"/>
    </row>
    <row r="1480" spans="18:30" x14ac:dyDescent="0.25">
      <c r="R1480" s="491"/>
      <c r="S1480" s="491"/>
      <c r="T1480" s="491"/>
      <c r="U1480" s="491"/>
      <c r="V1480" s="491"/>
      <c r="W1480" s="491"/>
      <c r="X1480" s="491"/>
      <c r="Y1480" s="491"/>
      <c r="Z1480" s="491"/>
      <c r="AA1480" s="491"/>
      <c r="AB1480" s="491"/>
      <c r="AC1480" s="491"/>
      <c r="AD1480" s="493"/>
    </row>
    <row r="1481" spans="18:30" x14ac:dyDescent="0.25">
      <c r="R1481" s="491"/>
      <c r="S1481" s="491"/>
      <c r="T1481" s="491"/>
      <c r="U1481" s="491"/>
      <c r="V1481" s="491"/>
      <c r="W1481" s="491"/>
      <c r="X1481" s="491"/>
      <c r="Y1481" s="491"/>
      <c r="Z1481" s="491"/>
      <c r="AA1481" s="491"/>
      <c r="AB1481" s="491"/>
      <c r="AC1481" s="491"/>
      <c r="AD1481" s="493"/>
    </row>
    <row r="1482" spans="18:30" x14ac:dyDescent="0.25">
      <c r="R1482" s="491"/>
      <c r="S1482" s="491"/>
      <c r="T1482" s="491"/>
      <c r="U1482" s="491"/>
      <c r="V1482" s="491"/>
      <c r="W1482" s="491"/>
      <c r="X1482" s="491"/>
      <c r="Y1482" s="491"/>
      <c r="Z1482" s="491"/>
      <c r="AA1482" s="491"/>
      <c r="AB1482" s="491"/>
      <c r="AC1482" s="491"/>
      <c r="AD1482" s="493"/>
    </row>
    <row r="1483" spans="18:30" x14ac:dyDescent="0.25">
      <c r="R1483" s="491"/>
      <c r="S1483" s="491"/>
      <c r="T1483" s="491"/>
      <c r="U1483" s="491"/>
      <c r="V1483" s="491"/>
      <c r="W1483" s="491"/>
      <c r="X1483" s="491"/>
      <c r="Y1483" s="491"/>
      <c r="Z1483" s="491"/>
      <c r="AA1483" s="491"/>
      <c r="AB1483" s="491"/>
      <c r="AC1483" s="491"/>
      <c r="AD1483" s="493"/>
    </row>
    <row r="1484" spans="18:30" x14ac:dyDescent="0.25">
      <c r="R1484" s="491"/>
      <c r="S1484" s="491"/>
      <c r="T1484" s="491"/>
      <c r="U1484" s="491"/>
      <c r="V1484" s="491"/>
      <c r="W1484" s="491"/>
      <c r="X1484" s="491"/>
      <c r="Y1484" s="491"/>
      <c r="Z1484" s="491"/>
      <c r="AA1484" s="491"/>
      <c r="AB1484" s="491"/>
      <c r="AC1484" s="491"/>
      <c r="AD1484" s="493"/>
    </row>
    <row r="1485" spans="18:30" x14ac:dyDescent="0.25">
      <c r="R1485" s="491"/>
      <c r="S1485" s="491"/>
      <c r="T1485" s="491"/>
      <c r="U1485" s="491"/>
      <c r="V1485" s="491"/>
      <c r="W1485" s="491"/>
      <c r="X1485" s="491"/>
      <c r="Y1485" s="491"/>
      <c r="Z1485" s="491"/>
      <c r="AA1485" s="491"/>
      <c r="AB1485" s="491"/>
      <c r="AC1485" s="491"/>
      <c r="AD1485" s="493"/>
    </row>
    <row r="1486" spans="18:30" x14ac:dyDescent="0.25">
      <c r="R1486" s="491"/>
      <c r="S1486" s="491"/>
      <c r="T1486" s="491"/>
      <c r="U1486" s="491"/>
      <c r="V1486" s="491"/>
      <c r="W1486" s="491"/>
      <c r="X1486" s="491"/>
      <c r="Y1486" s="491"/>
      <c r="Z1486" s="491"/>
      <c r="AA1486" s="491"/>
      <c r="AB1486" s="491"/>
      <c r="AC1486" s="491"/>
      <c r="AD1486" s="493"/>
    </row>
    <row r="1487" spans="18:30" x14ac:dyDescent="0.25">
      <c r="R1487" s="491"/>
      <c r="S1487" s="491"/>
      <c r="T1487" s="491"/>
      <c r="U1487" s="491"/>
      <c r="V1487" s="491"/>
      <c r="W1487" s="491"/>
      <c r="X1487" s="491"/>
      <c r="Y1487" s="491"/>
      <c r="Z1487" s="491"/>
      <c r="AA1487" s="491"/>
      <c r="AB1487" s="491"/>
      <c r="AC1487" s="491"/>
      <c r="AD1487" s="493"/>
    </row>
    <row r="1488" spans="18:30" x14ac:dyDescent="0.25">
      <c r="R1488" s="491"/>
      <c r="S1488" s="491"/>
      <c r="T1488" s="491"/>
      <c r="U1488" s="491"/>
      <c r="V1488" s="491"/>
      <c r="W1488" s="491"/>
      <c r="X1488" s="491"/>
      <c r="Y1488" s="491"/>
      <c r="Z1488" s="491"/>
      <c r="AA1488" s="491"/>
      <c r="AB1488" s="491"/>
      <c r="AC1488" s="491"/>
      <c r="AD1488" s="493"/>
    </row>
    <row r="1489" spans="18:30" x14ac:dyDescent="0.25">
      <c r="R1489" s="491"/>
      <c r="S1489" s="491"/>
      <c r="T1489" s="491"/>
      <c r="U1489" s="491"/>
      <c r="V1489" s="491"/>
      <c r="W1489" s="491"/>
      <c r="X1489" s="491"/>
      <c r="Y1489" s="491"/>
      <c r="Z1489" s="491"/>
      <c r="AA1489" s="491"/>
      <c r="AB1489" s="491"/>
      <c r="AC1489" s="491"/>
      <c r="AD1489" s="493"/>
    </row>
    <row r="1490" spans="18:30" x14ac:dyDescent="0.25">
      <c r="R1490" s="491"/>
      <c r="S1490" s="491"/>
      <c r="T1490" s="491"/>
      <c r="U1490" s="491"/>
      <c r="V1490" s="491"/>
      <c r="W1490" s="491"/>
      <c r="X1490" s="491"/>
      <c r="Y1490" s="491"/>
      <c r="Z1490" s="491"/>
      <c r="AA1490" s="491"/>
      <c r="AB1490" s="491"/>
      <c r="AC1490" s="491"/>
      <c r="AD1490" s="493"/>
    </row>
    <row r="1491" spans="18:30" x14ac:dyDescent="0.25">
      <c r="R1491" s="491"/>
      <c r="S1491" s="491"/>
      <c r="T1491" s="491"/>
      <c r="U1491" s="491"/>
      <c r="V1491" s="491"/>
      <c r="W1491" s="491"/>
      <c r="X1491" s="491"/>
      <c r="Y1491" s="491"/>
      <c r="Z1491" s="491"/>
      <c r="AA1491" s="491"/>
      <c r="AB1491" s="491"/>
      <c r="AC1491" s="491"/>
      <c r="AD1491" s="493"/>
    </row>
    <row r="1492" spans="18:30" x14ac:dyDescent="0.25">
      <c r="R1492" s="491"/>
      <c r="S1492" s="491"/>
      <c r="T1492" s="491"/>
      <c r="U1492" s="491"/>
      <c r="V1492" s="491"/>
      <c r="W1492" s="491"/>
      <c r="X1492" s="491"/>
      <c r="Y1492" s="491"/>
      <c r="Z1492" s="491"/>
      <c r="AA1492" s="491"/>
      <c r="AB1492" s="491"/>
      <c r="AC1492" s="491"/>
      <c r="AD1492" s="493"/>
    </row>
    <row r="1493" spans="18:30" x14ac:dyDescent="0.25">
      <c r="R1493" s="491"/>
      <c r="S1493" s="491"/>
      <c r="T1493" s="491"/>
      <c r="U1493" s="491"/>
      <c r="V1493" s="491"/>
      <c r="W1493" s="491"/>
      <c r="X1493" s="491"/>
      <c r="Y1493" s="491"/>
      <c r="Z1493" s="491"/>
      <c r="AA1493" s="491"/>
      <c r="AB1493" s="491"/>
      <c r="AC1493" s="491"/>
      <c r="AD1493" s="493"/>
    </row>
    <row r="1494" spans="18:30" x14ac:dyDescent="0.25">
      <c r="R1494" s="491"/>
      <c r="S1494" s="491"/>
      <c r="T1494" s="491"/>
      <c r="U1494" s="491"/>
      <c r="V1494" s="491"/>
      <c r="W1494" s="491"/>
      <c r="X1494" s="491"/>
      <c r="Y1494" s="491"/>
      <c r="Z1494" s="491"/>
      <c r="AA1494" s="491"/>
      <c r="AB1494" s="491"/>
      <c r="AC1494" s="491"/>
      <c r="AD1494" s="493"/>
    </row>
    <row r="1495" spans="18:30" x14ac:dyDescent="0.25">
      <c r="R1495" s="491"/>
      <c r="S1495" s="491"/>
      <c r="T1495" s="491"/>
      <c r="U1495" s="491"/>
      <c r="V1495" s="491"/>
      <c r="W1495" s="491"/>
      <c r="X1495" s="491"/>
      <c r="Y1495" s="491"/>
      <c r="Z1495" s="491"/>
      <c r="AA1495" s="491"/>
      <c r="AB1495" s="491"/>
      <c r="AC1495" s="491"/>
      <c r="AD1495" s="493"/>
    </row>
    <row r="1496" spans="18:30" x14ac:dyDescent="0.25">
      <c r="R1496" s="491"/>
      <c r="S1496" s="491"/>
      <c r="T1496" s="491"/>
      <c r="U1496" s="491"/>
      <c r="V1496" s="491"/>
      <c r="W1496" s="491"/>
      <c r="X1496" s="491"/>
      <c r="Y1496" s="491"/>
      <c r="Z1496" s="491"/>
      <c r="AA1496" s="491"/>
      <c r="AB1496" s="491"/>
      <c r="AC1496" s="491"/>
      <c r="AD1496" s="493"/>
    </row>
    <row r="1497" spans="18:30" x14ac:dyDescent="0.25">
      <c r="R1497" s="491"/>
      <c r="S1497" s="491"/>
      <c r="T1497" s="491"/>
      <c r="U1497" s="491"/>
      <c r="V1497" s="491"/>
      <c r="W1497" s="491"/>
      <c r="X1497" s="491"/>
      <c r="Y1497" s="491"/>
      <c r="Z1497" s="491"/>
      <c r="AA1497" s="491"/>
      <c r="AB1497" s="491"/>
      <c r="AC1497" s="491"/>
      <c r="AD1497" s="493"/>
    </row>
    <row r="1498" spans="18:30" x14ac:dyDescent="0.25">
      <c r="R1498" s="491"/>
      <c r="S1498" s="491"/>
      <c r="T1498" s="491"/>
      <c r="U1498" s="491"/>
      <c r="V1498" s="491"/>
      <c r="W1498" s="491"/>
      <c r="X1498" s="491"/>
      <c r="Y1498" s="491"/>
      <c r="Z1498" s="491"/>
      <c r="AA1498" s="491"/>
      <c r="AB1498" s="491"/>
      <c r="AC1498" s="491"/>
      <c r="AD1498" s="493"/>
    </row>
    <row r="1499" spans="18:30" x14ac:dyDescent="0.25">
      <c r="R1499" s="491"/>
      <c r="S1499" s="491"/>
      <c r="T1499" s="491"/>
      <c r="U1499" s="491"/>
      <c r="V1499" s="491"/>
      <c r="W1499" s="491"/>
      <c r="X1499" s="491"/>
      <c r="Y1499" s="491"/>
      <c r="Z1499" s="491"/>
      <c r="AA1499" s="491"/>
      <c r="AB1499" s="491"/>
      <c r="AC1499" s="491"/>
      <c r="AD1499" s="493"/>
    </row>
    <row r="1500" spans="18:30" x14ac:dyDescent="0.25">
      <c r="R1500" s="491"/>
      <c r="S1500" s="491"/>
      <c r="T1500" s="491"/>
      <c r="U1500" s="491"/>
      <c r="V1500" s="491"/>
      <c r="W1500" s="491"/>
      <c r="X1500" s="491"/>
      <c r="Y1500" s="491"/>
      <c r="Z1500" s="491"/>
      <c r="AA1500" s="491"/>
      <c r="AB1500" s="491"/>
      <c r="AC1500" s="491"/>
      <c r="AD1500" s="493"/>
    </row>
    <row r="1501" spans="18:30" x14ac:dyDescent="0.25">
      <c r="R1501" s="491"/>
      <c r="S1501" s="491"/>
      <c r="T1501" s="491"/>
      <c r="U1501" s="491"/>
      <c r="V1501" s="491"/>
      <c r="W1501" s="491"/>
      <c r="X1501" s="491"/>
      <c r="Y1501" s="491"/>
      <c r="Z1501" s="491"/>
      <c r="AA1501" s="491"/>
      <c r="AB1501" s="491"/>
      <c r="AC1501" s="491"/>
      <c r="AD1501" s="493"/>
    </row>
    <row r="1502" spans="18:30" x14ac:dyDescent="0.25">
      <c r="R1502" s="491"/>
      <c r="S1502" s="491"/>
      <c r="T1502" s="491"/>
      <c r="U1502" s="491"/>
      <c r="V1502" s="491"/>
      <c r="W1502" s="491"/>
      <c r="X1502" s="491"/>
      <c r="Y1502" s="491"/>
      <c r="Z1502" s="491"/>
      <c r="AA1502" s="491"/>
      <c r="AB1502" s="491"/>
      <c r="AC1502" s="491"/>
      <c r="AD1502" s="493"/>
    </row>
    <row r="1503" spans="18:30" x14ac:dyDescent="0.25">
      <c r="R1503" s="491"/>
      <c r="S1503" s="491"/>
      <c r="T1503" s="491"/>
      <c r="U1503" s="491"/>
      <c r="V1503" s="491"/>
      <c r="W1503" s="491"/>
      <c r="X1503" s="491"/>
      <c r="Y1503" s="491"/>
      <c r="Z1503" s="491"/>
      <c r="AA1503" s="491"/>
      <c r="AB1503" s="491"/>
      <c r="AC1503" s="491"/>
      <c r="AD1503" s="493"/>
    </row>
    <row r="1504" spans="18:30" x14ac:dyDescent="0.25">
      <c r="R1504" s="491"/>
      <c r="S1504" s="491"/>
      <c r="T1504" s="491"/>
      <c r="U1504" s="491"/>
      <c r="V1504" s="491"/>
      <c r="W1504" s="491"/>
      <c r="X1504" s="491"/>
      <c r="Y1504" s="491"/>
      <c r="Z1504" s="491"/>
      <c r="AA1504" s="491"/>
      <c r="AB1504" s="491"/>
      <c r="AC1504" s="491"/>
      <c r="AD1504" s="493"/>
    </row>
    <row r="1505" spans="18:30" x14ac:dyDescent="0.25">
      <c r="R1505" s="491"/>
      <c r="S1505" s="491"/>
      <c r="T1505" s="491"/>
      <c r="U1505" s="491"/>
      <c r="V1505" s="491"/>
      <c r="W1505" s="491"/>
      <c r="X1505" s="491"/>
      <c r="Y1505" s="491"/>
      <c r="Z1505" s="491"/>
      <c r="AA1505" s="491"/>
      <c r="AB1505" s="491"/>
      <c r="AC1505" s="491"/>
      <c r="AD1505" s="493"/>
    </row>
    <row r="1506" spans="18:30" x14ac:dyDescent="0.25">
      <c r="R1506" s="491"/>
      <c r="S1506" s="491"/>
      <c r="T1506" s="491"/>
      <c r="U1506" s="491"/>
      <c r="V1506" s="491"/>
      <c r="W1506" s="491"/>
      <c r="X1506" s="491"/>
      <c r="Y1506" s="491"/>
      <c r="Z1506" s="491"/>
      <c r="AA1506" s="491"/>
      <c r="AB1506" s="491"/>
      <c r="AC1506" s="491"/>
      <c r="AD1506" s="493"/>
    </row>
    <row r="1507" spans="18:30" x14ac:dyDescent="0.25">
      <c r="R1507" s="491"/>
      <c r="S1507" s="491"/>
      <c r="T1507" s="491"/>
      <c r="U1507" s="491"/>
      <c r="V1507" s="491"/>
      <c r="W1507" s="491"/>
      <c r="X1507" s="491"/>
      <c r="Y1507" s="491"/>
      <c r="Z1507" s="491"/>
      <c r="AA1507" s="491"/>
      <c r="AB1507" s="491"/>
      <c r="AC1507" s="491"/>
      <c r="AD1507" s="493"/>
    </row>
    <row r="1508" spans="18:30" x14ac:dyDescent="0.25">
      <c r="R1508" s="491"/>
      <c r="S1508" s="491"/>
      <c r="T1508" s="491"/>
      <c r="U1508" s="491"/>
      <c r="V1508" s="491"/>
      <c r="W1508" s="491"/>
      <c r="X1508" s="491"/>
      <c r="Y1508" s="491"/>
      <c r="Z1508" s="491"/>
      <c r="AA1508" s="491"/>
      <c r="AB1508" s="491"/>
      <c r="AC1508" s="491"/>
      <c r="AD1508" s="493"/>
    </row>
    <row r="1509" spans="18:30" x14ac:dyDescent="0.25">
      <c r="R1509" s="491"/>
      <c r="S1509" s="491"/>
      <c r="T1509" s="491"/>
      <c r="U1509" s="491"/>
      <c r="V1509" s="491"/>
      <c r="W1509" s="491"/>
      <c r="X1509" s="491"/>
      <c r="Y1509" s="491"/>
      <c r="Z1509" s="491"/>
      <c r="AA1509" s="491"/>
      <c r="AB1509" s="491"/>
      <c r="AC1509" s="491"/>
      <c r="AD1509" s="493"/>
    </row>
    <row r="1510" spans="18:30" x14ac:dyDescent="0.25">
      <c r="R1510" s="491"/>
      <c r="S1510" s="491"/>
      <c r="T1510" s="491"/>
      <c r="U1510" s="491"/>
      <c r="V1510" s="491"/>
      <c r="W1510" s="491"/>
      <c r="X1510" s="491"/>
      <c r="Y1510" s="491"/>
      <c r="Z1510" s="491"/>
      <c r="AA1510" s="491"/>
      <c r="AB1510" s="491"/>
      <c r="AC1510" s="491"/>
      <c r="AD1510" s="493"/>
    </row>
    <row r="1511" spans="18:30" x14ac:dyDescent="0.25">
      <c r="R1511" s="491"/>
      <c r="S1511" s="491"/>
      <c r="T1511" s="491"/>
      <c r="U1511" s="491"/>
      <c r="V1511" s="491"/>
      <c r="W1511" s="491"/>
      <c r="X1511" s="491"/>
      <c r="Y1511" s="491"/>
      <c r="Z1511" s="491"/>
      <c r="AA1511" s="491"/>
      <c r="AB1511" s="491"/>
      <c r="AC1511" s="491"/>
      <c r="AD1511" s="493"/>
    </row>
    <row r="1512" spans="18:30" x14ac:dyDescent="0.25">
      <c r="R1512" s="491"/>
      <c r="S1512" s="491"/>
      <c r="T1512" s="491"/>
      <c r="U1512" s="491"/>
      <c r="V1512" s="491"/>
      <c r="W1512" s="491"/>
      <c r="X1512" s="491"/>
      <c r="Y1512" s="491"/>
      <c r="Z1512" s="491"/>
      <c r="AA1512" s="491"/>
      <c r="AB1512" s="491"/>
      <c r="AC1512" s="491"/>
      <c r="AD1512" s="493"/>
    </row>
    <row r="1513" spans="18:30" x14ac:dyDescent="0.25">
      <c r="R1513" s="491"/>
      <c r="S1513" s="491"/>
      <c r="T1513" s="491"/>
      <c r="U1513" s="491"/>
      <c r="V1513" s="491"/>
      <c r="W1513" s="491"/>
      <c r="X1513" s="491"/>
      <c r="Y1513" s="491"/>
      <c r="Z1513" s="491"/>
      <c r="AA1513" s="491"/>
      <c r="AB1513" s="491"/>
      <c r="AC1513" s="491"/>
      <c r="AD1513" s="493"/>
    </row>
    <row r="1514" spans="18:30" x14ac:dyDescent="0.25">
      <c r="R1514" s="491"/>
      <c r="S1514" s="491"/>
      <c r="T1514" s="491"/>
      <c r="U1514" s="491"/>
      <c r="V1514" s="491"/>
      <c r="W1514" s="491"/>
      <c r="X1514" s="491"/>
      <c r="Y1514" s="491"/>
      <c r="Z1514" s="491"/>
      <c r="AA1514" s="491"/>
      <c r="AB1514" s="491"/>
      <c r="AC1514" s="491"/>
      <c r="AD1514" s="493"/>
    </row>
    <row r="1515" spans="18:30" x14ac:dyDescent="0.25">
      <c r="R1515" s="491"/>
      <c r="S1515" s="491"/>
      <c r="T1515" s="491"/>
      <c r="U1515" s="491"/>
      <c r="V1515" s="491"/>
      <c r="W1515" s="491"/>
      <c r="X1515" s="491"/>
      <c r="Y1515" s="491"/>
      <c r="Z1515" s="491"/>
      <c r="AA1515" s="491"/>
      <c r="AB1515" s="491"/>
      <c r="AC1515" s="491"/>
      <c r="AD1515" s="493"/>
    </row>
    <row r="1516" spans="18:30" x14ac:dyDescent="0.25">
      <c r="R1516" s="491"/>
      <c r="S1516" s="491"/>
      <c r="T1516" s="491"/>
      <c r="U1516" s="491"/>
      <c r="V1516" s="491"/>
      <c r="W1516" s="491"/>
      <c r="X1516" s="491"/>
      <c r="Y1516" s="491"/>
      <c r="Z1516" s="491"/>
      <c r="AA1516" s="491"/>
      <c r="AB1516" s="491"/>
      <c r="AC1516" s="491"/>
      <c r="AD1516" s="493"/>
    </row>
    <row r="1517" spans="18:30" x14ac:dyDescent="0.25">
      <c r="R1517" s="491"/>
      <c r="S1517" s="491"/>
      <c r="T1517" s="491"/>
      <c r="U1517" s="491"/>
      <c r="V1517" s="491"/>
      <c r="W1517" s="491"/>
      <c r="X1517" s="491"/>
      <c r="Y1517" s="491"/>
      <c r="Z1517" s="491"/>
      <c r="AA1517" s="491"/>
      <c r="AB1517" s="491"/>
      <c r="AC1517" s="491"/>
      <c r="AD1517" s="493"/>
    </row>
    <row r="1518" spans="18:30" x14ac:dyDescent="0.25">
      <c r="R1518" s="491"/>
      <c r="S1518" s="491"/>
      <c r="T1518" s="491"/>
      <c r="U1518" s="491"/>
      <c r="V1518" s="491"/>
      <c r="W1518" s="491"/>
      <c r="X1518" s="491"/>
      <c r="Y1518" s="491"/>
      <c r="Z1518" s="491"/>
      <c r="AA1518" s="491"/>
      <c r="AB1518" s="491"/>
      <c r="AC1518" s="491"/>
      <c r="AD1518" s="493"/>
    </row>
    <row r="1519" spans="18:30" x14ac:dyDescent="0.25">
      <c r="R1519" s="491"/>
      <c r="S1519" s="491"/>
      <c r="T1519" s="491"/>
      <c r="U1519" s="491"/>
      <c r="V1519" s="491"/>
      <c r="W1519" s="491"/>
      <c r="X1519" s="491"/>
      <c r="Y1519" s="491"/>
      <c r="Z1519" s="491"/>
      <c r="AA1519" s="491"/>
      <c r="AB1519" s="491"/>
      <c r="AC1519" s="491"/>
      <c r="AD1519" s="493"/>
    </row>
    <row r="1520" spans="18:30" x14ac:dyDescent="0.25">
      <c r="R1520" s="491"/>
      <c r="S1520" s="491"/>
      <c r="T1520" s="491"/>
      <c r="U1520" s="491"/>
      <c r="V1520" s="491"/>
      <c r="W1520" s="491"/>
      <c r="X1520" s="491"/>
      <c r="Y1520" s="491"/>
      <c r="Z1520" s="491"/>
      <c r="AA1520" s="491"/>
      <c r="AB1520" s="491"/>
      <c r="AC1520" s="491"/>
      <c r="AD1520" s="493"/>
    </row>
    <row r="1521" spans="18:30" x14ac:dyDescent="0.25">
      <c r="R1521" s="491"/>
      <c r="S1521" s="491"/>
      <c r="T1521" s="491"/>
      <c r="U1521" s="491"/>
      <c r="V1521" s="491"/>
      <c r="W1521" s="491"/>
      <c r="X1521" s="491"/>
      <c r="Y1521" s="491"/>
      <c r="Z1521" s="491"/>
      <c r="AA1521" s="491"/>
      <c r="AB1521" s="491"/>
      <c r="AC1521" s="491"/>
      <c r="AD1521" s="493"/>
    </row>
    <row r="1522" spans="18:30" x14ac:dyDescent="0.25">
      <c r="R1522" s="491"/>
      <c r="S1522" s="491"/>
      <c r="T1522" s="491"/>
      <c r="U1522" s="491"/>
      <c r="V1522" s="491"/>
      <c r="W1522" s="491"/>
      <c r="X1522" s="491"/>
      <c r="Y1522" s="491"/>
      <c r="Z1522" s="491"/>
      <c r="AA1522" s="491"/>
      <c r="AB1522" s="491"/>
      <c r="AC1522" s="491"/>
      <c r="AD1522" s="493"/>
    </row>
    <row r="1523" spans="18:30" x14ac:dyDescent="0.25">
      <c r="R1523" s="491"/>
      <c r="S1523" s="491"/>
      <c r="T1523" s="491"/>
      <c r="U1523" s="491"/>
      <c r="V1523" s="491"/>
      <c r="W1523" s="491"/>
      <c r="X1523" s="491"/>
      <c r="Y1523" s="491"/>
      <c r="Z1523" s="491"/>
      <c r="AA1523" s="491"/>
      <c r="AB1523" s="491"/>
      <c r="AC1523" s="491"/>
      <c r="AD1523" s="493"/>
    </row>
    <row r="1524" spans="18:30" x14ac:dyDescent="0.25">
      <c r="R1524" s="491"/>
      <c r="S1524" s="491"/>
      <c r="T1524" s="491"/>
      <c r="U1524" s="491"/>
      <c r="V1524" s="491"/>
      <c r="W1524" s="491"/>
      <c r="X1524" s="491"/>
      <c r="Y1524" s="491"/>
      <c r="Z1524" s="491"/>
      <c r="AA1524" s="491"/>
      <c r="AB1524" s="491"/>
      <c r="AC1524" s="491"/>
      <c r="AD1524" s="493"/>
    </row>
    <row r="1525" spans="18:30" x14ac:dyDescent="0.25">
      <c r="R1525" s="491"/>
      <c r="S1525" s="491"/>
      <c r="T1525" s="491"/>
      <c r="U1525" s="491"/>
      <c r="V1525" s="491"/>
      <c r="W1525" s="491"/>
      <c r="X1525" s="491"/>
      <c r="Y1525" s="491"/>
      <c r="Z1525" s="491"/>
      <c r="AA1525" s="491"/>
      <c r="AB1525" s="491"/>
      <c r="AC1525" s="491"/>
      <c r="AD1525" s="493"/>
    </row>
    <row r="1526" spans="18:30" x14ac:dyDescent="0.25">
      <c r="R1526" s="491"/>
      <c r="S1526" s="491"/>
      <c r="T1526" s="491"/>
      <c r="U1526" s="491"/>
      <c r="V1526" s="491"/>
      <c r="W1526" s="491"/>
      <c r="X1526" s="491"/>
      <c r="Y1526" s="491"/>
      <c r="Z1526" s="491"/>
      <c r="AA1526" s="491"/>
      <c r="AB1526" s="491"/>
      <c r="AC1526" s="491"/>
      <c r="AD1526" s="493"/>
    </row>
    <row r="1527" spans="18:30" x14ac:dyDescent="0.25">
      <c r="R1527" s="491"/>
      <c r="S1527" s="491"/>
      <c r="T1527" s="491"/>
      <c r="U1527" s="491"/>
      <c r="V1527" s="491"/>
      <c r="W1527" s="491"/>
      <c r="X1527" s="491"/>
      <c r="Y1527" s="491"/>
      <c r="Z1527" s="491"/>
      <c r="AA1527" s="491"/>
      <c r="AB1527" s="491"/>
      <c r="AC1527" s="491"/>
      <c r="AD1527" s="493"/>
    </row>
    <row r="1528" spans="18:30" x14ac:dyDescent="0.25">
      <c r="R1528" s="491"/>
      <c r="S1528" s="491"/>
      <c r="T1528" s="491"/>
      <c r="U1528" s="491"/>
      <c r="V1528" s="491"/>
      <c r="W1528" s="491"/>
      <c r="X1528" s="491"/>
      <c r="Y1528" s="491"/>
      <c r="Z1528" s="491"/>
      <c r="AA1528" s="491"/>
      <c r="AB1528" s="491"/>
      <c r="AC1528" s="491"/>
      <c r="AD1528" s="493"/>
    </row>
    <row r="1529" spans="18:30" x14ac:dyDescent="0.25">
      <c r="R1529" s="491"/>
      <c r="S1529" s="491"/>
      <c r="T1529" s="491"/>
      <c r="U1529" s="491"/>
      <c r="V1529" s="491"/>
      <c r="W1529" s="491"/>
      <c r="X1529" s="491"/>
      <c r="Y1529" s="491"/>
      <c r="Z1529" s="491"/>
      <c r="AA1529" s="491"/>
      <c r="AB1529" s="491"/>
      <c r="AC1529" s="491"/>
      <c r="AD1529" s="493"/>
    </row>
    <row r="1530" spans="18:30" x14ac:dyDescent="0.25">
      <c r="R1530" s="491"/>
      <c r="S1530" s="491"/>
      <c r="T1530" s="491"/>
      <c r="U1530" s="491"/>
      <c r="V1530" s="491"/>
      <c r="W1530" s="491"/>
      <c r="X1530" s="491"/>
      <c r="Y1530" s="491"/>
      <c r="Z1530" s="491"/>
      <c r="AA1530" s="491"/>
      <c r="AB1530" s="491"/>
      <c r="AC1530" s="491"/>
      <c r="AD1530" s="493"/>
    </row>
    <row r="1531" spans="18:30" x14ac:dyDescent="0.25">
      <c r="R1531" s="491"/>
      <c r="S1531" s="491"/>
      <c r="T1531" s="491"/>
      <c r="U1531" s="491"/>
      <c r="V1531" s="491"/>
      <c r="W1531" s="491"/>
      <c r="X1531" s="491"/>
      <c r="Y1531" s="491"/>
      <c r="Z1531" s="491"/>
      <c r="AA1531" s="491"/>
      <c r="AB1531" s="491"/>
      <c r="AC1531" s="491"/>
      <c r="AD1531" s="493"/>
    </row>
    <row r="1532" spans="18:30" x14ac:dyDescent="0.25">
      <c r="R1532" s="491"/>
      <c r="S1532" s="491"/>
      <c r="T1532" s="491"/>
      <c r="U1532" s="491"/>
      <c r="V1532" s="491"/>
      <c r="W1532" s="491"/>
      <c r="X1532" s="491"/>
      <c r="Y1532" s="491"/>
      <c r="Z1532" s="491"/>
      <c r="AA1532" s="491"/>
      <c r="AB1532" s="491"/>
      <c r="AC1532" s="491"/>
      <c r="AD1532" s="493"/>
    </row>
    <row r="1533" spans="18:30" x14ac:dyDescent="0.25">
      <c r="R1533" s="491"/>
      <c r="S1533" s="491"/>
      <c r="T1533" s="491"/>
      <c r="U1533" s="491"/>
      <c r="V1533" s="491"/>
      <c r="W1533" s="491"/>
      <c r="X1533" s="491"/>
      <c r="Y1533" s="491"/>
      <c r="Z1533" s="491"/>
      <c r="AA1533" s="491"/>
      <c r="AB1533" s="491"/>
      <c r="AC1533" s="491"/>
      <c r="AD1533" s="493"/>
    </row>
    <row r="1534" spans="18:30" x14ac:dyDescent="0.25">
      <c r="R1534" s="491"/>
      <c r="S1534" s="491"/>
      <c r="T1534" s="491"/>
      <c r="U1534" s="491"/>
      <c r="V1534" s="491"/>
      <c r="W1534" s="491"/>
      <c r="X1534" s="491"/>
      <c r="Y1534" s="491"/>
      <c r="Z1534" s="491"/>
      <c r="AA1534" s="491"/>
      <c r="AB1534" s="491"/>
      <c r="AC1534" s="491"/>
      <c r="AD1534" s="493"/>
    </row>
    <row r="1535" spans="18:30" x14ac:dyDescent="0.25">
      <c r="R1535" s="491"/>
      <c r="S1535" s="491"/>
      <c r="T1535" s="491"/>
      <c r="U1535" s="491"/>
      <c r="V1535" s="491"/>
      <c r="W1535" s="491"/>
      <c r="X1535" s="491"/>
      <c r="Y1535" s="491"/>
      <c r="Z1535" s="491"/>
      <c r="AA1535" s="491"/>
      <c r="AB1535" s="491"/>
      <c r="AC1535" s="491"/>
      <c r="AD1535" s="493"/>
    </row>
    <row r="1536" spans="18:30" x14ac:dyDescent="0.25">
      <c r="R1536" s="491"/>
      <c r="S1536" s="491"/>
      <c r="T1536" s="491"/>
      <c r="U1536" s="491"/>
      <c r="V1536" s="491"/>
      <c r="W1536" s="491"/>
      <c r="X1536" s="491"/>
      <c r="Y1536" s="491"/>
      <c r="Z1536" s="491"/>
      <c r="AA1536" s="491"/>
      <c r="AB1536" s="491"/>
      <c r="AC1536" s="491"/>
      <c r="AD1536" s="493"/>
    </row>
    <row r="1537" spans="18:30" x14ac:dyDescent="0.25">
      <c r="R1537" s="491"/>
      <c r="S1537" s="491"/>
      <c r="T1537" s="491"/>
      <c r="U1537" s="491"/>
      <c r="V1537" s="491"/>
      <c r="W1537" s="491"/>
      <c r="X1537" s="491"/>
      <c r="Y1537" s="491"/>
      <c r="Z1537" s="491"/>
      <c r="AA1537" s="491"/>
      <c r="AB1537" s="491"/>
      <c r="AC1537" s="491"/>
      <c r="AD1537" s="493"/>
    </row>
    <row r="1538" spans="18:30" x14ac:dyDescent="0.25">
      <c r="R1538" s="491"/>
      <c r="S1538" s="491"/>
      <c r="T1538" s="491"/>
      <c r="U1538" s="491"/>
      <c r="V1538" s="491"/>
      <c r="W1538" s="491"/>
      <c r="X1538" s="491"/>
      <c r="Y1538" s="491"/>
      <c r="Z1538" s="491"/>
      <c r="AA1538" s="491"/>
      <c r="AB1538" s="491"/>
      <c r="AC1538" s="491"/>
      <c r="AD1538" s="493"/>
    </row>
    <row r="1539" spans="18:30" x14ac:dyDescent="0.25">
      <c r="R1539" s="491"/>
      <c r="S1539" s="491"/>
      <c r="T1539" s="491"/>
      <c r="U1539" s="491"/>
      <c r="V1539" s="491"/>
      <c r="W1539" s="491"/>
      <c r="X1539" s="491"/>
      <c r="Y1539" s="491"/>
      <c r="Z1539" s="491"/>
      <c r="AA1539" s="491"/>
      <c r="AB1539" s="491"/>
      <c r="AC1539" s="491"/>
      <c r="AD1539" s="493"/>
    </row>
    <row r="1540" spans="18:30" x14ac:dyDescent="0.25">
      <c r="R1540" s="491"/>
      <c r="S1540" s="491"/>
      <c r="T1540" s="491"/>
      <c r="U1540" s="491"/>
      <c r="V1540" s="491"/>
      <c r="W1540" s="491"/>
      <c r="X1540" s="491"/>
      <c r="Y1540" s="491"/>
      <c r="Z1540" s="491"/>
      <c r="AA1540" s="491"/>
      <c r="AB1540" s="491"/>
      <c r="AC1540" s="491"/>
      <c r="AD1540" s="493"/>
    </row>
    <row r="1541" spans="18:30" x14ac:dyDescent="0.25">
      <c r="R1541" s="491"/>
      <c r="S1541" s="491"/>
      <c r="T1541" s="491"/>
      <c r="U1541" s="491"/>
      <c r="V1541" s="491"/>
      <c r="W1541" s="491"/>
      <c r="X1541" s="491"/>
      <c r="Y1541" s="491"/>
      <c r="Z1541" s="491"/>
      <c r="AA1541" s="491"/>
      <c r="AB1541" s="491"/>
      <c r="AC1541" s="491"/>
      <c r="AD1541" s="493"/>
    </row>
    <row r="1542" spans="18:30" x14ac:dyDescent="0.25">
      <c r="R1542" s="491"/>
      <c r="S1542" s="491"/>
      <c r="T1542" s="491"/>
      <c r="U1542" s="491"/>
      <c r="V1542" s="491"/>
      <c r="W1542" s="491"/>
      <c r="X1542" s="491"/>
      <c r="Y1542" s="491"/>
      <c r="Z1542" s="491"/>
      <c r="AA1542" s="491"/>
      <c r="AB1542" s="491"/>
      <c r="AC1542" s="491"/>
      <c r="AD1542" s="493"/>
    </row>
    <row r="1543" spans="18:30" x14ac:dyDescent="0.25">
      <c r="R1543" s="491"/>
      <c r="S1543" s="491"/>
      <c r="T1543" s="491"/>
      <c r="U1543" s="491"/>
      <c r="V1543" s="491"/>
      <c r="W1543" s="491"/>
      <c r="X1543" s="491"/>
      <c r="Y1543" s="491"/>
      <c r="Z1543" s="491"/>
      <c r="AA1543" s="491"/>
      <c r="AB1543" s="491"/>
      <c r="AC1543" s="491"/>
      <c r="AD1543" s="493"/>
    </row>
    <row r="1544" spans="18:30" x14ac:dyDescent="0.25">
      <c r="R1544" s="491"/>
      <c r="S1544" s="491"/>
      <c r="T1544" s="491"/>
      <c r="U1544" s="491"/>
      <c r="V1544" s="491"/>
      <c r="W1544" s="491"/>
      <c r="X1544" s="491"/>
      <c r="Y1544" s="491"/>
      <c r="Z1544" s="491"/>
      <c r="AA1544" s="491"/>
      <c r="AB1544" s="491"/>
      <c r="AC1544" s="491"/>
      <c r="AD1544" s="493"/>
    </row>
    <row r="1545" spans="18:30" x14ac:dyDescent="0.25">
      <c r="R1545" s="491"/>
      <c r="S1545" s="491"/>
      <c r="T1545" s="491"/>
      <c r="U1545" s="491"/>
      <c r="V1545" s="491"/>
      <c r="W1545" s="491"/>
      <c r="X1545" s="491"/>
      <c r="Y1545" s="491"/>
      <c r="Z1545" s="491"/>
      <c r="AA1545" s="491"/>
      <c r="AB1545" s="491"/>
      <c r="AC1545" s="491"/>
      <c r="AD1545" s="493"/>
    </row>
    <row r="1546" spans="18:30" x14ac:dyDescent="0.25">
      <c r="R1546" s="491"/>
      <c r="S1546" s="491"/>
      <c r="T1546" s="491"/>
      <c r="U1546" s="491"/>
      <c r="V1546" s="491"/>
      <c r="W1546" s="491"/>
      <c r="X1546" s="491"/>
      <c r="Y1546" s="491"/>
      <c r="Z1546" s="491"/>
      <c r="AA1546" s="491"/>
      <c r="AB1546" s="491"/>
      <c r="AC1546" s="491"/>
      <c r="AD1546" s="493"/>
    </row>
    <row r="1547" spans="18:30" x14ac:dyDescent="0.25">
      <c r="R1547" s="491"/>
      <c r="S1547" s="491"/>
      <c r="T1547" s="491"/>
      <c r="U1547" s="491"/>
      <c r="V1547" s="491"/>
      <c r="W1547" s="491"/>
      <c r="X1547" s="491"/>
      <c r="Y1547" s="491"/>
      <c r="Z1547" s="491"/>
      <c r="AA1547" s="491"/>
      <c r="AB1547" s="491"/>
      <c r="AC1547" s="491"/>
      <c r="AD1547" s="493"/>
    </row>
    <row r="1548" spans="18:30" x14ac:dyDescent="0.25">
      <c r="R1548" s="491"/>
      <c r="S1548" s="491"/>
      <c r="T1548" s="491"/>
      <c r="U1548" s="491"/>
      <c r="V1548" s="491"/>
      <c r="W1548" s="491"/>
      <c r="X1548" s="491"/>
      <c r="Y1548" s="491"/>
      <c r="Z1548" s="491"/>
      <c r="AA1548" s="491"/>
      <c r="AB1548" s="491"/>
      <c r="AC1548" s="491"/>
      <c r="AD1548" s="493"/>
    </row>
    <row r="1549" spans="18:30" x14ac:dyDescent="0.25">
      <c r="R1549" s="491"/>
      <c r="S1549" s="491"/>
      <c r="T1549" s="491"/>
      <c r="U1549" s="491"/>
      <c r="V1549" s="491"/>
      <c r="W1549" s="491"/>
      <c r="X1549" s="491"/>
      <c r="Y1549" s="491"/>
      <c r="Z1549" s="491"/>
      <c r="AA1549" s="491"/>
      <c r="AB1549" s="491"/>
      <c r="AC1549" s="491"/>
      <c r="AD1549" s="493"/>
    </row>
    <row r="1550" spans="18:30" x14ac:dyDescent="0.25">
      <c r="R1550" s="491"/>
      <c r="S1550" s="491"/>
      <c r="T1550" s="491"/>
      <c r="U1550" s="491"/>
      <c r="V1550" s="491"/>
      <c r="W1550" s="491"/>
      <c r="X1550" s="491"/>
      <c r="Y1550" s="491"/>
      <c r="Z1550" s="491"/>
      <c r="AA1550" s="491"/>
      <c r="AB1550" s="491"/>
      <c r="AC1550" s="491"/>
      <c r="AD1550" s="493"/>
    </row>
    <row r="1551" spans="18:30" x14ac:dyDescent="0.25">
      <c r="R1551" s="491"/>
      <c r="S1551" s="491"/>
      <c r="T1551" s="491"/>
      <c r="U1551" s="491"/>
      <c r="V1551" s="491"/>
      <c r="W1551" s="491"/>
      <c r="X1551" s="491"/>
      <c r="Y1551" s="491"/>
      <c r="Z1551" s="491"/>
      <c r="AA1551" s="491"/>
      <c r="AB1551" s="491"/>
      <c r="AC1551" s="491"/>
      <c r="AD1551" s="493"/>
    </row>
    <row r="1552" spans="18:30" x14ac:dyDescent="0.25">
      <c r="R1552" s="491"/>
      <c r="S1552" s="491"/>
      <c r="T1552" s="491"/>
      <c r="U1552" s="491"/>
      <c r="V1552" s="491"/>
      <c r="W1552" s="491"/>
      <c r="X1552" s="491"/>
      <c r="Y1552" s="491"/>
      <c r="Z1552" s="491"/>
      <c r="AA1552" s="491"/>
      <c r="AB1552" s="491"/>
      <c r="AC1552" s="491"/>
      <c r="AD1552" s="493"/>
    </row>
    <row r="1553" spans="18:30" x14ac:dyDescent="0.25">
      <c r="R1553" s="491"/>
      <c r="S1553" s="491"/>
      <c r="T1553" s="491"/>
      <c r="U1553" s="491"/>
      <c r="V1553" s="491"/>
      <c r="W1553" s="491"/>
      <c r="X1553" s="491"/>
      <c r="Y1553" s="491"/>
      <c r="Z1553" s="491"/>
      <c r="AA1553" s="491"/>
      <c r="AB1553" s="491"/>
      <c r="AC1553" s="491"/>
      <c r="AD1553" s="493"/>
    </row>
    <row r="1554" spans="18:30" x14ac:dyDescent="0.25">
      <c r="R1554" s="491"/>
      <c r="S1554" s="491"/>
      <c r="T1554" s="491"/>
      <c r="U1554" s="491"/>
      <c r="V1554" s="491"/>
      <c r="W1554" s="491"/>
      <c r="X1554" s="491"/>
      <c r="Y1554" s="491"/>
      <c r="Z1554" s="491"/>
      <c r="AA1554" s="491"/>
      <c r="AB1554" s="491"/>
      <c r="AC1554" s="491"/>
      <c r="AD1554" s="493"/>
    </row>
    <row r="1555" spans="18:30" x14ac:dyDescent="0.25">
      <c r="R1555" s="491"/>
      <c r="S1555" s="491"/>
      <c r="T1555" s="491"/>
      <c r="U1555" s="491"/>
      <c r="V1555" s="491"/>
      <c r="W1555" s="491"/>
      <c r="X1555" s="491"/>
      <c r="Y1555" s="491"/>
      <c r="Z1555" s="491"/>
      <c r="AA1555" s="491"/>
      <c r="AB1555" s="491"/>
      <c r="AC1555" s="491"/>
      <c r="AD1555" s="493"/>
    </row>
    <row r="1556" spans="18:30" x14ac:dyDescent="0.25">
      <c r="R1556" s="491"/>
      <c r="S1556" s="491"/>
      <c r="T1556" s="491"/>
      <c r="U1556" s="491"/>
      <c r="V1556" s="491"/>
      <c r="W1556" s="491"/>
      <c r="X1556" s="491"/>
      <c r="Y1556" s="491"/>
      <c r="Z1556" s="491"/>
      <c r="AA1556" s="491"/>
      <c r="AB1556" s="491"/>
      <c r="AC1556" s="491"/>
      <c r="AD1556" s="493"/>
    </row>
    <row r="1557" spans="18:30" x14ac:dyDescent="0.25">
      <c r="R1557" s="491"/>
      <c r="S1557" s="491"/>
      <c r="T1557" s="491"/>
      <c r="U1557" s="491"/>
      <c r="V1557" s="491"/>
      <c r="W1557" s="491"/>
      <c r="X1557" s="491"/>
      <c r="Y1557" s="491"/>
      <c r="Z1557" s="491"/>
      <c r="AA1557" s="491"/>
      <c r="AB1557" s="491"/>
      <c r="AC1557" s="491"/>
      <c r="AD1557" s="493"/>
    </row>
    <row r="1558" spans="18:30" x14ac:dyDescent="0.25">
      <c r="R1558" s="491"/>
      <c r="S1558" s="491"/>
      <c r="T1558" s="491"/>
      <c r="U1558" s="491"/>
      <c r="V1558" s="491"/>
      <c r="W1558" s="491"/>
      <c r="X1558" s="491"/>
      <c r="Y1558" s="491"/>
      <c r="Z1558" s="491"/>
      <c r="AA1558" s="491"/>
      <c r="AB1558" s="491"/>
      <c r="AC1558" s="491"/>
      <c r="AD1558" s="493"/>
    </row>
    <row r="1559" spans="18:30" x14ac:dyDescent="0.25">
      <c r="R1559" s="491"/>
      <c r="S1559" s="491"/>
      <c r="T1559" s="491"/>
      <c r="U1559" s="491"/>
      <c r="V1559" s="491"/>
      <c r="W1559" s="491"/>
      <c r="X1559" s="491"/>
      <c r="Y1559" s="491"/>
      <c r="Z1559" s="491"/>
      <c r="AA1559" s="491"/>
      <c r="AB1559" s="491"/>
      <c r="AC1559" s="491"/>
      <c r="AD1559" s="493"/>
    </row>
    <row r="1560" spans="18:30" x14ac:dyDescent="0.25">
      <c r="R1560" s="491"/>
      <c r="S1560" s="491"/>
      <c r="T1560" s="491"/>
      <c r="U1560" s="491"/>
      <c r="V1560" s="491"/>
      <c r="W1560" s="491"/>
      <c r="X1560" s="491"/>
      <c r="Y1560" s="491"/>
      <c r="Z1560" s="491"/>
      <c r="AA1560" s="491"/>
      <c r="AB1560" s="491"/>
      <c r="AC1560" s="491"/>
      <c r="AD1560" s="493"/>
    </row>
    <row r="1561" spans="18:30" x14ac:dyDescent="0.25">
      <c r="R1561" s="491"/>
      <c r="S1561" s="491"/>
      <c r="T1561" s="491"/>
      <c r="U1561" s="491"/>
      <c r="V1561" s="491"/>
      <c r="W1561" s="491"/>
      <c r="X1561" s="491"/>
      <c r="Y1561" s="491"/>
      <c r="Z1561" s="491"/>
      <c r="AA1561" s="491"/>
      <c r="AB1561" s="491"/>
      <c r="AC1561" s="491"/>
      <c r="AD1561" s="493"/>
    </row>
    <row r="1562" spans="18:30" x14ac:dyDescent="0.25">
      <c r="R1562" s="491"/>
      <c r="S1562" s="491"/>
      <c r="T1562" s="491"/>
      <c r="U1562" s="491"/>
      <c r="V1562" s="491"/>
      <c r="W1562" s="491"/>
      <c r="X1562" s="491"/>
      <c r="Y1562" s="491"/>
      <c r="Z1562" s="491"/>
      <c r="AA1562" s="491"/>
      <c r="AB1562" s="491"/>
      <c r="AC1562" s="491"/>
      <c r="AD1562" s="493"/>
    </row>
    <row r="1563" spans="18:30" x14ac:dyDescent="0.25">
      <c r="R1563" s="491"/>
      <c r="S1563" s="491"/>
      <c r="T1563" s="491"/>
      <c r="U1563" s="491"/>
      <c r="V1563" s="491"/>
      <c r="W1563" s="491"/>
      <c r="X1563" s="491"/>
      <c r="Y1563" s="491"/>
      <c r="Z1563" s="491"/>
      <c r="AA1563" s="491"/>
      <c r="AB1563" s="491"/>
      <c r="AC1563" s="491"/>
      <c r="AD1563" s="493"/>
    </row>
    <row r="1564" spans="18:30" x14ac:dyDescent="0.25">
      <c r="R1564" s="491"/>
      <c r="S1564" s="491"/>
      <c r="T1564" s="491"/>
      <c r="U1564" s="491"/>
      <c r="V1564" s="491"/>
      <c r="W1564" s="491"/>
      <c r="X1564" s="491"/>
      <c r="Y1564" s="491"/>
      <c r="Z1564" s="491"/>
      <c r="AA1564" s="491"/>
      <c r="AB1564" s="491"/>
      <c r="AC1564" s="491"/>
      <c r="AD1564" s="493"/>
    </row>
    <row r="1565" spans="18:30" x14ac:dyDescent="0.25">
      <c r="R1565" s="491"/>
      <c r="S1565" s="491"/>
      <c r="T1565" s="491"/>
      <c r="U1565" s="491"/>
      <c r="V1565" s="491"/>
      <c r="W1565" s="491"/>
      <c r="X1565" s="491"/>
      <c r="Y1565" s="491"/>
      <c r="Z1565" s="491"/>
      <c r="AA1565" s="491"/>
      <c r="AB1565" s="491"/>
      <c r="AC1565" s="491"/>
      <c r="AD1565" s="493"/>
    </row>
    <row r="1566" spans="18:30" x14ac:dyDescent="0.25">
      <c r="R1566" s="491"/>
      <c r="S1566" s="491"/>
      <c r="T1566" s="491"/>
      <c r="U1566" s="491"/>
      <c r="V1566" s="491"/>
      <c r="W1566" s="491"/>
      <c r="X1566" s="491"/>
      <c r="Y1566" s="491"/>
      <c r="Z1566" s="491"/>
      <c r="AA1566" s="491"/>
      <c r="AB1566" s="491"/>
      <c r="AC1566" s="491"/>
      <c r="AD1566" s="493"/>
    </row>
    <row r="1567" spans="18:30" x14ac:dyDescent="0.25">
      <c r="R1567" s="491"/>
      <c r="S1567" s="491"/>
      <c r="T1567" s="491"/>
      <c r="U1567" s="491"/>
      <c r="V1567" s="491"/>
      <c r="W1567" s="491"/>
      <c r="X1567" s="491"/>
      <c r="Y1567" s="491"/>
      <c r="Z1567" s="491"/>
      <c r="AA1567" s="491"/>
      <c r="AB1567" s="491"/>
      <c r="AC1567" s="491"/>
      <c r="AD1567" s="493"/>
    </row>
    <row r="1568" spans="18:30" x14ac:dyDescent="0.25">
      <c r="R1568" s="491"/>
      <c r="S1568" s="491"/>
      <c r="T1568" s="491"/>
      <c r="U1568" s="491"/>
      <c r="V1568" s="491"/>
      <c r="W1568" s="491"/>
      <c r="X1568" s="491"/>
      <c r="Y1568" s="491"/>
      <c r="Z1568" s="491"/>
      <c r="AA1568" s="491"/>
      <c r="AB1568" s="491"/>
      <c r="AC1568" s="491"/>
      <c r="AD1568" s="493"/>
    </row>
    <row r="1569" spans="18:30" x14ac:dyDescent="0.25">
      <c r="R1569" s="491"/>
      <c r="S1569" s="491"/>
      <c r="T1569" s="491"/>
      <c r="U1569" s="491"/>
      <c r="V1569" s="491"/>
      <c r="W1569" s="491"/>
      <c r="X1569" s="491"/>
      <c r="Y1569" s="491"/>
      <c r="Z1569" s="491"/>
      <c r="AA1569" s="491"/>
      <c r="AB1569" s="491"/>
      <c r="AC1569" s="491"/>
      <c r="AD1569" s="493"/>
    </row>
    <row r="1570" spans="18:30" x14ac:dyDescent="0.25">
      <c r="R1570" s="491"/>
      <c r="S1570" s="491"/>
      <c r="T1570" s="491"/>
      <c r="U1570" s="491"/>
      <c r="V1570" s="491"/>
      <c r="W1570" s="491"/>
      <c r="X1570" s="491"/>
      <c r="Y1570" s="491"/>
      <c r="Z1570" s="491"/>
      <c r="AA1570" s="491"/>
      <c r="AB1570" s="491"/>
      <c r="AC1570" s="491"/>
      <c r="AD1570" s="493"/>
    </row>
    <row r="1571" spans="18:30" x14ac:dyDescent="0.25">
      <c r="R1571" s="491"/>
      <c r="S1571" s="491"/>
      <c r="T1571" s="491"/>
      <c r="U1571" s="491"/>
      <c r="V1571" s="491"/>
      <c r="W1571" s="491"/>
      <c r="X1571" s="491"/>
      <c r="Y1571" s="491"/>
      <c r="Z1571" s="491"/>
      <c r="AA1571" s="491"/>
      <c r="AB1571" s="491"/>
      <c r="AC1571" s="491"/>
      <c r="AD1571" s="493"/>
    </row>
    <row r="1572" spans="18:30" x14ac:dyDescent="0.25">
      <c r="R1572" s="491"/>
      <c r="S1572" s="491"/>
      <c r="T1572" s="491"/>
      <c r="U1572" s="491"/>
      <c r="V1572" s="491"/>
      <c r="W1572" s="491"/>
      <c r="X1572" s="491"/>
      <c r="Y1572" s="491"/>
      <c r="Z1572" s="491"/>
      <c r="AA1572" s="491"/>
      <c r="AB1572" s="491"/>
      <c r="AC1572" s="491"/>
      <c r="AD1572" s="493"/>
    </row>
    <row r="1573" spans="18:30" x14ac:dyDescent="0.25">
      <c r="R1573" s="491"/>
      <c r="S1573" s="491"/>
      <c r="T1573" s="491"/>
      <c r="U1573" s="491"/>
      <c r="V1573" s="491"/>
      <c r="W1573" s="491"/>
      <c r="X1573" s="491"/>
      <c r="Y1573" s="491"/>
      <c r="Z1573" s="491"/>
      <c r="AA1573" s="491"/>
      <c r="AB1573" s="491"/>
      <c r="AC1573" s="491"/>
      <c r="AD1573" s="493"/>
    </row>
    <row r="1574" spans="18:30" x14ac:dyDescent="0.25">
      <c r="R1574" s="491"/>
      <c r="S1574" s="491"/>
      <c r="T1574" s="491"/>
      <c r="U1574" s="491"/>
      <c r="V1574" s="491"/>
      <c r="W1574" s="491"/>
      <c r="X1574" s="491"/>
      <c r="Y1574" s="491"/>
      <c r="Z1574" s="491"/>
      <c r="AA1574" s="491"/>
      <c r="AB1574" s="491"/>
      <c r="AC1574" s="491"/>
      <c r="AD1574" s="493"/>
    </row>
    <row r="1575" spans="18:30" x14ac:dyDescent="0.25">
      <c r="R1575" s="491"/>
      <c r="S1575" s="491"/>
      <c r="T1575" s="491"/>
      <c r="U1575" s="491"/>
      <c r="V1575" s="491"/>
      <c r="W1575" s="491"/>
      <c r="X1575" s="491"/>
      <c r="Y1575" s="491"/>
      <c r="Z1575" s="491"/>
      <c r="AA1575" s="491"/>
      <c r="AB1575" s="491"/>
      <c r="AC1575" s="491"/>
      <c r="AD1575" s="493"/>
    </row>
    <row r="1576" spans="18:30" x14ac:dyDescent="0.25">
      <c r="R1576" s="491"/>
      <c r="S1576" s="491"/>
      <c r="T1576" s="491"/>
      <c r="U1576" s="491"/>
      <c r="V1576" s="491"/>
      <c r="W1576" s="491"/>
      <c r="X1576" s="491"/>
      <c r="Y1576" s="491"/>
      <c r="Z1576" s="491"/>
      <c r="AA1576" s="491"/>
      <c r="AB1576" s="491"/>
      <c r="AC1576" s="491"/>
      <c r="AD1576" s="493"/>
    </row>
    <row r="1577" spans="18:30" x14ac:dyDescent="0.25">
      <c r="R1577" s="491"/>
      <c r="S1577" s="491"/>
      <c r="T1577" s="491"/>
      <c r="U1577" s="491"/>
      <c r="V1577" s="491"/>
      <c r="W1577" s="491"/>
      <c r="X1577" s="491"/>
      <c r="Y1577" s="491"/>
      <c r="Z1577" s="491"/>
      <c r="AA1577" s="491"/>
      <c r="AB1577" s="491"/>
      <c r="AC1577" s="491"/>
      <c r="AD1577" s="493"/>
    </row>
    <row r="1578" spans="18:30" x14ac:dyDescent="0.25">
      <c r="R1578" s="491"/>
      <c r="S1578" s="491"/>
      <c r="T1578" s="491"/>
      <c r="U1578" s="491"/>
      <c r="V1578" s="491"/>
      <c r="W1578" s="491"/>
      <c r="X1578" s="491"/>
      <c r="Y1578" s="491"/>
      <c r="Z1578" s="491"/>
      <c r="AA1578" s="491"/>
      <c r="AB1578" s="491"/>
      <c r="AC1578" s="491"/>
      <c r="AD1578" s="493"/>
    </row>
    <row r="1579" spans="18:30" x14ac:dyDescent="0.25">
      <c r="R1579" s="491"/>
      <c r="S1579" s="491"/>
      <c r="T1579" s="491"/>
      <c r="U1579" s="491"/>
      <c r="V1579" s="491"/>
      <c r="W1579" s="491"/>
      <c r="X1579" s="491"/>
      <c r="Y1579" s="491"/>
      <c r="Z1579" s="491"/>
      <c r="AA1579" s="491"/>
      <c r="AB1579" s="491"/>
      <c r="AC1579" s="491"/>
      <c r="AD1579" s="493"/>
    </row>
    <row r="1580" spans="18:30" x14ac:dyDescent="0.25">
      <c r="R1580" s="491"/>
      <c r="S1580" s="491"/>
      <c r="T1580" s="491"/>
      <c r="U1580" s="491"/>
      <c r="V1580" s="491"/>
      <c r="W1580" s="491"/>
      <c r="X1580" s="491"/>
      <c r="Y1580" s="491"/>
      <c r="Z1580" s="491"/>
      <c r="AA1580" s="491"/>
      <c r="AB1580" s="491"/>
      <c r="AC1580" s="491"/>
      <c r="AD1580" s="493"/>
    </row>
    <row r="1581" spans="18:30" x14ac:dyDescent="0.25">
      <c r="R1581" s="491"/>
      <c r="S1581" s="491"/>
      <c r="T1581" s="491"/>
      <c r="U1581" s="491"/>
      <c r="V1581" s="491"/>
      <c r="W1581" s="491"/>
      <c r="X1581" s="491"/>
      <c r="Y1581" s="491"/>
      <c r="Z1581" s="491"/>
      <c r="AA1581" s="491"/>
      <c r="AB1581" s="491"/>
      <c r="AC1581" s="491"/>
      <c r="AD1581" s="493"/>
    </row>
    <row r="1582" spans="18:30" x14ac:dyDescent="0.25">
      <c r="R1582" s="491"/>
      <c r="S1582" s="491"/>
      <c r="T1582" s="491"/>
      <c r="U1582" s="491"/>
      <c r="V1582" s="491"/>
      <c r="W1582" s="491"/>
      <c r="X1582" s="491"/>
      <c r="Y1582" s="491"/>
      <c r="Z1582" s="491"/>
      <c r="AA1582" s="491"/>
      <c r="AB1582" s="491"/>
      <c r="AC1582" s="491"/>
      <c r="AD1582" s="493"/>
    </row>
    <row r="1583" spans="18:30" x14ac:dyDescent="0.25">
      <c r="R1583" s="491"/>
      <c r="S1583" s="491"/>
      <c r="T1583" s="491"/>
      <c r="U1583" s="491"/>
      <c r="V1583" s="491"/>
      <c r="W1583" s="491"/>
      <c r="X1583" s="491"/>
      <c r="Y1583" s="491"/>
      <c r="Z1583" s="491"/>
      <c r="AA1583" s="491"/>
      <c r="AB1583" s="491"/>
      <c r="AC1583" s="491"/>
      <c r="AD1583" s="493"/>
    </row>
    <row r="1584" spans="18:30" x14ac:dyDescent="0.25">
      <c r="R1584" s="491"/>
      <c r="S1584" s="491"/>
      <c r="T1584" s="491"/>
      <c r="U1584" s="491"/>
      <c r="V1584" s="491"/>
      <c r="W1584" s="491"/>
      <c r="X1584" s="491"/>
      <c r="Y1584" s="491"/>
      <c r="Z1584" s="491"/>
      <c r="AA1584" s="491"/>
      <c r="AB1584" s="491"/>
      <c r="AC1584" s="491"/>
      <c r="AD1584" s="493"/>
    </row>
    <row r="1585" spans="18:30" x14ac:dyDescent="0.25">
      <c r="R1585" s="491"/>
      <c r="S1585" s="491"/>
      <c r="T1585" s="491"/>
      <c r="U1585" s="491"/>
      <c r="V1585" s="491"/>
      <c r="W1585" s="491"/>
      <c r="X1585" s="491"/>
      <c r="Y1585" s="491"/>
      <c r="Z1585" s="491"/>
      <c r="AA1585" s="491"/>
      <c r="AB1585" s="491"/>
      <c r="AC1585" s="491"/>
      <c r="AD1585" s="493"/>
    </row>
    <row r="1586" spans="18:30" x14ac:dyDescent="0.25">
      <c r="R1586" s="491"/>
      <c r="S1586" s="491"/>
      <c r="T1586" s="491"/>
      <c r="U1586" s="491"/>
      <c r="V1586" s="491"/>
      <c r="W1586" s="491"/>
      <c r="X1586" s="491"/>
      <c r="Y1586" s="491"/>
      <c r="Z1586" s="491"/>
      <c r="AA1586" s="491"/>
      <c r="AB1586" s="491"/>
      <c r="AC1586" s="491"/>
      <c r="AD1586" s="493"/>
    </row>
    <row r="1587" spans="18:30" x14ac:dyDescent="0.25">
      <c r="R1587" s="491"/>
      <c r="S1587" s="491"/>
      <c r="T1587" s="491"/>
      <c r="U1587" s="491"/>
      <c r="V1587" s="491"/>
      <c r="W1587" s="491"/>
      <c r="X1587" s="491"/>
      <c r="Y1587" s="491"/>
      <c r="Z1587" s="491"/>
      <c r="AA1587" s="491"/>
      <c r="AB1587" s="491"/>
      <c r="AC1587" s="491"/>
      <c r="AD1587" s="493"/>
    </row>
    <row r="1588" spans="18:30" x14ac:dyDescent="0.25">
      <c r="R1588" s="491"/>
      <c r="S1588" s="491"/>
      <c r="T1588" s="491"/>
      <c r="U1588" s="491"/>
      <c r="V1588" s="491"/>
      <c r="W1588" s="491"/>
      <c r="X1588" s="491"/>
      <c r="Y1588" s="491"/>
      <c r="Z1588" s="491"/>
      <c r="AA1588" s="491"/>
      <c r="AB1588" s="491"/>
      <c r="AC1588" s="491"/>
      <c r="AD1588" s="493"/>
    </row>
    <row r="1589" spans="18:30" x14ac:dyDescent="0.25">
      <c r="R1589" s="491"/>
      <c r="S1589" s="491"/>
      <c r="T1589" s="491"/>
      <c r="U1589" s="491"/>
      <c r="V1589" s="491"/>
      <c r="W1589" s="491"/>
      <c r="X1589" s="491"/>
      <c r="Y1589" s="491"/>
      <c r="Z1589" s="491"/>
      <c r="AA1589" s="491"/>
      <c r="AB1589" s="491"/>
      <c r="AC1589" s="491"/>
      <c r="AD1589" s="493"/>
    </row>
    <row r="1590" spans="18:30" x14ac:dyDescent="0.25">
      <c r="R1590" s="491"/>
      <c r="S1590" s="491"/>
      <c r="T1590" s="491"/>
      <c r="U1590" s="491"/>
      <c r="V1590" s="491"/>
      <c r="W1590" s="491"/>
      <c r="X1590" s="491"/>
      <c r="Y1590" s="491"/>
      <c r="Z1590" s="491"/>
      <c r="AA1590" s="491"/>
      <c r="AB1590" s="491"/>
      <c r="AC1590" s="491"/>
      <c r="AD1590" s="493"/>
    </row>
    <row r="1591" spans="18:30" x14ac:dyDescent="0.25">
      <c r="R1591" s="491"/>
      <c r="S1591" s="491"/>
      <c r="T1591" s="491"/>
      <c r="U1591" s="491"/>
      <c r="V1591" s="491"/>
      <c r="W1591" s="491"/>
      <c r="X1591" s="491"/>
      <c r="Y1591" s="491"/>
      <c r="Z1591" s="491"/>
      <c r="AA1591" s="491"/>
      <c r="AB1591" s="491"/>
      <c r="AC1591" s="491"/>
      <c r="AD1591" s="493"/>
    </row>
    <row r="1592" spans="18:30" x14ac:dyDescent="0.25">
      <c r="R1592" s="491"/>
      <c r="S1592" s="491"/>
      <c r="T1592" s="491"/>
      <c r="U1592" s="491"/>
      <c r="V1592" s="491"/>
      <c r="W1592" s="491"/>
      <c r="X1592" s="491"/>
      <c r="Y1592" s="491"/>
      <c r="Z1592" s="491"/>
      <c r="AA1592" s="491"/>
      <c r="AB1592" s="491"/>
      <c r="AC1592" s="491"/>
      <c r="AD1592" s="493"/>
    </row>
    <row r="1593" spans="18:30" x14ac:dyDescent="0.25">
      <c r="R1593" s="491"/>
      <c r="S1593" s="491"/>
      <c r="T1593" s="491"/>
      <c r="U1593" s="491"/>
      <c r="V1593" s="491"/>
      <c r="W1593" s="491"/>
      <c r="X1593" s="491"/>
      <c r="Y1593" s="491"/>
      <c r="Z1593" s="491"/>
      <c r="AA1593" s="491"/>
      <c r="AB1593" s="491"/>
      <c r="AC1593" s="491"/>
      <c r="AD1593" s="493"/>
    </row>
    <row r="1594" spans="18:30" x14ac:dyDescent="0.25">
      <c r="R1594" s="491"/>
      <c r="S1594" s="491"/>
      <c r="T1594" s="491"/>
      <c r="U1594" s="491"/>
      <c r="V1594" s="491"/>
      <c r="W1594" s="491"/>
      <c r="X1594" s="491"/>
      <c r="Y1594" s="491"/>
      <c r="Z1594" s="491"/>
      <c r="AA1594" s="491"/>
      <c r="AB1594" s="491"/>
      <c r="AC1594" s="491"/>
      <c r="AD1594" s="493"/>
    </row>
    <row r="1595" spans="18:30" x14ac:dyDescent="0.25">
      <c r="R1595" s="491"/>
      <c r="S1595" s="491"/>
      <c r="T1595" s="491"/>
      <c r="U1595" s="491"/>
      <c r="V1595" s="491"/>
      <c r="W1595" s="491"/>
      <c r="X1595" s="491"/>
      <c r="Y1595" s="491"/>
      <c r="Z1595" s="491"/>
      <c r="AA1595" s="491"/>
      <c r="AB1595" s="491"/>
      <c r="AC1595" s="491"/>
      <c r="AD1595" s="493"/>
    </row>
    <row r="1596" spans="18:30" x14ac:dyDescent="0.25">
      <c r="R1596" s="491"/>
      <c r="S1596" s="491"/>
      <c r="T1596" s="491"/>
      <c r="U1596" s="491"/>
      <c r="V1596" s="491"/>
      <c r="W1596" s="491"/>
      <c r="X1596" s="491"/>
      <c r="Y1596" s="491"/>
      <c r="Z1596" s="491"/>
      <c r="AA1596" s="491"/>
      <c r="AB1596" s="491"/>
      <c r="AC1596" s="491"/>
      <c r="AD1596" s="493"/>
    </row>
    <row r="1597" spans="18:30" x14ac:dyDescent="0.25">
      <c r="R1597" s="491"/>
      <c r="S1597" s="491"/>
      <c r="T1597" s="491"/>
      <c r="U1597" s="491"/>
      <c r="V1597" s="491"/>
      <c r="W1597" s="491"/>
      <c r="X1597" s="491"/>
      <c r="Y1597" s="491"/>
      <c r="Z1597" s="491"/>
      <c r="AA1597" s="491"/>
      <c r="AB1597" s="491"/>
      <c r="AC1597" s="491"/>
      <c r="AD1597" s="493"/>
    </row>
    <row r="1598" spans="18:30" x14ac:dyDescent="0.25">
      <c r="R1598" s="491"/>
      <c r="S1598" s="491"/>
      <c r="T1598" s="491"/>
      <c r="U1598" s="491"/>
      <c r="V1598" s="491"/>
      <c r="W1598" s="491"/>
      <c r="X1598" s="491"/>
      <c r="Y1598" s="491"/>
      <c r="Z1598" s="491"/>
      <c r="AA1598" s="491"/>
      <c r="AB1598" s="491"/>
      <c r="AC1598" s="491"/>
      <c r="AD1598" s="493"/>
    </row>
    <row r="1599" spans="18:30" x14ac:dyDescent="0.25">
      <c r="R1599" s="491"/>
      <c r="S1599" s="491"/>
      <c r="T1599" s="491"/>
      <c r="U1599" s="491"/>
      <c r="V1599" s="491"/>
      <c r="W1599" s="491"/>
      <c r="X1599" s="491"/>
      <c r="Y1599" s="491"/>
      <c r="Z1599" s="491"/>
      <c r="AA1599" s="491"/>
      <c r="AB1599" s="491"/>
      <c r="AC1599" s="491"/>
      <c r="AD1599" s="493"/>
    </row>
    <row r="1600" spans="18:30" x14ac:dyDescent="0.25">
      <c r="R1600" s="491"/>
      <c r="S1600" s="491"/>
      <c r="T1600" s="491"/>
      <c r="U1600" s="491"/>
      <c r="V1600" s="491"/>
      <c r="W1600" s="491"/>
      <c r="X1600" s="491"/>
      <c r="Y1600" s="491"/>
      <c r="Z1600" s="491"/>
      <c r="AA1600" s="491"/>
      <c r="AB1600" s="491"/>
      <c r="AC1600" s="491"/>
      <c r="AD1600" s="493"/>
    </row>
    <row r="1601" spans="18:30" x14ac:dyDescent="0.25">
      <c r="R1601" s="491"/>
      <c r="S1601" s="491"/>
      <c r="T1601" s="491"/>
      <c r="U1601" s="491"/>
      <c r="V1601" s="491"/>
      <c r="W1601" s="491"/>
      <c r="X1601" s="491"/>
      <c r="Y1601" s="491"/>
      <c r="Z1601" s="491"/>
      <c r="AA1601" s="491"/>
      <c r="AB1601" s="491"/>
      <c r="AC1601" s="491"/>
      <c r="AD1601" s="493"/>
    </row>
    <row r="1602" spans="18:30" x14ac:dyDescent="0.25">
      <c r="R1602" s="491"/>
      <c r="S1602" s="491"/>
      <c r="T1602" s="491"/>
      <c r="U1602" s="491"/>
      <c r="V1602" s="491"/>
      <c r="W1602" s="491"/>
      <c r="X1602" s="491"/>
      <c r="Y1602" s="491"/>
      <c r="Z1602" s="491"/>
      <c r="AA1602" s="491"/>
      <c r="AB1602" s="491"/>
      <c r="AC1602" s="491"/>
      <c r="AD1602" s="493"/>
    </row>
    <row r="1603" spans="18:30" x14ac:dyDescent="0.25">
      <c r="R1603" s="491"/>
      <c r="S1603" s="491"/>
      <c r="T1603" s="491"/>
      <c r="U1603" s="491"/>
      <c r="V1603" s="491"/>
      <c r="W1603" s="491"/>
      <c r="X1603" s="491"/>
      <c r="Y1603" s="491"/>
      <c r="Z1603" s="491"/>
      <c r="AA1603" s="491"/>
      <c r="AB1603" s="491"/>
      <c r="AC1603" s="491"/>
      <c r="AD1603" s="493"/>
    </row>
    <row r="1604" spans="18:30" x14ac:dyDescent="0.25">
      <c r="R1604" s="491"/>
      <c r="S1604" s="491"/>
      <c r="T1604" s="491"/>
      <c r="U1604" s="491"/>
      <c r="V1604" s="491"/>
      <c r="W1604" s="491"/>
      <c r="X1604" s="491"/>
      <c r="Y1604" s="491"/>
      <c r="Z1604" s="491"/>
      <c r="AA1604" s="491"/>
      <c r="AB1604" s="491"/>
      <c r="AC1604" s="491"/>
      <c r="AD1604" s="493"/>
    </row>
    <row r="1605" spans="18:30" x14ac:dyDescent="0.25">
      <c r="R1605" s="491"/>
      <c r="S1605" s="491"/>
      <c r="T1605" s="491"/>
      <c r="U1605" s="491"/>
      <c r="V1605" s="491"/>
      <c r="W1605" s="491"/>
      <c r="X1605" s="491"/>
      <c r="Y1605" s="491"/>
      <c r="Z1605" s="491"/>
      <c r="AA1605" s="491"/>
      <c r="AB1605" s="491"/>
      <c r="AC1605" s="491"/>
      <c r="AD1605" s="493"/>
    </row>
    <row r="1606" spans="18:30" x14ac:dyDescent="0.25">
      <c r="R1606" s="491"/>
      <c r="S1606" s="491"/>
      <c r="T1606" s="491"/>
      <c r="U1606" s="491"/>
      <c r="V1606" s="491"/>
      <c r="W1606" s="491"/>
      <c r="X1606" s="491"/>
      <c r="Y1606" s="491"/>
      <c r="Z1606" s="491"/>
      <c r="AA1606" s="491"/>
      <c r="AB1606" s="491"/>
      <c r="AC1606" s="491"/>
      <c r="AD1606" s="493"/>
    </row>
    <row r="1607" spans="18:30" x14ac:dyDescent="0.25">
      <c r="R1607" s="491"/>
      <c r="S1607" s="491"/>
      <c r="T1607" s="491"/>
      <c r="U1607" s="491"/>
      <c r="V1607" s="491"/>
      <c r="W1607" s="491"/>
      <c r="X1607" s="491"/>
      <c r="Y1607" s="491"/>
      <c r="Z1607" s="491"/>
      <c r="AA1607" s="491"/>
      <c r="AB1607" s="491"/>
      <c r="AC1607" s="491"/>
      <c r="AD1607" s="493"/>
    </row>
    <row r="1608" spans="18:30" x14ac:dyDescent="0.25">
      <c r="R1608" s="491"/>
      <c r="S1608" s="491"/>
      <c r="T1608" s="491"/>
      <c r="U1608" s="491"/>
      <c r="V1608" s="491"/>
      <c r="W1608" s="491"/>
      <c r="X1608" s="491"/>
      <c r="Y1608" s="491"/>
      <c r="Z1608" s="491"/>
      <c r="AA1608" s="491"/>
      <c r="AB1608" s="491"/>
      <c r="AC1608" s="491"/>
      <c r="AD1608" s="493"/>
    </row>
    <row r="1609" spans="18:30" x14ac:dyDescent="0.25">
      <c r="R1609" s="491"/>
      <c r="S1609" s="491"/>
      <c r="T1609" s="491"/>
      <c r="U1609" s="491"/>
      <c r="V1609" s="491"/>
      <c r="W1609" s="491"/>
      <c r="X1609" s="491"/>
      <c r="Y1609" s="491"/>
      <c r="Z1609" s="491"/>
      <c r="AA1609" s="491"/>
      <c r="AB1609" s="491"/>
      <c r="AC1609" s="491"/>
      <c r="AD1609" s="493"/>
    </row>
    <row r="1610" spans="18:30" x14ac:dyDescent="0.25">
      <c r="R1610" s="491"/>
      <c r="S1610" s="491"/>
      <c r="T1610" s="491"/>
      <c r="U1610" s="491"/>
      <c r="V1610" s="491"/>
      <c r="W1610" s="491"/>
      <c r="X1610" s="491"/>
      <c r="Y1610" s="491"/>
      <c r="Z1610" s="491"/>
      <c r="AA1610" s="491"/>
      <c r="AB1610" s="491"/>
      <c r="AC1610" s="491"/>
      <c r="AD1610" s="493"/>
    </row>
    <row r="1611" spans="18:30" x14ac:dyDescent="0.25">
      <c r="R1611" s="491"/>
      <c r="S1611" s="491"/>
      <c r="T1611" s="491"/>
      <c r="U1611" s="491"/>
      <c r="V1611" s="491"/>
      <c r="W1611" s="491"/>
      <c r="X1611" s="491"/>
      <c r="Y1611" s="491"/>
      <c r="Z1611" s="491"/>
      <c r="AA1611" s="491"/>
      <c r="AB1611" s="491"/>
      <c r="AC1611" s="491"/>
      <c r="AD1611" s="493"/>
    </row>
    <row r="1612" spans="18:30" x14ac:dyDescent="0.25">
      <c r="R1612" s="491"/>
      <c r="S1612" s="491"/>
      <c r="T1612" s="491"/>
      <c r="U1612" s="491"/>
      <c r="V1612" s="491"/>
      <c r="W1612" s="491"/>
      <c r="X1612" s="491"/>
      <c r="Y1612" s="491"/>
      <c r="Z1612" s="491"/>
      <c r="AA1612" s="491"/>
      <c r="AB1612" s="491"/>
      <c r="AC1612" s="491"/>
      <c r="AD1612" s="493"/>
    </row>
    <row r="1613" spans="18:30" x14ac:dyDescent="0.25">
      <c r="R1613" s="491"/>
      <c r="S1613" s="491"/>
      <c r="T1613" s="491"/>
      <c r="U1613" s="491"/>
      <c r="V1613" s="491"/>
      <c r="W1613" s="491"/>
      <c r="X1613" s="491"/>
      <c r="Y1613" s="491"/>
      <c r="Z1613" s="491"/>
      <c r="AA1613" s="491"/>
      <c r="AB1613" s="491"/>
      <c r="AC1613" s="491"/>
      <c r="AD1613" s="493"/>
    </row>
    <row r="1614" spans="18:30" x14ac:dyDescent="0.25">
      <c r="R1614" s="491"/>
      <c r="S1614" s="491"/>
      <c r="T1614" s="491"/>
      <c r="U1614" s="491"/>
      <c r="V1614" s="491"/>
      <c r="W1614" s="491"/>
      <c r="X1614" s="491"/>
      <c r="Y1614" s="491"/>
      <c r="Z1614" s="491"/>
      <c r="AA1614" s="491"/>
      <c r="AB1614" s="491"/>
      <c r="AC1614" s="491"/>
      <c r="AD1614" s="493"/>
    </row>
    <row r="1615" spans="18:30" x14ac:dyDescent="0.25">
      <c r="R1615" s="491"/>
      <c r="S1615" s="491"/>
      <c r="T1615" s="491"/>
      <c r="U1615" s="491"/>
      <c r="V1615" s="491"/>
      <c r="W1615" s="491"/>
      <c r="X1615" s="491"/>
      <c r="Y1615" s="491"/>
      <c r="Z1615" s="491"/>
      <c r="AA1615" s="491"/>
      <c r="AB1615" s="491"/>
      <c r="AC1615" s="491"/>
      <c r="AD1615" s="493"/>
    </row>
    <row r="1616" spans="18:30" x14ac:dyDescent="0.25">
      <c r="R1616" s="491"/>
      <c r="S1616" s="491"/>
      <c r="T1616" s="491"/>
      <c r="U1616" s="491"/>
      <c r="V1616" s="491"/>
      <c r="W1616" s="491"/>
      <c r="X1616" s="491"/>
      <c r="Y1616" s="491"/>
      <c r="Z1616" s="491"/>
      <c r="AA1616" s="491"/>
      <c r="AB1616" s="491"/>
      <c r="AC1616" s="491"/>
      <c r="AD1616" s="493"/>
    </row>
    <row r="1617" spans="18:30" x14ac:dyDescent="0.25">
      <c r="R1617" s="491"/>
      <c r="S1617" s="491"/>
      <c r="T1617" s="491"/>
      <c r="U1617" s="491"/>
      <c r="V1617" s="491"/>
      <c r="W1617" s="491"/>
      <c r="X1617" s="491"/>
      <c r="Y1617" s="491"/>
      <c r="Z1617" s="491"/>
      <c r="AA1617" s="491"/>
      <c r="AB1617" s="491"/>
      <c r="AC1617" s="491"/>
      <c r="AD1617" s="493"/>
    </row>
    <row r="1618" spans="18:30" x14ac:dyDescent="0.25">
      <c r="R1618" s="491"/>
      <c r="S1618" s="491"/>
      <c r="T1618" s="491"/>
      <c r="U1618" s="491"/>
      <c r="V1618" s="491"/>
      <c r="W1618" s="491"/>
      <c r="X1618" s="491"/>
      <c r="Y1618" s="491"/>
      <c r="Z1618" s="491"/>
      <c r="AA1618" s="491"/>
      <c r="AB1618" s="491"/>
      <c r="AC1618" s="491"/>
      <c r="AD1618" s="493"/>
    </row>
    <row r="1619" spans="18:30" x14ac:dyDescent="0.25">
      <c r="R1619" s="491"/>
      <c r="S1619" s="491"/>
      <c r="T1619" s="491"/>
      <c r="U1619" s="491"/>
      <c r="V1619" s="491"/>
      <c r="W1619" s="491"/>
      <c r="X1619" s="491"/>
      <c r="Y1619" s="491"/>
      <c r="Z1619" s="491"/>
      <c r="AA1619" s="491"/>
      <c r="AB1619" s="491"/>
      <c r="AC1619" s="491"/>
      <c r="AD1619" s="493"/>
    </row>
    <row r="1620" spans="18:30" x14ac:dyDescent="0.25">
      <c r="R1620" s="491"/>
      <c r="S1620" s="491"/>
      <c r="T1620" s="491"/>
      <c r="U1620" s="491"/>
      <c r="V1620" s="491"/>
      <c r="W1620" s="491"/>
      <c r="X1620" s="491"/>
      <c r="Y1620" s="491"/>
      <c r="Z1620" s="491"/>
      <c r="AA1620" s="491"/>
      <c r="AB1620" s="491"/>
      <c r="AC1620" s="491"/>
      <c r="AD1620" s="493"/>
    </row>
    <row r="1621" spans="18:30" x14ac:dyDescent="0.25">
      <c r="R1621" s="491"/>
      <c r="S1621" s="491"/>
      <c r="T1621" s="491"/>
      <c r="U1621" s="491"/>
      <c r="V1621" s="491"/>
      <c r="W1621" s="491"/>
      <c r="X1621" s="491"/>
      <c r="Y1621" s="491"/>
      <c r="Z1621" s="491"/>
      <c r="AA1621" s="491"/>
      <c r="AB1621" s="491"/>
      <c r="AC1621" s="491"/>
      <c r="AD1621" s="493"/>
    </row>
    <row r="1622" spans="18:30" x14ac:dyDescent="0.25">
      <c r="R1622" s="491"/>
      <c r="S1622" s="491"/>
      <c r="T1622" s="491"/>
      <c r="U1622" s="491"/>
      <c r="V1622" s="491"/>
      <c r="W1622" s="491"/>
      <c r="X1622" s="491"/>
      <c r="Y1622" s="491"/>
      <c r="Z1622" s="491"/>
      <c r="AA1622" s="491"/>
      <c r="AB1622" s="491"/>
      <c r="AC1622" s="491"/>
      <c r="AD1622" s="493"/>
    </row>
    <row r="1623" spans="18:30" x14ac:dyDescent="0.25">
      <c r="R1623" s="491"/>
      <c r="S1623" s="491"/>
      <c r="T1623" s="491"/>
      <c r="U1623" s="491"/>
      <c r="V1623" s="491"/>
      <c r="W1623" s="491"/>
      <c r="X1623" s="491"/>
      <c r="Y1623" s="491"/>
      <c r="Z1623" s="491"/>
      <c r="AA1623" s="491"/>
      <c r="AB1623" s="491"/>
      <c r="AC1623" s="491"/>
      <c r="AD1623" s="493"/>
    </row>
    <row r="1624" spans="18:30" x14ac:dyDescent="0.25">
      <c r="R1624" s="491"/>
      <c r="S1624" s="491"/>
      <c r="T1624" s="491"/>
      <c r="U1624" s="491"/>
      <c r="V1624" s="491"/>
      <c r="W1624" s="491"/>
      <c r="X1624" s="491"/>
      <c r="Y1624" s="491"/>
      <c r="Z1624" s="491"/>
      <c r="AA1624" s="491"/>
      <c r="AB1624" s="491"/>
      <c r="AC1624" s="491"/>
      <c r="AD1624" s="493"/>
    </row>
    <row r="1625" spans="18:30" x14ac:dyDescent="0.25">
      <c r="R1625" s="491"/>
      <c r="S1625" s="491"/>
      <c r="T1625" s="491"/>
      <c r="U1625" s="491"/>
      <c r="V1625" s="491"/>
      <c r="W1625" s="491"/>
      <c r="X1625" s="491"/>
      <c r="Y1625" s="491"/>
      <c r="Z1625" s="491"/>
      <c r="AA1625" s="491"/>
      <c r="AB1625" s="491"/>
      <c r="AC1625" s="491"/>
      <c r="AD1625" s="493"/>
    </row>
    <row r="1626" spans="18:30" x14ac:dyDescent="0.25">
      <c r="R1626" s="491"/>
      <c r="S1626" s="491"/>
      <c r="T1626" s="491"/>
      <c r="U1626" s="491"/>
      <c r="V1626" s="491"/>
      <c r="W1626" s="491"/>
      <c r="X1626" s="491"/>
      <c r="Y1626" s="491"/>
      <c r="Z1626" s="491"/>
      <c r="AA1626" s="491"/>
      <c r="AB1626" s="491"/>
      <c r="AC1626" s="491"/>
      <c r="AD1626" s="493"/>
    </row>
    <row r="1627" spans="18:30" x14ac:dyDescent="0.25">
      <c r="R1627" s="491"/>
      <c r="S1627" s="491"/>
      <c r="T1627" s="491"/>
      <c r="U1627" s="491"/>
      <c r="V1627" s="491"/>
      <c r="W1627" s="491"/>
      <c r="X1627" s="491"/>
      <c r="Y1627" s="491"/>
      <c r="Z1627" s="491"/>
      <c r="AA1627" s="491"/>
      <c r="AB1627" s="491"/>
      <c r="AC1627" s="491"/>
      <c r="AD1627" s="493"/>
    </row>
    <row r="1628" spans="18:30" x14ac:dyDescent="0.25">
      <c r="R1628" s="491"/>
      <c r="S1628" s="491"/>
      <c r="T1628" s="491"/>
      <c r="U1628" s="491"/>
      <c r="V1628" s="491"/>
      <c r="W1628" s="491"/>
      <c r="X1628" s="491"/>
      <c r="Y1628" s="491"/>
      <c r="Z1628" s="491"/>
      <c r="AA1628" s="491"/>
      <c r="AB1628" s="491"/>
      <c r="AC1628" s="491"/>
      <c r="AD1628" s="493"/>
    </row>
    <row r="1629" spans="18:30" x14ac:dyDescent="0.25">
      <c r="R1629" s="491"/>
      <c r="S1629" s="491"/>
      <c r="T1629" s="491"/>
      <c r="U1629" s="491"/>
      <c r="V1629" s="491"/>
      <c r="W1629" s="491"/>
      <c r="X1629" s="491"/>
      <c r="Y1629" s="491"/>
      <c r="Z1629" s="491"/>
      <c r="AA1629" s="491"/>
      <c r="AB1629" s="491"/>
      <c r="AC1629" s="491"/>
      <c r="AD1629" s="493"/>
    </row>
    <row r="1630" spans="18:30" x14ac:dyDescent="0.25">
      <c r="R1630" s="491"/>
      <c r="S1630" s="491"/>
      <c r="T1630" s="491"/>
      <c r="U1630" s="491"/>
      <c r="V1630" s="491"/>
      <c r="W1630" s="491"/>
      <c r="X1630" s="491"/>
      <c r="Y1630" s="491"/>
      <c r="Z1630" s="491"/>
      <c r="AA1630" s="491"/>
      <c r="AB1630" s="491"/>
      <c r="AC1630" s="491"/>
      <c r="AD1630" s="493"/>
    </row>
    <row r="1631" spans="18:30" x14ac:dyDescent="0.25">
      <c r="R1631" s="491"/>
      <c r="S1631" s="491"/>
      <c r="T1631" s="491"/>
      <c r="U1631" s="491"/>
      <c r="V1631" s="491"/>
      <c r="W1631" s="491"/>
      <c r="X1631" s="491"/>
      <c r="Y1631" s="491"/>
      <c r="Z1631" s="491"/>
      <c r="AA1631" s="491"/>
      <c r="AB1631" s="491"/>
      <c r="AC1631" s="491"/>
      <c r="AD1631" s="493"/>
    </row>
    <row r="1632" spans="18:30" x14ac:dyDescent="0.25">
      <c r="R1632" s="491"/>
      <c r="S1632" s="491"/>
      <c r="T1632" s="491"/>
      <c r="U1632" s="491"/>
      <c r="V1632" s="491"/>
      <c r="W1632" s="491"/>
      <c r="X1632" s="491"/>
      <c r="Y1632" s="491"/>
      <c r="Z1632" s="491"/>
      <c r="AA1632" s="491"/>
      <c r="AB1632" s="491"/>
      <c r="AC1632" s="491"/>
      <c r="AD1632" s="493"/>
    </row>
    <row r="1633" spans="18:30" x14ac:dyDescent="0.25">
      <c r="R1633" s="491"/>
      <c r="S1633" s="491"/>
      <c r="T1633" s="491"/>
      <c r="U1633" s="491"/>
      <c r="V1633" s="491"/>
      <c r="W1633" s="491"/>
      <c r="X1633" s="491"/>
      <c r="Y1633" s="491"/>
      <c r="Z1633" s="491"/>
      <c r="AA1633" s="491"/>
      <c r="AB1633" s="491"/>
      <c r="AC1633" s="491"/>
      <c r="AD1633" s="493"/>
    </row>
    <row r="1634" spans="18:30" x14ac:dyDescent="0.25">
      <c r="R1634" s="491"/>
      <c r="S1634" s="491"/>
      <c r="T1634" s="491"/>
      <c r="U1634" s="491"/>
      <c r="V1634" s="491"/>
      <c r="W1634" s="491"/>
      <c r="X1634" s="491"/>
      <c r="Y1634" s="491"/>
      <c r="Z1634" s="491"/>
      <c r="AA1634" s="491"/>
      <c r="AB1634" s="491"/>
      <c r="AC1634" s="491"/>
      <c r="AD1634" s="493"/>
    </row>
    <row r="1635" spans="18:30" x14ac:dyDescent="0.25">
      <c r="R1635" s="491"/>
      <c r="S1635" s="491"/>
      <c r="T1635" s="491"/>
      <c r="U1635" s="491"/>
      <c r="V1635" s="491"/>
      <c r="W1635" s="491"/>
      <c r="X1635" s="491"/>
      <c r="Y1635" s="491"/>
      <c r="Z1635" s="491"/>
      <c r="AA1635" s="491"/>
      <c r="AB1635" s="491"/>
      <c r="AC1635" s="491"/>
      <c r="AD1635" s="493"/>
    </row>
    <row r="1636" spans="18:30" x14ac:dyDescent="0.25">
      <c r="R1636" s="491"/>
      <c r="S1636" s="491"/>
      <c r="T1636" s="491"/>
      <c r="U1636" s="491"/>
      <c r="V1636" s="491"/>
      <c r="W1636" s="491"/>
      <c r="X1636" s="491"/>
      <c r="Y1636" s="491"/>
      <c r="Z1636" s="491"/>
      <c r="AA1636" s="491"/>
      <c r="AB1636" s="491"/>
      <c r="AC1636" s="491"/>
      <c r="AD1636" s="493"/>
    </row>
    <row r="1637" spans="18:30" x14ac:dyDescent="0.25">
      <c r="R1637" s="491"/>
      <c r="S1637" s="491"/>
      <c r="T1637" s="491"/>
      <c r="U1637" s="491"/>
      <c r="V1637" s="491"/>
      <c r="W1637" s="491"/>
      <c r="X1637" s="491"/>
      <c r="Y1637" s="491"/>
      <c r="Z1637" s="491"/>
      <c r="AA1637" s="491"/>
      <c r="AB1637" s="491"/>
      <c r="AC1637" s="491"/>
      <c r="AD1637" s="493"/>
    </row>
    <row r="1638" spans="18:30" x14ac:dyDescent="0.25">
      <c r="R1638" s="491"/>
      <c r="S1638" s="491"/>
      <c r="T1638" s="491"/>
      <c r="U1638" s="491"/>
      <c r="V1638" s="491"/>
      <c r="W1638" s="491"/>
      <c r="X1638" s="491"/>
      <c r="Y1638" s="491"/>
      <c r="Z1638" s="491"/>
      <c r="AA1638" s="491"/>
      <c r="AB1638" s="491"/>
      <c r="AC1638" s="491"/>
      <c r="AD1638" s="493"/>
    </row>
    <row r="1639" spans="18:30" x14ac:dyDescent="0.25">
      <c r="R1639" s="491"/>
      <c r="S1639" s="491"/>
      <c r="T1639" s="491"/>
      <c r="U1639" s="491"/>
      <c r="V1639" s="491"/>
      <c r="W1639" s="491"/>
      <c r="X1639" s="491"/>
      <c r="Y1639" s="491"/>
      <c r="Z1639" s="491"/>
      <c r="AA1639" s="491"/>
      <c r="AB1639" s="491"/>
      <c r="AC1639" s="491"/>
      <c r="AD1639" s="493"/>
    </row>
    <row r="1640" spans="18:30" x14ac:dyDescent="0.25">
      <c r="R1640" s="491"/>
      <c r="S1640" s="491"/>
      <c r="T1640" s="491"/>
      <c r="U1640" s="491"/>
      <c r="V1640" s="491"/>
      <c r="W1640" s="491"/>
      <c r="X1640" s="491"/>
      <c r="Y1640" s="491"/>
      <c r="Z1640" s="491"/>
      <c r="AA1640" s="491"/>
      <c r="AB1640" s="491"/>
      <c r="AC1640" s="491"/>
      <c r="AD1640" s="493"/>
    </row>
    <row r="1641" spans="18:30" x14ac:dyDescent="0.25">
      <c r="R1641" s="491"/>
      <c r="S1641" s="491"/>
      <c r="T1641" s="491"/>
      <c r="U1641" s="491"/>
      <c r="V1641" s="491"/>
      <c r="W1641" s="491"/>
      <c r="X1641" s="491"/>
      <c r="Y1641" s="491"/>
      <c r="Z1641" s="491"/>
      <c r="AA1641" s="491"/>
      <c r="AB1641" s="491"/>
      <c r="AC1641" s="491"/>
      <c r="AD1641" s="493"/>
    </row>
    <row r="1642" spans="18:30" x14ac:dyDescent="0.25">
      <c r="R1642" s="491"/>
      <c r="S1642" s="491"/>
      <c r="T1642" s="491"/>
      <c r="U1642" s="491"/>
      <c r="V1642" s="491"/>
      <c r="W1642" s="491"/>
      <c r="X1642" s="491"/>
      <c r="Y1642" s="491"/>
      <c r="Z1642" s="491"/>
      <c r="AA1642" s="491"/>
      <c r="AB1642" s="491"/>
      <c r="AC1642" s="491"/>
      <c r="AD1642" s="493"/>
    </row>
    <row r="1643" spans="18:30" x14ac:dyDescent="0.25">
      <c r="R1643" s="491"/>
      <c r="S1643" s="491"/>
      <c r="T1643" s="491"/>
      <c r="U1643" s="491"/>
      <c r="V1643" s="491"/>
      <c r="W1643" s="491"/>
      <c r="X1643" s="491"/>
      <c r="Y1643" s="491"/>
      <c r="Z1643" s="491"/>
      <c r="AA1643" s="491"/>
      <c r="AB1643" s="491"/>
      <c r="AC1643" s="491"/>
      <c r="AD1643" s="493"/>
    </row>
    <row r="1644" spans="18:30" x14ac:dyDescent="0.25">
      <c r="R1644" s="491"/>
      <c r="S1644" s="491"/>
      <c r="T1644" s="491"/>
      <c r="U1644" s="491"/>
      <c r="V1644" s="491"/>
      <c r="W1644" s="491"/>
      <c r="X1644" s="491"/>
      <c r="Y1644" s="491"/>
      <c r="Z1644" s="491"/>
      <c r="AA1644" s="491"/>
      <c r="AB1644" s="491"/>
      <c r="AC1644" s="491"/>
      <c r="AD1644" s="493"/>
    </row>
    <row r="1645" spans="18:30" x14ac:dyDescent="0.25">
      <c r="R1645" s="491"/>
      <c r="S1645" s="491"/>
      <c r="T1645" s="491"/>
      <c r="U1645" s="491"/>
      <c r="V1645" s="491"/>
      <c r="W1645" s="491"/>
      <c r="X1645" s="491"/>
      <c r="Y1645" s="491"/>
      <c r="Z1645" s="491"/>
      <c r="AA1645" s="491"/>
      <c r="AB1645" s="491"/>
      <c r="AC1645" s="491"/>
      <c r="AD1645" s="493"/>
    </row>
    <row r="1646" spans="18:30" x14ac:dyDescent="0.25">
      <c r="R1646" s="491"/>
      <c r="S1646" s="491"/>
      <c r="T1646" s="491"/>
      <c r="U1646" s="491"/>
      <c r="V1646" s="491"/>
      <c r="W1646" s="491"/>
      <c r="X1646" s="491"/>
      <c r="Y1646" s="491"/>
      <c r="Z1646" s="491"/>
      <c r="AA1646" s="491"/>
      <c r="AB1646" s="491"/>
      <c r="AC1646" s="491"/>
      <c r="AD1646" s="493"/>
    </row>
    <row r="1647" spans="18:30" x14ac:dyDescent="0.25">
      <c r="R1647" s="491"/>
      <c r="S1647" s="491"/>
      <c r="T1647" s="491"/>
      <c r="U1647" s="491"/>
      <c r="V1647" s="491"/>
      <c r="W1647" s="491"/>
      <c r="X1647" s="491"/>
      <c r="Y1647" s="491"/>
      <c r="Z1647" s="491"/>
      <c r="AA1647" s="491"/>
      <c r="AB1647" s="491"/>
      <c r="AC1647" s="491"/>
      <c r="AD1647" s="493"/>
    </row>
    <row r="1648" spans="18:30" x14ac:dyDescent="0.25">
      <c r="R1648" s="491"/>
      <c r="S1648" s="491"/>
      <c r="T1648" s="491"/>
      <c r="U1648" s="491"/>
      <c r="V1648" s="491"/>
      <c r="W1648" s="491"/>
      <c r="X1648" s="491"/>
      <c r="Y1648" s="491"/>
      <c r="Z1648" s="491"/>
      <c r="AA1648" s="491"/>
      <c r="AB1648" s="491"/>
      <c r="AC1648" s="491"/>
      <c r="AD1648" s="493"/>
    </row>
    <row r="1649" spans="18:30" x14ac:dyDescent="0.25">
      <c r="R1649" s="491"/>
      <c r="S1649" s="491"/>
      <c r="T1649" s="491"/>
      <c r="U1649" s="491"/>
      <c r="V1649" s="491"/>
      <c r="W1649" s="491"/>
      <c r="X1649" s="491"/>
      <c r="Y1649" s="491"/>
      <c r="Z1649" s="491"/>
      <c r="AA1649" s="491"/>
      <c r="AB1649" s="491"/>
      <c r="AC1649" s="491"/>
      <c r="AD1649" s="493"/>
    </row>
    <row r="1650" spans="18:30" x14ac:dyDescent="0.25">
      <c r="R1650" s="491"/>
      <c r="S1650" s="491"/>
      <c r="T1650" s="491"/>
      <c r="U1650" s="491"/>
      <c r="V1650" s="491"/>
      <c r="W1650" s="491"/>
      <c r="X1650" s="491"/>
      <c r="Y1650" s="491"/>
      <c r="Z1650" s="491"/>
      <c r="AA1650" s="491"/>
      <c r="AB1650" s="491"/>
      <c r="AC1650" s="491"/>
      <c r="AD1650" s="493"/>
    </row>
    <row r="1651" spans="18:30" x14ac:dyDescent="0.25">
      <c r="R1651" s="491"/>
      <c r="S1651" s="491"/>
      <c r="T1651" s="491"/>
      <c r="U1651" s="491"/>
      <c r="V1651" s="491"/>
      <c r="W1651" s="491"/>
      <c r="X1651" s="491"/>
      <c r="Y1651" s="491"/>
      <c r="Z1651" s="491"/>
      <c r="AA1651" s="491"/>
      <c r="AB1651" s="491"/>
      <c r="AC1651" s="491"/>
      <c r="AD1651" s="493"/>
    </row>
    <row r="1652" spans="18:30" x14ac:dyDescent="0.25">
      <c r="R1652" s="491"/>
      <c r="S1652" s="491"/>
      <c r="T1652" s="491"/>
      <c r="U1652" s="491"/>
      <c r="V1652" s="491"/>
      <c r="W1652" s="491"/>
      <c r="X1652" s="491"/>
      <c r="Y1652" s="491"/>
      <c r="Z1652" s="491"/>
      <c r="AA1652" s="491"/>
      <c r="AB1652" s="491"/>
      <c r="AC1652" s="491"/>
      <c r="AD1652" s="493"/>
    </row>
    <row r="1653" spans="18:30" x14ac:dyDescent="0.25">
      <c r="R1653" s="491"/>
      <c r="S1653" s="491"/>
      <c r="T1653" s="491"/>
      <c r="U1653" s="491"/>
      <c r="V1653" s="491"/>
      <c r="W1653" s="491"/>
      <c r="X1653" s="491"/>
      <c r="Y1653" s="491"/>
      <c r="Z1653" s="491"/>
      <c r="AA1653" s="491"/>
      <c r="AB1653" s="491"/>
      <c r="AC1653" s="491"/>
      <c r="AD1653" s="493"/>
    </row>
    <row r="1654" spans="18:30" x14ac:dyDescent="0.25">
      <c r="R1654" s="491"/>
      <c r="S1654" s="491"/>
      <c r="T1654" s="491"/>
      <c r="U1654" s="491"/>
      <c r="V1654" s="491"/>
      <c r="W1654" s="491"/>
      <c r="X1654" s="491"/>
      <c r="Y1654" s="491"/>
      <c r="Z1654" s="491"/>
      <c r="AA1654" s="491"/>
      <c r="AB1654" s="491"/>
      <c r="AC1654" s="491"/>
      <c r="AD1654" s="493"/>
    </row>
    <row r="1655" spans="18:30" x14ac:dyDescent="0.25">
      <c r="R1655" s="491"/>
      <c r="S1655" s="491"/>
      <c r="T1655" s="491"/>
      <c r="U1655" s="491"/>
      <c r="V1655" s="491"/>
      <c r="W1655" s="491"/>
      <c r="X1655" s="491"/>
      <c r="Y1655" s="491"/>
      <c r="Z1655" s="491"/>
      <c r="AA1655" s="491"/>
      <c r="AB1655" s="491"/>
      <c r="AC1655" s="491"/>
      <c r="AD1655" s="493"/>
    </row>
    <row r="1656" spans="18:30" x14ac:dyDescent="0.25">
      <c r="R1656" s="491"/>
      <c r="S1656" s="491"/>
      <c r="T1656" s="491"/>
      <c r="U1656" s="491"/>
      <c r="V1656" s="491"/>
      <c r="W1656" s="491"/>
      <c r="X1656" s="491"/>
      <c r="Y1656" s="491"/>
      <c r="Z1656" s="491"/>
      <c r="AA1656" s="491"/>
      <c r="AB1656" s="491"/>
      <c r="AC1656" s="491"/>
      <c r="AD1656" s="493"/>
    </row>
    <row r="1657" spans="18:30" x14ac:dyDescent="0.25">
      <c r="R1657" s="491"/>
      <c r="S1657" s="491"/>
      <c r="T1657" s="491"/>
      <c r="U1657" s="491"/>
      <c r="V1657" s="491"/>
      <c r="W1657" s="491"/>
      <c r="X1657" s="491"/>
      <c r="Y1657" s="491"/>
      <c r="Z1657" s="491"/>
      <c r="AA1657" s="491"/>
      <c r="AB1657" s="491"/>
      <c r="AC1657" s="491"/>
      <c r="AD1657" s="493"/>
    </row>
    <row r="1658" spans="18:30" x14ac:dyDescent="0.25">
      <c r="R1658" s="491"/>
      <c r="S1658" s="491"/>
      <c r="T1658" s="491"/>
      <c r="U1658" s="491"/>
      <c r="V1658" s="491"/>
      <c r="W1658" s="491"/>
      <c r="X1658" s="491"/>
      <c r="Y1658" s="491"/>
      <c r="Z1658" s="491"/>
      <c r="AA1658" s="491"/>
      <c r="AB1658" s="491"/>
      <c r="AC1658" s="491"/>
      <c r="AD1658" s="493"/>
    </row>
    <row r="1659" spans="18:30" x14ac:dyDescent="0.25">
      <c r="R1659" s="491"/>
      <c r="S1659" s="491"/>
      <c r="T1659" s="491"/>
      <c r="U1659" s="491"/>
      <c r="V1659" s="491"/>
      <c r="W1659" s="491"/>
      <c r="X1659" s="491"/>
      <c r="Y1659" s="491"/>
      <c r="Z1659" s="491"/>
      <c r="AA1659" s="491"/>
      <c r="AB1659" s="491"/>
      <c r="AC1659" s="491"/>
      <c r="AD1659" s="493"/>
    </row>
    <row r="1660" spans="18:30" x14ac:dyDescent="0.25">
      <c r="R1660" s="491"/>
      <c r="S1660" s="491"/>
      <c r="T1660" s="491"/>
      <c r="U1660" s="491"/>
      <c r="V1660" s="491"/>
      <c r="W1660" s="491"/>
      <c r="X1660" s="491"/>
      <c r="Y1660" s="491"/>
      <c r="Z1660" s="491"/>
      <c r="AA1660" s="491"/>
      <c r="AB1660" s="491"/>
      <c r="AC1660" s="491"/>
      <c r="AD1660" s="493"/>
    </row>
    <row r="1661" spans="18:30" x14ac:dyDescent="0.25">
      <c r="R1661" s="491"/>
      <c r="S1661" s="491"/>
      <c r="T1661" s="491"/>
      <c r="U1661" s="491"/>
      <c r="V1661" s="491"/>
      <c r="W1661" s="491"/>
      <c r="X1661" s="491"/>
      <c r="Y1661" s="491"/>
      <c r="Z1661" s="491"/>
      <c r="AA1661" s="491"/>
      <c r="AB1661" s="491"/>
      <c r="AC1661" s="491"/>
      <c r="AD1661" s="493"/>
    </row>
    <row r="1662" spans="18:30" x14ac:dyDescent="0.25">
      <c r="R1662" s="491"/>
      <c r="S1662" s="491"/>
      <c r="T1662" s="491"/>
      <c r="U1662" s="491"/>
      <c r="V1662" s="491"/>
      <c r="W1662" s="491"/>
      <c r="X1662" s="491"/>
      <c r="Y1662" s="491"/>
      <c r="Z1662" s="491"/>
      <c r="AA1662" s="491"/>
      <c r="AB1662" s="491"/>
      <c r="AC1662" s="491"/>
      <c r="AD1662" s="493"/>
    </row>
    <row r="1663" spans="18:30" x14ac:dyDescent="0.25">
      <c r="R1663" s="491"/>
      <c r="S1663" s="491"/>
      <c r="T1663" s="491"/>
      <c r="U1663" s="491"/>
      <c r="V1663" s="491"/>
      <c r="W1663" s="491"/>
      <c r="X1663" s="491"/>
      <c r="Y1663" s="491"/>
      <c r="Z1663" s="491"/>
      <c r="AA1663" s="491"/>
      <c r="AB1663" s="491"/>
      <c r="AC1663" s="491"/>
      <c r="AD1663" s="493"/>
    </row>
    <row r="1664" spans="18:30" x14ac:dyDescent="0.25">
      <c r="R1664" s="491"/>
      <c r="S1664" s="491"/>
      <c r="T1664" s="491"/>
      <c r="U1664" s="491"/>
      <c r="V1664" s="491"/>
      <c r="W1664" s="491"/>
      <c r="X1664" s="491"/>
      <c r="Y1664" s="491"/>
      <c r="Z1664" s="491"/>
      <c r="AA1664" s="491"/>
      <c r="AB1664" s="491"/>
      <c r="AC1664" s="491"/>
      <c r="AD1664" s="493"/>
    </row>
    <row r="1665" spans="18:30" x14ac:dyDescent="0.25">
      <c r="R1665" s="491"/>
      <c r="S1665" s="491"/>
      <c r="T1665" s="491"/>
      <c r="U1665" s="491"/>
      <c r="V1665" s="491"/>
      <c r="W1665" s="491"/>
      <c r="X1665" s="491"/>
      <c r="Y1665" s="491"/>
      <c r="Z1665" s="491"/>
      <c r="AA1665" s="491"/>
      <c r="AB1665" s="491"/>
      <c r="AC1665" s="491"/>
      <c r="AD1665" s="493"/>
    </row>
    <row r="1666" spans="18:30" x14ac:dyDescent="0.25">
      <c r="R1666" s="491"/>
      <c r="S1666" s="491"/>
      <c r="T1666" s="491"/>
      <c r="U1666" s="491"/>
      <c r="V1666" s="491"/>
      <c r="W1666" s="491"/>
      <c r="X1666" s="491"/>
      <c r="Y1666" s="491"/>
      <c r="Z1666" s="491"/>
      <c r="AA1666" s="491"/>
      <c r="AB1666" s="491"/>
      <c r="AC1666" s="491"/>
      <c r="AD1666" s="493"/>
    </row>
    <row r="1667" spans="18:30" x14ac:dyDescent="0.25">
      <c r="R1667" s="491"/>
      <c r="S1667" s="491"/>
      <c r="T1667" s="491"/>
      <c r="U1667" s="491"/>
      <c r="V1667" s="491"/>
      <c r="W1667" s="491"/>
      <c r="X1667" s="491"/>
      <c r="Y1667" s="491"/>
      <c r="Z1667" s="491"/>
      <c r="AA1667" s="491"/>
      <c r="AB1667" s="491"/>
      <c r="AC1667" s="491"/>
      <c r="AD1667" s="493"/>
    </row>
    <row r="1668" spans="18:30" x14ac:dyDescent="0.25">
      <c r="R1668" s="491"/>
      <c r="S1668" s="491"/>
      <c r="T1668" s="491"/>
      <c r="U1668" s="491"/>
      <c r="V1668" s="491"/>
      <c r="W1668" s="491"/>
      <c r="X1668" s="491"/>
      <c r="Y1668" s="491"/>
      <c r="Z1668" s="491"/>
      <c r="AA1668" s="491"/>
      <c r="AB1668" s="491"/>
      <c r="AC1668" s="491"/>
      <c r="AD1668" s="493"/>
    </row>
    <row r="1669" spans="18:30" x14ac:dyDescent="0.25">
      <c r="R1669" s="491"/>
      <c r="S1669" s="491"/>
      <c r="T1669" s="491"/>
      <c r="U1669" s="491"/>
      <c r="V1669" s="491"/>
      <c r="W1669" s="491"/>
      <c r="X1669" s="491"/>
      <c r="Y1669" s="491"/>
      <c r="Z1669" s="491"/>
      <c r="AA1669" s="491"/>
      <c r="AB1669" s="491"/>
      <c r="AC1669" s="491"/>
      <c r="AD1669" s="493"/>
    </row>
    <row r="1670" spans="18:30" x14ac:dyDescent="0.25">
      <c r="R1670" s="491"/>
      <c r="S1670" s="491"/>
      <c r="T1670" s="491"/>
      <c r="U1670" s="491"/>
      <c r="V1670" s="491"/>
      <c r="W1670" s="491"/>
      <c r="X1670" s="491"/>
      <c r="Y1670" s="491"/>
      <c r="Z1670" s="491"/>
      <c r="AA1670" s="491"/>
      <c r="AB1670" s="491"/>
      <c r="AC1670" s="491"/>
      <c r="AD1670" s="493"/>
    </row>
    <row r="1671" spans="18:30" x14ac:dyDescent="0.25">
      <c r="R1671" s="491"/>
      <c r="S1671" s="491"/>
      <c r="T1671" s="491"/>
      <c r="U1671" s="491"/>
      <c r="V1671" s="491"/>
      <c r="W1671" s="491"/>
      <c r="X1671" s="491"/>
      <c r="Y1671" s="491"/>
      <c r="Z1671" s="491"/>
      <c r="AA1671" s="491"/>
      <c r="AB1671" s="491"/>
      <c r="AC1671" s="491"/>
      <c r="AD1671" s="493"/>
    </row>
    <row r="1672" spans="18:30" x14ac:dyDescent="0.25">
      <c r="R1672" s="491"/>
      <c r="S1672" s="491"/>
      <c r="T1672" s="491"/>
      <c r="U1672" s="491"/>
      <c r="V1672" s="491"/>
      <c r="W1672" s="491"/>
      <c r="X1672" s="491"/>
      <c r="Y1672" s="491"/>
      <c r="Z1672" s="491"/>
      <c r="AA1672" s="491"/>
      <c r="AB1672" s="491"/>
      <c r="AC1672" s="491"/>
      <c r="AD1672" s="493"/>
    </row>
    <row r="1673" spans="18:30" x14ac:dyDescent="0.25">
      <c r="R1673" s="491"/>
      <c r="S1673" s="491"/>
      <c r="T1673" s="491"/>
      <c r="U1673" s="491"/>
      <c r="V1673" s="491"/>
      <c r="W1673" s="491"/>
      <c r="X1673" s="491"/>
      <c r="Y1673" s="491"/>
      <c r="Z1673" s="491"/>
      <c r="AA1673" s="491"/>
      <c r="AB1673" s="491"/>
      <c r="AC1673" s="491"/>
      <c r="AD1673" s="493"/>
    </row>
    <row r="1674" spans="18:30" x14ac:dyDescent="0.25">
      <c r="R1674" s="491"/>
      <c r="S1674" s="491"/>
      <c r="T1674" s="491"/>
      <c r="U1674" s="491"/>
      <c r="V1674" s="491"/>
      <c r="W1674" s="491"/>
      <c r="X1674" s="491"/>
      <c r="Y1674" s="491"/>
      <c r="Z1674" s="491"/>
      <c r="AA1674" s="491"/>
      <c r="AB1674" s="491"/>
      <c r="AC1674" s="491"/>
      <c r="AD1674" s="493"/>
    </row>
    <row r="1675" spans="18:30" x14ac:dyDescent="0.25">
      <c r="R1675" s="491"/>
      <c r="S1675" s="491"/>
      <c r="T1675" s="491"/>
      <c r="U1675" s="491"/>
      <c r="V1675" s="491"/>
      <c r="W1675" s="491"/>
      <c r="X1675" s="491"/>
      <c r="Y1675" s="491"/>
      <c r="Z1675" s="491"/>
      <c r="AA1675" s="491"/>
      <c r="AB1675" s="491"/>
      <c r="AC1675" s="491"/>
      <c r="AD1675" s="493"/>
    </row>
    <row r="1676" spans="18:30" x14ac:dyDescent="0.25">
      <c r="R1676" s="491"/>
      <c r="S1676" s="491"/>
      <c r="T1676" s="491"/>
      <c r="U1676" s="491"/>
      <c r="V1676" s="491"/>
      <c r="W1676" s="491"/>
      <c r="X1676" s="491"/>
      <c r="Y1676" s="491"/>
      <c r="Z1676" s="491"/>
      <c r="AA1676" s="491"/>
      <c r="AB1676" s="491"/>
      <c r="AC1676" s="491"/>
      <c r="AD1676" s="493"/>
    </row>
    <row r="1677" spans="18:30" x14ac:dyDescent="0.25">
      <c r="R1677" s="491"/>
      <c r="S1677" s="491"/>
      <c r="T1677" s="491"/>
      <c r="U1677" s="491"/>
      <c r="V1677" s="491"/>
      <c r="W1677" s="491"/>
      <c r="X1677" s="491"/>
      <c r="Y1677" s="491"/>
      <c r="Z1677" s="491"/>
      <c r="AA1677" s="491"/>
      <c r="AB1677" s="491"/>
      <c r="AC1677" s="491"/>
      <c r="AD1677" s="493"/>
    </row>
    <row r="1678" spans="18:30" x14ac:dyDescent="0.25">
      <c r="R1678" s="491"/>
      <c r="S1678" s="491"/>
      <c r="T1678" s="491"/>
      <c r="U1678" s="491"/>
      <c r="V1678" s="491"/>
      <c r="W1678" s="491"/>
      <c r="X1678" s="491"/>
      <c r="Y1678" s="491"/>
      <c r="Z1678" s="491"/>
      <c r="AA1678" s="491"/>
      <c r="AB1678" s="491"/>
      <c r="AC1678" s="491"/>
      <c r="AD1678" s="493"/>
    </row>
    <row r="1679" spans="18:30" x14ac:dyDescent="0.25">
      <c r="R1679" s="491"/>
      <c r="S1679" s="491"/>
      <c r="T1679" s="491"/>
      <c r="U1679" s="491"/>
      <c r="V1679" s="491"/>
      <c r="W1679" s="491"/>
      <c r="X1679" s="491"/>
      <c r="Y1679" s="491"/>
      <c r="Z1679" s="491"/>
      <c r="AA1679" s="491"/>
      <c r="AB1679" s="491"/>
      <c r="AC1679" s="491"/>
      <c r="AD1679" s="493"/>
    </row>
    <row r="1680" spans="18:30" x14ac:dyDescent="0.25">
      <c r="R1680" s="491"/>
      <c r="S1680" s="491"/>
      <c r="T1680" s="491"/>
      <c r="U1680" s="491"/>
      <c r="V1680" s="491"/>
      <c r="W1680" s="491"/>
      <c r="X1680" s="491"/>
      <c r="Y1680" s="491"/>
      <c r="Z1680" s="491"/>
      <c r="AA1680" s="491"/>
      <c r="AB1680" s="491"/>
      <c r="AC1680" s="491"/>
      <c r="AD1680" s="493"/>
    </row>
    <row r="1681" spans="18:30" x14ac:dyDescent="0.25">
      <c r="R1681" s="491"/>
      <c r="S1681" s="491"/>
      <c r="T1681" s="491"/>
      <c r="U1681" s="491"/>
      <c r="V1681" s="491"/>
      <c r="W1681" s="491"/>
      <c r="X1681" s="491"/>
      <c r="Y1681" s="491"/>
      <c r="Z1681" s="491"/>
      <c r="AA1681" s="491"/>
      <c r="AB1681" s="491"/>
      <c r="AC1681" s="491"/>
      <c r="AD1681" s="493"/>
    </row>
    <row r="1682" spans="18:30" x14ac:dyDescent="0.25">
      <c r="R1682" s="491"/>
      <c r="S1682" s="491"/>
      <c r="T1682" s="491"/>
      <c r="U1682" s="491"/>
      <c r="V1682" s="491"/>
      <c r="W1682" s="491"/>
      <c r="X1682" s="491"/>
      <c r="Y1682" s="491"/>
      <c r="Z1682" s="491"/>
      <c r="AA1682" s="491"/>
      <c r="AB1682" s="491"/>
      <c r="AC1682" s="491"/>
      <c r="AD1682" s="493"/>
    </row>
    <row r="1683" spans="18:30" x14ac:dyDescent="0.25">
      <c r="R1683" s="491"/>
      <c r="S1683" s="491"/>
      <c r="T1683" s="491"/>
      <c r="U1683" s="491"/>
      <c r="V1683" s="491"/>
      <c r="W1683" s="491"/>
      <c r="X1683" s="491"/>
      <c r="Y1683" s="491"/>
      <c r="Z1683" s="491"/>
      <c r="AA1683" s="491"/>
      <c r="AB1683" s="491"/>
      <c r="AC1683" s="491"/>
      <c r="AD1683" s="493"/>
    </row>
    <row r="1684" spans="18:30" x14ac:dyDescent="0.25">
      <c r="R1684" s="491"/>
      <c r="S1684" s="491"/>
      <c r="T1684" s="491"/>
      <c r="U1684" s="491"/>
      <c r="V1684" s="491"/>
      <c r="W1684" s="491"/>
      <c r="X1684" s="491"/>
      <c r="Y1684" s="491"/>
      <c r="Z1684" s="491"/>
      <c r="AA1684" s="491"/>
      <c r="AB1684" s="491"/>
      <c r="AC1684" s="491"/>
      <c r="AD1684" s="493"/>
    </row>
    <row r="1685" spans="18:30" x14ac:dyDescent="0.25">
      <c r="R1685" s="491"/>
      <c r="S1685" s="491"/>
      <c r="T1685" s="491"/>
      <c r="U1685" s="491"/>
      <c r="V1685" s="491"/>
      <c r="W1685" s="491"/>
      <c r="X1685" s="491"/>
      <c r="Y1685" s="491"/>
      <c r="Z1685" s="491"/>
      <c r="AA1685" s="491"/>
      <c r="AB1685" s="491"/>
      <c r="AC1685" s="491"/>
      <c r="AD1685" s="493"/>
    </row>
    <row r="1686" spans="18:30" x14ac:dyDescent="0.25">
      <c r="R1686" s="491"/>
      <c r="S1686" s="491"/>
      <c r="T1686" s="491"/>
      <c r="U1686" s="491"/>
      <c r="V1686" s="491"/>
      <c r="W1686" s="491"/>
      <c r="X1686" s="491"/>
      <c r="Y1686" s="491"/>
      <c r="Z1686" s="491"/>
      <c r="AA1686" s="491"/>
      <c r="AB1686" s="491"/>
      <c r="AC1686" s="491"/>
      <c r="AD1686" s="493"/>
    </row>
    <row r="1687" spans="18:30" x14ac:dyDescent="0.25">
      <c r="R1687" s="491"/>
      <c r="S1687" s="491"/>
      <c r="T1687" s="491"/>
      <c r="U1687" s="491"/>
      <c r="V1687" s="491"/>
      <c r="W1687" s="491"/>
      <c r="X1687" s="491"/>
      <c r="Y1687" s="491"/>
      <c r="Z1687" s="491"/>
      <c r="AA1687" s="491"/>
      <c r="AB1687" s="491"/>
      <c r="AC1687" s="491"/>
      <c r="AD1687" s="493"/>
    </row>
    <row r="1688" spans="18:30" x14ac:dyDescent="0.25">
      <c r="R1688" s="491"/>
      <c r="S1688" s="491"/>
      <c r="T1688" s="491"/>
      <c r="U1688" s="491"/>
      <c r="V1688" s="491"/>
      <c r="W1688" s="491"/>
      <c r="X1688" s="491"/>
      <c r="Y1688" s="491"/>
      <c r="Z1688" s="491"/>
      <c r="AA1688" s="491"/>
      <c r="AB1688" s="491"/>
      <c r="AC1688" s="491"/>
      <c r="AD1688" s="493"/>
    </row>
    <row r="1689" spans="18:30" x14ac:dyDescent="0.25">
      <c r="R1689" s="491"/>
      <c r="S1689" s="491"/>
      <c r="T1689" s="491"/>
      <c r="U1689" s="491"/>
      <c r="V1689" s="491"/>
      <c r="W1689" s="491"/>
      <c r="X1689" s="491"/>
      <c r="Y1689" s="491"/>
      <c r="Z1689" s="491"/>
      <c r="AA1689" s="491"/>
      <c r="AB1689" s="491"/>
      <c r="AC1689" s="491"/>
      <c r="AD1689" s="493"/>
    </row>
    <row r="1690" spans="18:30" x14ac:dyDescent="0.25">
      <c r="R1690" s="491"/>
      <c r="S1690" s="491"/>
      <c r="T1690" s="491"/>
      <c r="U1690" s="491"/>
      <c r="V1690" s="491"/>
      <c r="W1690" s="491"/>
      <c r="X1690" s="491"/>
      <c r="Y1690" s="491"/>
      <c r="Z1690" s="491"/>
      <c r="AA1690" s="491"/>
      <c r="AB1690" s="491"/>
      <c r="AC1690" s="491"/>
      <c r="AD1690" s="493"/>
    </row>
    <row r="1691" spans="18:30" x14ac:dyDescent="0.25">
      <c r="R1691" s="491"/>
      <c r="S1691" s="491"/>
      <c r="T1691" s="491"/>
      <c r="U1691" s="491"/>
      <c r="V1691" s="491"/>
      <c r="W1691" s="491"/>
      <c r="X1691" s="491"/>
      <c r="Y1691" s="491"/>
      <c r="Z1691" s="491"/>
      <c r="AA1691" s="491"/>
      <c r="AB1691" s="491"/>
      <c r="AC1691" s="491"/>
      <c r="AD1691" s="493"/>
    </row>
    <row r="1692" spans="18:30" x14ac:dyDescent="0.25">
      <c r="R1692" s="491"/>
      <c r="S1692" s="491"/>
      <c r="T1692" s="491"/>
      <c r="U1692" s="491"/>
      <c r="V1692" s="491"/>
      <c r="W1692" s="491"/>
      <c r="X1692" s="491"/>
      <c r="Y1692" s="491"/>
      <c r="Z1692" s="491"/>
      <c r="AA1692" s="491"/>
      <c r="AB1692" s="491"/>
      <c r="AC1692" s="491"/>
      <c r="AD1692" s="493"/>
    </row>
    <row r="1693" spans="18:30" x14ac:dyDescent="0.25">
      <c r="R1693" s="491"/>
      <c r="S1693" s="491"/>
      <c r="T1693" s="491"/>
      <c r="U1693" s="491"/>
      <c r="V1693" s="491"/>
      <c r="W1693" s="491"/>
      <c r="X1693" s="491"/>
      <c r="Y1693" s="491"/>
      <c r="Z1693" s="491"/>
      <c r="AA1693" s="491"/>
      <c r="AB1693" s="491"/>
      <c r="AC1693" s="491"/>
      <c r="AD1693" s="493"/>
    </row>
    <row r="1694" spans="18:30" x14ac:dyDescent="0.25">
      <c r="R1694" s="491"/>
      <c r="S1694" s="491"/>
      <c r="T1694" s="491"/>
      <c r="U1694" s="491"/>
      <c r="V1694" s="491"/>
      <c r="W1694" s="491"/>
      <c r="X1694" s="491"/>
      <c r="Y1694" s="491"/>
      <c r="Z1694" s="491"/>
      <c r="AA1694" s="491"/>
      <c r="AB1694" s="491"/>
      <c r="AC1694" s="491"/>
      <c r="AD1694" s="493"/>
    </row>
    <row r="1695" spans="18:30" x14ac:dyDescent="0.25">
      <c r="R1695" s="491"/>
      <c r="S1695" s="491"/>
      <c r="T1695" s="491"/>
      <c r="U1695" s="491"/>
      <c r="V1695" s="491"/>
      <c r="W1695" s="491"/>
      <c r="X1695" s="491"/>
      <c r="Y1695" s="491"/>
      <c r="Z1695" s="491"/>
      <c r="AA1695" s="491"/>
      <c r="AB1695" s="491"/>
      <c r="AC1695" s="491"/>
      <c r="AD1695" s="493"/>
    </row>
    <row r="1696" spans="18:30" x14ac:dyDescent="0.25">
      <c r="R1696" s="491"/>
      <c r="S1696" s="491"/>
      <c r="T1696" s="491"/>
      <c r="U1696" s="491"/>
      <c r="V1696" s="491"/>
      <c r="W1696" s="491"/>
      <c r="X1696" s="491"/>
      <c r="Y1696" s="491"/>
      <c r="Z1696" s="491"/>
      <c r="AA1696" s="491"/>
      <c r="AB1696" s="491"/>
      <c r="AC1696" s="491"/>
      <c r="AD1696" s="493"/>
    </row>
    <row r="1697" spans="18:30" x14ac:dyDescent="0.25">
      <c r="R1697" s="491"/>
      <c r="S1697" s="491"/>
      <c r="T1697" s="491"/>
      <c r="U1697" s="491"/>
      <c r="V1697" s="491"/>
      <c r="W1697" s="491"/>
      <c r="X1697" s="491"/>
      <c r="Y1697" s="491"/>
      <c r="Z1697" s="491"/>
      <c r="AA1697" s="491"/>
      <c r="AB1697" s="491"/>
      <c r="AC1697" s="491"/>
      <c r="AD1697" s="493"/>
    </row>
    <row r="1698" spans="18:30" x14ac:dyDescent="0.25">
      <c r="R1698" s="491"/>
      <c r="S1698" s="491"/>
      <c r="T1698" s="491"/>
      <c r="U1698" s="491"/>
      <c r="V1698" s="491"/>
      <c r="W1698" s="491"/>
      <c r="X1698" s="491"/>
      <c r="Y1698" s="491"/>
      <c r="Z1698" s="491"/>
      <c r="AA1698" s="491"/>
      <c r="AB1698" s="491"/>
      <c r="AC1698" s="491"/>
      <c r="AD1698" s="493"/>
    </row>
    <row r="1699" spans="18:30" x14ac:dyDescent="0.25">
      <c r="R1699" s="491"/>
      <c r="S1699" s="491"/>
      <c r="T1699" s="491"/>
      <c r="U1699" s="491"/>
      <c r="V1699" s="491"/>
      <c r="W1699" s="491"/>
      <c r="X1699" s="491"/>
      <c r="Y1699" s="491"/>
      <c r="Z1699" s="491"/>
      <c r="AA1699" s="491"/>
      <c r="AB1699" s="491"/>
      <c r="AC1699" s="491"/>
      <c r="AD1699" s="493"/>
    </row>
    <row r="1700" spans="18:30" x14ac:dyDescent="0.25">
      <c r="R1700" s="491"/>
      <c r="S1700" s="491"/>
      <c r="T1700" s="491"/>
      <c r="U1700" s="491"/>
      <c r="V1700" s="491"/>
      <c r="W1700" s="491"/>
      <c r="X1700" s="491"/>
      <c r="Y1700" s="491"/>
      <c r="Z1700" s="491"/>
      <c r="AA1700" s="491"/>
      <c r="AB1700" s="491"/>
      <c r="AC1700" s="491"/>
      <c r="AD1700" s="493"/>
    </row>
    <row r="1701" spans="18:30" x14ac:dyDescent="0.25">
      <c r="R1701" s="491"/>
      <c r="S1701" s="491"/>
      <c r="T1701" s="491"/>
      <c r="U1701" s="491"/>
      <c r="V1701" s="491"/>
      <c r="W1701" s="491"/>
      <c r="X1701" s="491"/>
      <c r="Y1701" s="491"/>
      <c r="Z1701" s="491"/>
      <c r="AA1701" s="491"/>
      <c r="AB1701" s="491"/>
      <c r="AC1701" s="491"/>
      <c r="AD1701" s="493"/>
    </row>
    <row r="1702" spans="18:30" x14ac:dyDescent="0.25">
      <c r="R1702" s="491"/>
      <c r="S1702" s="491"/>
      <c r="T1702" s="491"/>
      <c r="U1702" s="491"/>
      <c r="V1702" s="491"/>
      <c r="W1702" s="491"/>
      <c r="X1702" s="491"/>
      <c r="Y1702" s="491"/>
      <c r="Z1702" s="491"/>
      <c r="AA1702" s="491"/>
      <c r="AB1702" s="491"/>
      <c r="AC1702" s="491"/>
      <c r="AD1702" s="493"/>
    </row>
    <row r="1703" spans="18:30" x14ac:dyDescent="0.25">
      <c r="R1703" s="491"/>
      <c r="S1703" s="491"/>
      <c r="T1703" s="491"/>
      <c r="U1703" s="491"/>
      <c r="V1703" s="491"/>
      <c r="W1703" s="491"/>
      <c r="X1703" s="491"/>
      <c r="Y1703" s="491"/>
      <c r="Z1703" s="491"/>
      <c r="AA1703" s="491"/>
      <c r="AB1703" s="491"/>
      <c r="AC1703" s="491"/>
      <c r="AD1703" s="493"/>
    </row>
    <row r="1704" spans="18:30" x14ac:dyDescent="0.25">
      <c r="R1704" s="491"/>
      <c r="S1704" s="491"/>
      <c r="T1704" s="491"/>
      <c r="U1704" s="491"/>
      <c r="V1704" s="491"/>
      <c r="W1704" s="491"/>
      <c r="X1704" s="491"/>
      <c r="Y1704" s="491"/>
      <c r="Z1704" s="491"/>
      <c r="AA1704" s="491"/>
      <c r="AB1704" s="491"/>
      <c r="AC1704" s="491"/>
      <c r="AD1704" s="493"/>
    </row>
    <row r="1705" spans="18:30" x14ac:dyDescent="0.25">
      <c r="R1705" s="491"/>
      <c r="S1705" s="491"/>
      <c r="T1705" s="491"/>
      <c r="U1705" s="491"/>
      <c r="V1705" s="491"/>
      <c r="W1705" s="491"/>
      <c r="X1705" s="491"/>
      <c r="Y1705" s="491"/>
      <c r="Z1705" s="491"/>
      <c r="AA1705" s="491"/>
      <c r="AB1705" s="491"/>
      <c r="AC1705" s="491"/>
      <c r="AD1705" s="493"/>
    </row>
    <row r="1706" spans="18:30" x14ac:dyDescent="0.25">
      <c r="R1706" s="491"/>
      <c r="S1706" s="491"/>
      <c r="T1706" s="491"/>
      <c r="U1706" s="491"/>
      <c r="V1706" s="491"/>
      <c r="W1706" s="491"/>
      <c r="X1706" s="491"/>
      <c r="Y1706" s="491"/>
      <c r="Z1706" s="491"/>
      <c r="AA1706" s="491"/>
      <c r="AB1706" s="491"/>
      <c r="AC1706" s="491"/>
      <c r="AD1706" s="493"/>
    </row>
    <row r="1707" spans="18:30" x14ac:dyDescent="0.25">
      <c r="R1707" s="491"/>
      <c r="S1707" s="491"/>
      <c r="T1707" s="491"/>
      <c r="U1707" s="491"/>
      <c r="V1707" s="491"/>
      <c r="W1707" s="491"/>
      <c r="X1707" s="491"/>
      <c r="Y1707" s="491"/>
      <c r="Z1707" s="491"/>
      <c r="AA1707" s="491"/>
      <c r="AB1707" s="491"/>
      <c r="AC1707" s="491"/>
      <c r="AD1707" s="493"/>
    </row>
    <row r="1708" spans="18:30" x14ac:dyDescent="0.25">
      <c r="R1708" s="491"/>
      <c r="S1708" s="491"/>
      <c r="T1708" s="491"/>
      <c r="U1708" s="491"/>
      <c r="V1708" s="491"/>
      <c r="W1708" s="491"/>
      <c r="X1708" s="491"/>
      <c r="Y1708" s="491"/>
      <c r="Z1708" s="491"/>
      <c r="AA1708" s="491"/>
      <c r="AB1708" s="491"/>
      <c r="AC1708" s="491"/>
      <c r="AD1708" s="493"/>
    </row>
    <row r="1709" spans="18:30" x14ac:dyDescent="0.25">
      <c r="R1709" s="491"/>
      <c r="S1709" s="491"/>
      <c r="T1709" s="491"/>
      <c r="U1709" s="491"/>
      <c r="V1709" s="491"/>
      <c r="W1709" s="491"/>
      <c r="X1709" s="491"/>
      <c r="Y1709" s="491"/>
      <c r="Z1709" s="491"/>
      <c r="AA1709" s="491"/>
      <c r="AB1709" s="491"/>
      <c r="AC1709" s="491"/>
      <c r="AD1709" s="493"/>
    </row>
    <row r="1710" spans="18:30" x14ac:dyDescent="0.25">
      <c r="R1710" s="491"/>
      <c r="S1710" s="491"/>
      <c r="T1710" s="491"/>
      <c r="U1710" s="491"/>
      <c r="V1710" s="491"/>
      <c r="W1710" s="491"/>
      <c r="X1710" s="491"/>
      <c r="Y1710" s="491"/>
      <c r="Z1710" s="491"/>
      <c r="AA1710" s="491"/>
      <c r="AB1710" s="491"/>
      <c r="AC1710" s="491"/>
      <c r="AD1710" s="493"/>
    </row>
    <row r="1711" spans="18:30" x14ac:dyDescent="0.25">
      <c r="R1711" s="491"/>
      <c r="S1711" s="491"/>
      <c r="T1711" s="491"/>
      <c r="U1711" s="491"/>
      <c r="V1711" s="491"/>
      <c r="W1711" s="491"/>
      <c r="X1711" s="491"/>
      <c r="Y1711" s="491"/>
      <c r="Z1711" s="491"/>
      <c r="AA1711" s="491"/>
      <c r="AB1711" s="491"/>
      <c r="AC1711" s="491"/>
      <c r="AD1711" s="493"/>
    </row>
    <row r="1712" spans="18:30" x14ac:dyDescent="0.25">
      <c r="R1712" s="491"/>
      <c r="S1712" s="491"/>
      <c r="T1712" s="491"/>
      <c r="U1712" s="491"/>
      <c r="V1712" s="491"/>
      <c r="W1712" s="491"/>
      <c r="X1712" s="491"/>
      <c r="Y1712" s="491"/>
      <c r="Z1712" s="491"/>
      <c r="AA1712" s="491"/>
      <c r="AB1712" s="491"/>
      <c r="AC1712" s="491"/>
      <c r="AD1712" s="493"/>
    </row>
    <row r="1713" spans="18:30" x14ac:dyDescent="0.25">
      <c r="R1713" s="491"/>
      <c r="S1713" s="491"/>
      <c r="T1713" s="491"/>
      <c r="U1713" s="491"/>
      <c r="V1713" s="491"/>
      <c r="W1713" s="491"/>
      <c r="X1713" s="491"/>
      <c r="Y1713" s="491"/>
      <c r="Z1713" s="491"/>
      <c r="AA1713" s="491"/>
      <c r="AB1713" s="491"/>
      <c r="AC1713" s="491"/>
      <c r="AD1713" s="493"/>
    </row>
    <row r="1714" spans="18:30" x14ac:dyDescent="0.25">
      <c r="R1714" s="491"/>
      <c r="S1714" s="491"/>
      <c r="T1714" s="491"/>
      <c r="U1714" s="491"/>
      <c r="V1714" s="491"/>
      <c r="W1714" s="491"/>
      <c r="X1714" s="491"/>
      <c r="Y1714" s="491"/>
      <c r="Z1714" s="491"/>
      <c r="AA1714" s="491"/>
      <c r="AB1714" s="491"/>
      <c r="AC1714" s="491"/>
      <c r="AD1714" s="493"/>
    </row>
    <row r="1715" spans="18:30" x14ac:dyDescent="0.25">
      <c r="R1715" s="491"/>
      <c r="S1715" s="491"/>
      <c r="T1715" s="491"/>
      <c r="U1715" s="491"/>
      <c r="V1715" s="491"/>
      <c r="W1715" s="491"/>
      <c r="X1715" s="491"/>
      <c r="Y1715" s="491"/>
      <c r="Z1715" s="491"/>
      <c r="AA1715" s="491"/>
      <c r="AB1715" s="491"/>
      <c r="AC1715" s="491"/>
      <c r="AD1715" s="493"/>
    </row>
    <row r="1716" spans="18:30" x14ac:dyDescent="0.25">
      <c r="R1716" s="491"/>
      <c r="S1716" s="491"/>
      <c r="T1716" s="491"/>
      <c r="U1716" s="491"/>
      <c r="V1716" s="491"/>
      <c r="W1716" s="491"/>
      <c r="X1716" s="491"/>
      <c r="Y1716" s="491"/>
      <c r="Z1716" s="491"/>
      <c r="AA1716" s="491"/>
      <c r="AB1716" s="491"/>
      <c r="AC1716" s="491"/>
      <c r="AD1716" s="493"/>
    </row>
    <row r="1717" spans="18:30" x14ac:dyDescent="0.25">
      <c r="R1717" s="491"/>
      <c r="S1717" s="491"/>
      <c r="T1717" s="491"/>
      <c r="U1717" s="491"/>
      <c r="V1717" s="491"/>
      <c r="W1717" s="491"/>
      <c r="X1717" s="491"/>
      <c r="Y1717" s="491"/>
      <c r="Z1717" s="491"/>
      <c r="AA1717" s="491"/>
      <c r="AB1717" s="491"/>
      <c r="AC1717" s="491"/>
      <c r="AD1717" s="493"/>
    </row>
    <row r="1718" spans="18:30" x14ac:dyDescent="0.25">
      <c r="R1718" s="491"/>
      <c r="S1718" s="491"/>
      <c r="T1718" s="491"/>
      <c r="U1718" s="491"/>
      <c r="V1718" s="491"/>
      <c r="W1718" s="491"/>
      <c r="X1718" s="491"/>
      <c r="Y1718" s="491"/>
      <c r="Z1718" s="491"/>
      <c r="AA1718" s="491"/>
      <c r="AB1718" s="491"/>
      <c r="AC1718" s="491"/>
      <c r="AD1718" s="493"/>
    </row>
    <row r="1719" spans="18:30" x14ac:dyDescent="0.25">
      <c r="R1719" s="491"/>
      <c r="S1719" s="491"/>
      <c r="T1719" s="491"/>
      <c r="U1719" s="491"/>
      <c r="V1719" s="491"/>
      <c r="W1719" s="491"/>
      <c r="X1719" s="491"/>
      <c r="Y1719" s="491"/>
      <c r="Z1719" s="491"/>
      <c r="AA1719" s="491"/>
      <c r="AB1719" s="491"/>
      <c r="AC1719" s="491"/>
      <c r="AD1719" s="493"/>
    </row>
    <row r="1720" spans="18:30" x14ac:dyDescent="0.25">
      <c r="R1720" s="491"/>
      <c r="S1720" s="491"/>
      <c r="T1720" s="491"/>
      <c r="U1720" s="491"/>
      <c r="V1720" s="491"/>
      <c r="W1720" s="491"/>
      <c r="X1720" s="491"/>
      <c r="Y1720" s="491"/>
      <c r="Z1720" s="491"/>
      <c r="AA1720" s="491"/>
      <c r="AB1720" s="491"/>
      <c r="AC1720" s="491"/>
      <c r="AD1720" s="493"/>
    </row>
    <row r="1721" spans="18:30" x14ac:dyDescent="0.25">
      <c r="R1721" s="491"/>
      <c r="S1721" s="491"/>
      <c r="T1721" s="491"/>
      <c r="U1721" s="491"/>
      <c r="V1721" s="491"/>
      <c r="W1721" s="491"/>
      <c r="X1721" s="491"/>
      <c r="Y1721" s="491"/>
      <c r="Z1721" s="491"/>
      <c r="AA1721" s="491"/>
      <c r="AB1721" s="491"/>
      <c r="AC1721" s="491"/>
      <c r="AD1721" s="493"/>
    </row>
    <row r="1722" spans="18:30" x14ac:dyDescent="0.25">
      <c r="R1722" s="491"/>
      <c r="S1722" s="491"/>
      <c r="T1722" s="491"/>
      <c r="U1722" s="491"/>
      <c r="V1722" s="491"/>
      <c r="W1722" s="491"/>
      <c r="X1722" s="491"/>
      <c r="Y1722" s="491"/>
      <c r="Z1722" s="491"/>
      <c r="AA1722" s="491"/>
      <c r="AB1722" s="491"/>
      <c r="AC1722" s="491"/>
      <c r="AD1722" s="493"/>
    </row>
    <row r="1723" spans="18:30" x14ac:dyDescent="0.25">
      <c r="R1723" s="491"/>
      <c r="S1723" s="491"/>
      <c r="T1723" s="491"/>
      <c r="U1723" s="491"/>
      <c r="V1723" s="491"/>
      <c r="W1723" s="491"/>
      <c r="X1723" s="491"/>
      <c r="Y1723" s="491"/>
      <c r="Z1723" s="491"/>
      <c r="AA1723" s="491"/>
      <c r="AB1723" s="491"/>
      <c r="AC1723" s="491"/>
      <c r="AD1723" s="493"/>
    </row>
    <row r="1724" spans="18:30" x14ac:dyDescent="0.25">
      <c r="R1724" s="491"/>
      <c r="S1724" s="491"/>
      <c r="T1724" s="491"/>
      <c r="U1724" s="491"/>
      <c r="V1724" s="491"/>
      <c r="W1724" s="491"/>
      <c r="X1724" s="491"/>
      <c r="Y1724" s="491"/>
      <c r="Z1724" s="491"/>
      <c r="AA1724" s="491"/>
      <c r="AB1724" s="491"/>
      <c r="AC1724" s="491"/>
      <c r="AD1724" s="493"/>
    </row>
    <row r="1725" spans="18:30" x14ac:dyDescent="0.25">
      <c r="R1725" s="491"/>
      <c r="S1725" s="491"/>
      <c r="T1725" s="491"/>
      <c r="U1725" s="491"/>
      <c r="V1725" s="491"/>
      <c r="W1725" s="491"/>
      <c r="X1725" s="491"/>
      <c r="Y1725" s="491"/>
      <c r="Z1725" s="491"/>
      <c r="AA1725" s="491"/>
      <c r="AB1725" s="491"/>
      <c r="AC1725" s="491"/>
      <c r="AD1725" s="493"/>
    </row>
    <row r="1726" spans="18:30" x14ac:dyDescent="0.25">
      <c r="R1726" s="491"/>
      <c r="S1726" s="491"/>
      <c r="T1726" s="491"/>
      <c r="U1726" s="491"/>
      <c r="V1726" s="491"/>
      <c r="W1726" s="491"/>
      <c r="X1726" s="491"/>
      <c r="Y1726" s="491"/>
      <c r="Z1726" s="491"/>
      <c r="AA1726" s="491"/>
      <c r="AB1726" s="491"/>
      <c r="AC1726" s="491"/>
      <c r="AD1726" s="493"/>
    </row>
    <row r="1727" spans="18:30" x14ac:dyDescent="0.25">
      <c r="R1727" s="491"/>
      <c r="S1727" s="491"/>
      <c r="T1727" s="491"/>
      <c r="U1727" s="491"/>
      <c r="V1727" s="491"/>
      <c r="W1727" s="491"/>
      <c r="X1727" s="491"/>
      <c r="Y1727" s="491"/>
      <c r="Z1727" s="491"/>
      <c r="AA1727" s="491"/>
      <c r="AB1727" s="491"/>
      <c r="AC1727" s="491"/>
      <c r="AD1727" s="493"/>
    </row>
    <row r="1728" spans="18:30" x14ac:dyDescent="0.25">
      <c r="R1728" s="491"/>
      <c r="S1728" s="491"/>
      <c r="T1728" s="491"/>
      <c r="U1728" s="491"/>
      <c r="V1728" s="491"/>
      <c r="W1728" s="491"/>
      <c r="X1728" s="491"/>
      <c r="Y1728" s="491"/>
      <c r="Z1728" s="491"/>
      <c r="AA1728" s="491"/>
      <c r="AB1728" s="491"/>
      <c r="AC1728" s="491"/>
      <c r="AD1728" s="493"/>
    </row>
    <row r="1729" spans="18:30" x14ac:dyDescent="0.25">
      <c r="R1729" s="491"/>
      <c r="S1729" s="491"/>
      <c r="T1729" s="491"/>
      <c r="U1729" s="491"/>
      <c r="V1729" s="491"/>
      <c r="W1729" s="491"/>
      <c r="X1729" s="491"/>
      <c r="Y1729" s="491"/>
      <c r="Z1729" s="491"/>
      <c r="AA1729" s="491"/>
      <c r="AB1729" s="491"/>
      <c r="AC1729" s="491"/>
      <c r="AD1729" s="493"/>
    </row>
    <row r="1730" spans="18:30" x14ac:dyDescent="0.25">
      <c r="R1730" s="491"/>
      <c r="S1730" s="491"/>
      <c r="T1730" s="491"/>
      <c r="U1730" s="491"/>
      <c r="V1730" s="491"/>
      <c r="W1730" s="491"/>
      <c r="X1730" s="491"/>
      <c r="Y1730" s="491"/>
      <c r="Z1730" s="491"/>
      <c r="AA1730" s="491"/>
      <c r="AB1730" s="491"/>
      <c r="AC1730" s="491"/>
      <c r="AD1730" s="493"/>
    </row>
    <row r="1731" spans="18:30" x14ac:dyDescent="0.25">
      <c r="R1731" s="491"/>
      <c r="S1731" s="491"/>
      <c r="T1731" s="491"/>
      <c r="U1731" s="491"/>
      <c r="V1731" s="491"/>
      <c r="W1731" s="491"/>
      <c r="X1731" s="491"/>
      <c r="Y1731" s="491"/>
      <c r="Z1731" s="491"/>
      <c r="AA1731" s="491"/>
      <c r="AB1731" s="491"/>
      <c r="AC1731" s="491"/>
      <c r="AD1731" s="493"/>
    </row>
    <row r="1732" spans="18:30" x14ac:dyDescent="0.25">
      <c r="R1732" s="491"/>
      <c r="S1732" s="491"/>
      <c r="T1732" s="491"/>
      <c r="U1732" s="491"/>
      <c r="V1732" s="491"/>
      <c r="W1732" s="491"/>
      <c r="X1732" s="491"/>
      <c r="Y1732" s="491"/>
      <c r="Z1732" s="491"/>
      <c r="AA1732" s="491"/>
      <c r="AB1732" s="491"/>
      <c r="AC1732" s="491"/>
      <c r="AD1732" s="493"/>
    </row>
    <row r="1733" spans="18:30" x14ac:dyDescent="0.25">
      <c r="R1733" s="491"/>
      <c r="S1733" s="491"/>
      <c r="T1733" s="491"/>
      <c r="U1733" s="491"/>
      <c r="V1733" s="491"/>
      <c r="W1733" s="491"/>
      <c r="X1733" s="491"/>
      <c r="Y1733" s="491"/>
      <c r="Z1733" s="491"/>
      <c r="AA1733" s="491"/>
      <c r="AB1733" s="491"/>
      <c r="AC1733" s="491"/>
      <c r="AD1733" s="493"/>
    </row>
    <row r="1734" spans="18:30" x14ac:dyDescent="0.25">
      <c r="R1734" s="491"/>
      <c r="S1734" s="491"/>
      <c r="T1734" s="491"/>
      <c r="U1734" s="491"/>
      <c r="V1734" s="491"/>
      <c r="W1734" s="491"/>
      <c r="X1734" s="491"/>
      <c r="Y1734" s="491"/>
      <c r="Z1734" s="491"/>
      <c r="AA1734" s="491"/>
      <c r="AB1734" s="491"/>
      <c r="AC1734" s="491"/>
      <c r="AD1734" s="493"/>
    </row>
    <row r="1735" spans="18:30" x14ac:dyDescent="0.25">
      <c r="R1735" s="491"/>
      <c r="S1735" s="491"/>
      <c r="T1735" s="491"/>
      <c r="U1735" s="491"/>
      <c r="V1735" s="491"/>
      <c r="W1735" s="491"/>
      <c r="X1735" s="491"/>
      <c r="Y1735" s="491"/>
      <c r="Z1735" s="491"/>
      <c r="AA1735" s="491"/>
      <c r="AB1735" s="491"/>
      <c r="AC1735" s="491"/>
      <c r="AD1735" s="493"/>
    </row>
    <row r="1736" spans="18:30" x14ac:dyDescent="0.25">
      <c r="R1736" s="491"/>
      <c r="S1736" s="491"/>
      <c r="T1736" s="491"/>
      <c r="U1736" s="491"/>
      <c r="V1736" s="491"/>
      <c r="W1736" s="491"/>
      <c r="X1736" s="491"/>
      <c r="Y1736" s="491"/>
      <c r="Z1736" s="491"/>
      <c r="AA1736" s="491"/>
      <c r="AB1736" s="491"/>
      <c r="AC1736" s="491"/>
      <c r="AD1736" s="493"/>
    </row>
    <row r="1737" spans="18:30" x14ac:dyDescent="0.25">
      <c r="R1737" s="491"/>
      <c r="S1737" s="491"/>
      <c r="T1737" s="491"/>
      <c r="U1737" s="491"/>
      <c r="V1737" s="491"/>
      <c r="W1737" s="491"/>
      <c r="X1737" s="491"/>
      <c r="Y1737" s="491"/>
      <c r="Z1737" s="491"/>
      <c r="AA1737" s="491"/>
      <c r="AB1737" s="491"/>
      <c r="AC1737" s="491"/>
      <c r="AD1737" s="493"/>
    </row>
    <row r="1738" spans="18:30" x14ac:dyDescent="0.25">
      <c r="R1738" s="491"/>
      <c r="S1738" s="491"/>
      <c r="T1738" s="491"/>
      <c r="U1738" s="491"/>
      <c r="V1738" s="491"/>
      <c r="W1738" s="491"/>
      <c r="X1738" s="491"/>
      <c r="Y1738" s="491"/>
      <c r="Z1738" s="491"/>
      <c r="AA1738" s="491"/>
      <c r="AB1738" s="491"/>
      <c r="AC1738" s="491"/>
      <c r="AD1738" s="493"/>
    </row>
    <row r="1739" spans="18:30" x14ac:dyDescent="0.25">
      <c r="R1739" s="491"/>
      <c r="S1739" s="491"/>
      <c r="T1739" s="491"/>
      <c r="U1739" s="491"/>
      <c r="V1739" s="491"/>
      <c r="W1739" s="491"/>
      <c r="X1739" s="491"/>
      <c r="Y1739" s="491"/>
      <c r="Z1739" s="491"/>
      <c r="AA1739" s="491"/>
      <c r="AB1739" s="491"/>
      <c r="AC1739" s="491"/>
      <c r="AD1739" s="493"/>
    </row>
    <row r="1740" spans="18:30" x14ac:dyDescent="0.25">
      <c r="R1740" s="491"/>
      <c r="S1740" s="491"/>
      <c r="T1740" s="491"/>
      <c r="U1740" s="491"/>
      <c r="V1740" s="491"/>
      <c r="W1740" s="491"/>
      <c r="X1740" s="491"/>
      <c r="Y1740" s="491"/>
      <c r="Z1740" s="491"/>
      <c r="AA1740" s="491"/>
      <c r="AB1740" s="491"/>
      <c r="AC1740" s="491"/>
      <c r="AD1740" s="493"/>
    </row>
    <row r="1741" spans="18:30" x14ac:dyDescent="0.25">
      <c r="R1741" s="491"/>
      <c r="S1741" s="491"/>
      <c r="T1741" s="491"/>
      <c r="U1741" s="491"/>
      <c r="V1741" s="491"/>
      <c r="W1741" s="491"/>
      <c r="X1741" s="491"/>
      <c r="Y1741" s="491"/>
      <c r="Z1741" s="491"/>
      <c r="AA1741" s="491"/>
      <c r="AB1741" s="491"/>
      <c r="AC1741" s="491"/>
      <c r="AD1741" s="493"/>
    </row>
    <row r="1742" spans="18:30" x14ac:dyDescent="0.25">
      <c r="R1742" s="491"/>
      <c r="S1742" s="491"/>
      <c r="T1742" s="491"/>
      <c r="U1742" s="491"/>
      <c r="V1742" s="491"/>
      <c r="W1742" s="491"/>
      <c r="X1742" s="491"/>
      <c r="Y1742" s="491"/>
      <c r="Z1742" s="491"/>
      <c r="AA1742" s="491"/>
      <c r="AB1742" s="491"/>
      <c r="AC1742" s="491"/>
      <c r="AD1742" s="493"/>
    </row>
    <row r="1743" spans="18:30" x14ac:dyDescent="0.25">
      <c r="R1743" s="491"/>
      <c r="S1743" s="491"/>
      <c r="T1743" s="491"/>
      <c r="U1743" s="491"/>
      <c r="V1743" s="491"/>
      <c r="W1743" s="491"/>
      <c r="X1743" s="491"/>
      <c r="Y1743" s="491"/>
      <c r="Z1743" s="491"/>
      <c r="AA1743" s="491"/>
      <c r="AB1743" s="491"/>
      <c r="AC1743" s="491"/>
      <c r="AD1743" s="493"/>
    </row>
    <row r="1744" spans="18:30" x14ac:dyDescent="0.25">
      <c r="R1744" s="491"/>
      <c r="S1744" s="491"/>
      <c r="T1744" s="491"/>
      <c r="U1744" s="491"/>
      <c r="V1744" s="491"/>
      <c r="W1744" s="491"/>
      <c r="X1744" s="491"/>
      <c r="Y1744" s="491"/>
      <c r="Z1744" s="491"/>
      <c r="AA1744" s="491"/>
      <c r="AB1744" s="491"/>
      <c r="AC1744" s="491"/>
      <c r="AD1744" s="493"/>
    </row>
    <row r="1745" spans="18:30" x14ac:dyDescent="0.25">
      <c r="R1745" s="491"/>
      <c r="S1745" s="491"/>
      <c r="T1745" s="491"/>
      <c r="U1745" s="491"/>
      <c r="V1745" s="491"/>
      <c r="W1745" s="491"/>
      <c r="X1745" s="491"/>
      <c r="Y1745" s="491"/>
      <c r="Z1745" s="491"/>
      <c r="AA1745" s="491"/>
      <c r="AB1745" s="491"/>
      <c r="AC1745" s="491"/>
      <c r="AD1745" s="493"/>
    </row>
    <row r="1746" spans="18:30" x14ac:dyDescent="0.25">
      <c r="R1746" s="491"/>
      <c r="S1746" s="491"/>
      <c r="T1746" s="491"/>
      <c r="U1746" s="491"/>
      <c r="V1746" s="491"/>
      <c r="W1746" s="491"/>
      <c r="X1746" s="491"/>
      <c r="Y1746" s="491"/>
      <c r="Z1746" s="491"/>
      <c r="AA1746" s="491"/>
      <c r="AB1746" s="491"/>
      <c r="AC1746" s="491"/>
      <c r="AD1746" s="493"/>
    </row>
    <row r="1747" spans="18:30" x14ac:dyDescent="0.25">
      <c r="R1747" s="491"/>
      <c r="S1747" s="491"/>
      <c r="T1747" s="491"/>
      <c r="U1747" s="491"/>
      <c r="V1747" s="491"/>
      <c r="W1747" s="491"/>
      <c r="X1747" s="491"/>
      <c r="Y1747" s="491"/>
      <c r="Z1747" s="491"/>
      <c r="AA1747" s="491"/>
      <c r="AB1747" s="491"/>
      <c r="AC1747" s="491"/>
      <c r="AD1747" s="493"/>
    </row>
    <row r="1748" spans="18:30" x14ac:dyDescent="0.25">
      <c r="R1748" s="491"/>
      <c r="S1748" s="491"/>
      <c r="T1748" s="491"/>
      <c r="U1748" s="491"/>
      <c r="V1748" s="491"/>
      <c r="W1748" s="491"/>
      <c r="X1748" s="491"/>
      <c r="Y1748" s="491"/>
      <c r="Z1748" s="491"/>
      <c r="AA1748" s="491"/>
      <c r="AB1748" s="491"/>
      <c r="AC1748" s="491"/>
      <c r="AD1748" s="493"/>
    </row>
    <row r="1749" spans="18:30" x14ac:dyDescent="0.25">
      <c r="R1749" s="491"/>
      <c r="S1749" s="491"/>
      <c r="T1749" s="491"/>
      <c r="U1749" s="491"/>
      <c r="V1749" s="491"/>
      <c r="W1749" s="491"/>
      <c r="X1749" s="491"/>
      <c r="Y1749" s="491"/>
      <c r="Z1749" s="491"/>
      <c r="AA1749" s="491"/>
      <c r="AB1749" s="491"/>
      <c r="AC1749" s="491"/>
      <c r="AD1749" s="493"/>
    </row>
    <row r="1750" spans="18:30" x14ac:dyDescent="0.25">
      <c r="R1750" s="491"/>
      <c r="S1750" s="491"/>
      <c r="T1750" s="491"/>
      <c r="U1750" s="491"/>
      <c r="V1750" s="491"/>
      <c r="W1750" s="491"/>
      <c r="X1750" s="491"/>
      <c r="Y1750" s="491"/>
      <c r="Z1750" s="491"/>
      <c r="AA1750" s="491"/>
      <c r="AB1750" s="491"/>
      <c r="AC1750" s="491"/>
      <c r="AD1750" s="493"/>
    </row>
    <row r="1751" spans="18:30" x14ac:dyDescent="0.25">
      <c r="R1751" s="491"/>
      <c r="S1751" s="491"/>
      <c r="T1751" s="491"/>
      <c r="U1751" s="491"/>
      <c r="V1751" s="491"/>
      <c r="W1751" s="491"/>
      <c r="X1751" s="491"/>
      <c r="Y1751" s="491"/>
      <c r="Z1751" s="491"/>
      <c r="AA1751" s="491"/>
      <c r="AB1751" s="491"/>
      <c r="AC1751" s="491"/>
      <c r="AD1751" s="493"/>
    </row>
    <row r="1752" spans="18:30" x14ac:dyDescent="0.25">
      <c r="R1752" s="491"/>
      <c r="S1752" s="491"/>
      <c r="T1752" s="491"/>
      <c r="U1752" s="491"/>
      <c r="V1752" s="491"/>
      <c r="W1752" s="491"/>
      <c r="X1752" s="491"/>
      <c r="Y1752" s="491"/>
      <c r="Z1752" s="491"/>
      <c r="AA1752" s="491"/>
      <c r="AB1752" s="491"/>
      <c r="AC1752" s="491"/>
      <c r="AD1752" s="493"/>
    </row>
    <row r="1753" spans="18:30" x14ac:dyDescent="0.25">
      <c r="R1753" s="491"/>
      <c r="S1753" s="491"/>
      <c r="T1753" s="491"/>
      <c r="U1753" s="491"/>
      <c r="V1753" s="491"/>
      <c r="W1753" s="491"/>
      <c r="X1753" s="491"/>
      <c r="Y1753" s="491"/>
      <c r="Z1753" s="491"/>
      <c r="AA1753" s="491"/>
      <c r="AB1753" s="491"/>
      <c r="AC1753" s="491"/>
      <c r="AD1753" s="493"/>
    </row>
    <row r="1754" spans="18:30" x14ac:dyDescent="0.25">
      <c r="R1754" s="491"/>
      <c r="S1754" s="491"/>
      <c r="T1754" s="491"/>
      <c r="U1754" s="491"/>
      <c r="V1754" s="491"/>
      <c r="W1754" s="491"/>
      <c r="X1754" s="491"/>
      <c r="Y1754" s="491"/>
      <c r="Z1754" s="491"/>
      <c r="AA1754" s="491"/>
      <c r="AB1754" s="491"/>
      <c r="AC1754" s="491"/>
      <c r="AD1754" s="493"/>
    </row>
    <row r="1755" spans="18:30" x14ac:dyDescent="0.25">
      <c r="R1755" s="491"/>
      <c r="S1755" s="491"/>
      <c r="T1755" s="491"/>
      <c r="U1755" s="491"/>
      <c r="V1755" s="491"/>
      <c r="W1755" s="491"/>
      <c r="X1755" s="491"/>
      <c r="Y1755" s="491"/>
      <c r="Z1755" s="491"/>
      <c r="AA1755" s="491"/>
      <c r="AB1755" s="491"/>
      <c r="AC1755" s="491"/>
      <c r="AD1755" s="493"/>
    </row>
    <row r="1756" spans="18:30" x14ac:dyDescent="0.25">
      <c r="R1756" s="491"/>
      <c r="S1756" s="491"/>
      <c r="T1756" s="491"/>
      <c r="U1756" s="491"/>
      <c r="V1756" s="491"/>
      <c r="W1756" s="491"/>
      <c r="X1756" s="491"/>
      <c r="Y1756" s="491"/>
      <c r="Z1756" s="491"/>
      <c r="AA1756" s="491"/>
      <c r="AB1756" s="491"/>
      <c r="AC1756" s="491"/>
      <c r="AD1756" s="493"/>
    </row>
    <row r="1757" spans="18:30" x14ac:dyDescent="0.25">
      <c r="R1757" s="491"/>
      <c r="S1757" s="491"/>
      <c r="T1757" s="491"/>
      <c r="U1757" s="491"/>
      <c r="V1757" s="491"/>
      <c r="W1757" s="491"/>
      <c r="X1757" s="491"/>
      <c r="Y1757" s="491"/>
      <c r="Z1757" s="491"/>
      <c r="AA1757" s="491"/>
      <c r="AB1757" s="491"/>
      <c r="AC1757" s="491"/>
      <c r="AD1757" s="493"/>
    </row>
    <row r="1758" spans="18:30" x14ac:dyDescent="0.25">
      <c r="R1758" s="491"/>
      <c r="S1758" s="491"/>
      <c r="T1758" s="491"/>
      <c r="U1758" s="491"/>
      <c r="V1758" s="491"/>
      <c r="W1758" s="491"/>
      <c r="X1758" s="491"/>
      <c r="Y1758" s="491"/>
      <c r="Z1758" s="491"/>
      <c r="AA1758" s="491"/>
      <c r="AB1758" s="491"/>
      <c r="AC1758" s="491"/>
      <c r="AD1758" s="493"/>
    </row>
    <row r="1759" spans="18:30" x14ac:dyDescent="0.25">
      <c r="R1759" s="491"/>
      <c r="S1759" s="491"/>
      <c r="T1759" s="491"/>
      <c r="U1759" s="491"/>
      <c r="V1759" s="491"/>
      <c r="W1759" s="491"/>
      <c r="X1759" s="491"/>
      <c r="Y1759" s="491"/>
      <c r="Z1759" s="491"/>
      <c r="AA1759" s="491"/>
      <c r="AB1759" s="491"/>
      <c r="AC1759" s="491"/>
      <c r="AD1759" s="493"/>
    </row>
    <row r="1760" spans="18:30" x14ac:dyDescent="0.25">
      <c r="R1760" s="491"/>
      <c r="S1760" s="491"/>
      <c r="T1760" s="491"/>
      <c r="U1760" s="491"/>
      <c r="V1760" s="491"/>
      <c r="W1760" s="491"/>
      <c r="X1760" s="491"/>
      <c r="Y1760" s="491"/>
      <c r="Z1760" s="491"/>
      <c r="AA1760" s="491"/>
      <c r="AB1760" s="491"/>
      <c r="AC1760" s="491"/>
      <c r="AD1760" s="493"/>
    </row>
    <row r="1761" spans="18:30" x14ac:dyDescent="0.25">
      <c r="R1761" s="491"/>
      <c r="S1761" s="491"/>
      <c r="T1761" s="491"/>
      <c r="U1761" s="491"/>
      <c r="V1761" s="491"/>
      <c r="W1761" s="491"/>
      <c r="X1761" s="491"/>
      <c r="Y1761" s="491"/>
      <c r="Z1761" s="491"/>
      <c r="AA1761" s="491"/>
      <c r="AB1761" s="491"/>
      <c r="AC1761" s="491"/>
      <c r="AD1761" s="493"/>
    </row>
    <row r="1762" spans="18:30" x14ac:dyDescent="0.25">
      <c r="R1762" s="491"/>
      <c r="S1762" s="491"/>
      <c r="T1762" s="491"/>
      <c r="U1762" s="491"/>
      <c r="V1762" s="491"/>
      <c r="W1762" s="491"/>
      <c r="X1762" s="491"/>
      <c r="Y1762" s="491"/>
      <c r="Z1762" s="491"/>
      <c r="AA1762" s="491"/>
      <c r="AB1762" s="491"/>
      <c r="AC1762" s="491"/>
      <c r="AD1762" s="493"/>
    </row>
    <row r="1763" spans="18:30" x14ac:dyDescent="0.25">
      <c r="R1763" s="491"/>
      <c r="S1763" s="491"/>
      <c r="T1763" s="491"/>
      <c r="U1763" s="491"/>
      <c r="V1763" s="491"/>
      <c r="W1763" s="491"/>
      <c r="X1763" s="491"/>
      <c r="Y1763" s="491"/>
      <c r="Z1763" s="491"/>
      <c r="AA1763" s="491"/>
      <c r="AB1763" s="491"/>
      <c r="AC1763" s="491"/>
      <c r="AD1763" s="493"/>
    </row>
    <row r="1764" spans="18:30" x14ac:dyDescent="0.25">
      <c r="R1764" s="491"/>
      <c r="S1764" s="491"/>
      <c r="T1764" s="491"/>
      <c r="U1764" s="491"/>
      <c r="V1764" s="491"/>
      <c r="W1764" s="491"/>
      <c r="X1764" s="491"/>
      <c r="Y1764" s="491"/>
      <c r="Z1764" s="491"/>
      <c r="AA1764" s="491"/>
      <c r="AB1764" s="491"/>
      <c r="AC1764" s="491"/>
      <c r="AD1764" s="493"/>
    </row>
    <row r="1765" spans="18:30" x14ac:dyDescent="0.25">
      <c r="R1765" s="491"/>
      <c r="S1765" s="491"/>
      <c r="T1765" s="491"/>
      <c r="U1765" s="491"/>
      <c r="V1765" s="491"/>
      <c r="W1765" s="491"/>
      <c r="X1765" s="491"/>
      <c r="Y1765" s="491"/>
      <c r="Z1765" s="491"/>
      <c r="AA1765" s="491"/>
      <c r="AB1765" s="491"/>
      <c r="AC1765" s="491"/>
      <c r="AD1765" s="493"/>
    </row>
    <row r="1766" spans="18:30" x14ac:dyDescent="0.25">
      <c r="R1766" s="491"/>
      <c r="S1766" s="491"/>
      <c r="T1766" s="491"/>
      <c r="U1766" s="491"/>
      <c r="V1766" s="491"/>
      <c r="W1766" s="491"/>
      <c r="X1766" s="491"/>
      <c r="Y1766" s="491"/>
      <c r="Z1766" s="491"/>
      <c r="AA1766" s="491"/>
      <c r="AB1766" s="491"/>
      <c r="AC1766" s="491"/>
      <c r="AD1766" s="493"/>
    </row>
    <row r="1767" spans="18:30" x14ac:dyDescent="0.25">
      <c r="R1767" s="491"/>
      <c r="S1767" s="491"/>
      <c r="T1767" s="491"/>
      <c r="U1767" s="491"/>
      <c r="V1767" s="491"/>
      <c r="W1767" s="491"/>
      <c r="X1767" s="491"/>
      <c r="Y1767" s="491"/>
      <c r="Z1767" s="491"/>
      <c r="AA1767" s="491"/>
      <c r="AB1767" s="491"/>
      <c r="AC1767" s="491"/>
      <c r="AD1767" s="493"/>
    </row>
    <row r="1768" spans="18:30" x14ac:dyDescent="0.25">
      <c r="R1768" s="491"/>
      <c r="S1768" s="491"/>
      <c r="T1768" s="491"/>
      <c r="U1768" s="491"/>
      <c r="V1768" s="491"/>
      <c r="W1768" s="491"/>
      <c r="X1768" s="491"/>
      <c r="Y1768" s="491"/>
      <c r="Z1768" s="491"/>
      <c r="AA1768" s="491"/>
      <c r="AB1768" s="491"/>
      <c r="AC1768" s="491"/>
      <c r="AD1768" s="493"/>
    </row>
    <row r="1769" spans="18:30" x14ac:dyDescent="0.25">
      <c r="R1769" s="491"/>
      <c r="S1769" s="491"/>
      <c r="T1769" s="491"/>
      <c r="U1769" s="491"/>
      <c r="V1769" s="491"/>
      <c r="W1769" s="491"/>
      <c r="X1769" s="491"/>
      <c r="Y1769" s="491"/>
      <c r="Z1769" s="491"/>
      <c r="AA1769" s="491"/>
      <c r="AB1769" s="491"/>
      <c r="AC1769" s="491"/>
      <c r="AD1769" s="493"/>
    </row>
    <row r="1770" spans="18:30" x14ac:dyDescent="0.25">
      <c r="R1770" s="491"/>
      <c r="S1770" s="491"/>
      <c r="T1770" s="491"/>
      <c r="U1770" s="491"/>
      <c r="V1770" s="491"/>
      <c r="W1770" s="491"/>
      <c r="X1770" s="491"/>
      <c r="Y1770" s="491"/>
      <c r="Z1770" s="491"/>
      <c r="AA1770" s="491"/>
      <c r="AB1770" s="491"/>
      <c r="AC1770" s="491"/>
      <c r="AD1770" s="493"/>
    </row>
    <row r="1771" spans="18:30" x14ac:dyDescent="0.25">
      <c r="R1771" s="491"/>
      <c r="S1771" s="491"/>
      <c r="T1771" s="491"/>
      <c r="U1771" s="491"/>
      <c r="V1771" s="491"/>
      <c r="W1771" s="491"/>
      <c r="X1771" s="491"/>
      <c r="Y1771" s="491"/>
      <c r="Z1771" s="491"/>
      <c r="AA1771" s="491"/>
      <c r="AB1771" s="491"/>
      <c r="AC1771" s="491"/>
      <c r="AD1771" s="493"/>
    </row>
    <row r="1772" spans="18:30" x14ac:dyDescent="0.25">
      <c r="R1772" s="491"/>
      <c r="S1772" s="491"/>
      <c r="T1772" s="491"/>
      <c r="U1772" s="491"/>
      <c r="V1772" s="491"/>
      <c r="W1772" s="491"/>
      <c r="X1772" s="491"/>
      <c r="Y1772" s="491"/>
      <c r="Z1772" s="491"/>
      <c r="AA1772" s="491"/>
      <c r="AB1772" s="491"/>
      <c r="AC1772" s="491"/>
      <c r="AD1772" s="493"/>
    </row>
    <row r="1773" spans="18:30" x14ac:dyDescent="0.25">
      <c r="R1773" s="491"/>
      <c r="S1773" s="491"/>
      <c r="T1773" s="491"/>
      <c r="U1773" s="491"/>
      <c r="V1773" s="491"/>
      <c r="W1773" s="491"/>
      <c r="X1773" s="491"/>
      <c r="Y1773" s="491"/>
      <c r="Z1773" s="491"/>
      <c r="AA1773" s="491"/>
      <c r="AB1773" s="491"/>
      <c r="AC1773" s="491"/>
      <c r="AD1773" s="493"/>
    </row>
    <row r="1774" spans="18:30" x14ac:dyDescent="0.25">
      <c r="R1774" s="491"/>
      <c r="S1774" s="491"/>
      <c r="T1774" s="491"/>
      <c r="U1774" s="491"/>
      <c r="V1774" s="491"/>
      <c r="W1774" s="491"/>
      <c r="X1774" s="491"/>
      <c r="Y1774" s="491"/>
      <c r="Z1774" s="491"/>
      <c r="AA1774" s="491"/>
      <c r="AB1774" s="491"/>
      <c r="AC1774" s="491"/>
      <c r="AD1774" s="493"/>
    </row>
    <row r="1775" spans="18:30" x14ac:dyDescent="0.25">
      <c r="R1775" s="491"/>
      <c r="S1775" s="491"/>
      <c r="T1775" s="491"/>
      <c r="U1775" s="491"/>
      <c r="V1775" s="491"/>
      <c r="W1775" s="491"/>
      <c r="X1775" s="491"/>
      <c r="Y1775" s="491"/>
      <c r="Z1775" s="491"/>
      <c r="AA1775" s="491"/>
      <c r="AB1775" s="491"/>
      <c r="AC1775" s="491"/>
      <c r="AD1775" s="493"/>
    </row>
    <row r="1776" spans="18:30" x14ac:dyDescent="0.25">
      <c r="R1776" s="491"/>
      <c r="S1776" s="491"/>
      <c r="T1776" s="491"/>
      <c r="U1776" s="491"/>
      <c r="V1776" s="491"/>
      <c r="W1776" s="491"/>
      <c r="X1776" s="491"/>
      <c r="Y1776" s="491"/>
      <c r="Z1776" s="491"/>
      <c r="AA1776" s="491"/>
      <c r="AB1776" s="491"/>
      <c r="AC1776" s="491"/>
      <c r="AD1776" s="493"/>
    </row>
    <row r="1777" spans="18:30" x14ac:dyDescent="0.25">
      <c r="R1777" s="491"/>
      <c r="S1777" s="491"/>
      <c r="T1777" s="491"/>
      <c r="U1777" s="491"/>
      <c r="V1777" s="491"/>
      <c r="W1777" s="491"/>
      <c r="X1777" s="491"/>
      <c r="Y1777" s="491"/>
      <c r="Z1777" s="491"/>
      <c r="AA1777" s="491"/>
      <c r="AB1777" s="491"/>
      <c r="AC1777" s="491"/>
      <c r="AD1777" s="493"/>
    </row>
    <row r="1778" spans="18:30" x14ac:dyDescent="0.25">
      <c r="R1778" s="491"/>
      <c r="S1778" s="491"/>
      <c r="T1778" s="491"/>
      <c r="U1778" s="491"/>
      <c r="V1778" s="491"/>
      <c r="W1778" s="491"/>
      <c r="X1778" s="491"/>
      <c r="Y1778" s="491"/>
      <c r="Z1778" s="491"/>
      <c r="AA1778" s="491"/>
      <c r="AB1778" s="491"/>
      <c r="AC1778" s="491"/>
      <c r="AD1778" s="493"/>
    </row>
    <row r="1779" spans="18:30" x14ac:dyDescent="0.25">
      <c r="R1779" s="491"/>
      <c r="S1779" s="491"/>
      <c r="T1779" s="491"/>
      <c r="U1779" s="491"/>
      <c r="V1779" s="491"/>
      <c r="W1779" s="491"/>
      <c r="X1779" s="491"/>
      <c r="Y1779" s="491"/>
      <c r="Z1779" s="491"/>
      <c r="AA1779" s="491"/>
      <c r="AB1779" s="491"/>
      <c r="AC1779" s="491"/>
      <c r="AD1779" s="493"/>
    </row>
    <row r="1780" spans="18:30" x14ac:dyDescent="0.25">
      <c r="R1780" s="491"/>
      <c r="S1780" s="491"/>
      <c r="T1780" s="491"/>
      <c r="U1780" s="491"/>
      <c r="V1780" s="491"/>
      <c r="W1780" s="491"/>
      <c r="X1780" s="491"/>
      <c r="Y1780" s="491"/>
      <c r="Z1780" s="491"/>
      <c r="AA1780" s="491"/>
      <c r="AB1780" s="491"/>
      <c r="AC1780" s="491"/>
      <c r="AD1780" s="493"/>
    </row>
    <row r="1781" spans="18:30" x14ac:dyDescent="0.25">
      <c r="R1781" s="491"/>
      <c r="S1781" s="491"/>
      <c r="T1781" s="491"/>
      <c r="U1781" s="491"/>
      <c r="V1781" s="491"/>
      <c r="W1781" s="491"/>
      <c r="X1781" s="491"/>
      <c r="Y1781" s="491"/>
      <c r="Z1781" s="491"/>
      <c r="AA1781" s="491"/>
      <c r="AB1781" s="491"/>
      <c r="AC1781" s="491"/>
      <c r="AD1781" s="493"/>
    </row>
    <row r="1782" spans="18:30" x14ac:dyDescent="0.25">
      <c r="R1782" s="491"/>
      <c r="S1782" s="491"/>
      <c r="T1782" s="491"/>
      <c r="U1782" s="491"/>
      <c r="V1782" s="491"/>
      <c r="W1782" s="491"/>
      <c r="X1782" s="491"/>
      <c r="Y1782" s="491"/>
      <c r="Z1782" s="491"/>
      <c r="AA1782" s="491"/>
      <c r="AB1782" s="491"/>
      <c r="AC1782" s="491"/>
      <c r="AD1782" s="493"/>
    </row>
    <row r="1783" spans="18:30" x14ac:dyDescent="0.25">
      <c r="R1783" s="491"/>
      <c r="S1783" s="491"/>
      <c r="T1783" s="491"/>
      <c r="U1783" s="491"/>
      <c r="V1783" s="491"/>
      <c r="W1783" s="491"/>
      <c r="X1783" s="491"/>
      <c r="Y1783" s="491"/>
      <c r="Z1783" s="491"/>
      <c r="AA1783" s="491"/>
      <c r="AB1783" s="491"/>
      <c r="AC1783" s="491"/>
      <c r="AD1783" s="493"/>
    </row>
    <row r="1784" spans="18:30" x14ac:dyDescent="0.25">
      <c r="R1784" s="491"/>
      <c r="S1784" s="491"/>
      <c r="T1784" s="491"/>
      <c r="U1784" s="491"/>
      <c r="V1784" s="491"/>
      <c r="W1784" s="491"/>
      <c r="X1784" s="491"/>
      <c r="Y1784" s="491"/>
      <c r="Z1784" s="491"/>
      <c r="AA1784" s="491"/>
      <c r="AB1784" s="491"/>
      <c r="AC1784" s="491"/>
      <c r="AD1784" s="493"/>
    </row>
    <row r="1785" spans="18:30" x14ac:dyDescent="0.25">
      <c r="R1785" s="491"/>
      <c r="S1785" s="491"/>
      <c r="T1785" s="491"/>
      <c r="U1785" s="491"/>
      <c r="V1785" s="491"/>
      <c r="W1785" s="491"/>
      <c r="X1785" s="491"/>
      <c r="Y1785" s="491"/>
      <c r="Z1785" s="491"/>
      <c r="AA1785" s="491"/>
      <c r="AB1785" s="491"/>
      <c r="AC1785" s="491"/>
      <c r="AD1785" s="493"/>
    </row>
    <row r="1786" spans="18:30" x14ac:dyDescent="0.25">
      <c r="R1786" s="491"/>
      <c r="S1786" s="491"/>
      <c r="T1786" s="491"/>
      <c r="U1786" s="491"/>
      <c r="V1786" s="491"/>
      <c r="W1786" s="491"/>
      <c r="X1786" s="491"/>
      <c r="Y1786" s="491"/>
      <c r="Z1786" s="491"/>
      <c r="AA1786" s="491"/>
      <c r="AB1786" s="491"/>
      <c r="AC1786" s="491"/>
      <c r="AD1786" s="493"/>
    </row>
    <row r="1787" spans="18:30" x14ac:dyDescent="0.25">
      <c r="R1787" s="491"/>
      <c r="S1787" s="491"/>
      <c r="T1787" s="491"/>
      <c r="U1787" s="491"/>
      <c r="V1787" s="491"/>
      <c r="W1787" s="491"/>
      <c r="X1787" s="491"/>
      <c r="Y1787" s="491"/>
      <c r="Z1787" s="491"/>
      <c r="AA1787" s="491"/>
      <c r="AB1787" s="491"/>
      <c r="AC1787" s="491"/>
      <c r="AD1787" s="493"/>
    </row>
    <row r="1788" spans="18:30" x14ac:dyDescent="0.25">
      <c r="R1788" s="491"/>
      <c r="S1788" s="491"/>
      <c r="T1788" s="491"/>
      <c r="U1788" s="491"/>
      <c r="V1788" s="491"/>
      <c r="W1788" s="491"/>
      <c r="X1788" s="491"/>
      <c r="Y1788" s="491"/>
      <c r="Z1788" s="491"/>
      <c r="AA1788" s="491"/>
      <c r="AB1788" s="491"/>
      <c r="AC1788" s="491"/>
      <c r="AD1788" s="493"/>
    </row>
    <row r="1789" spans="18:30" x14ac:dyDescent="0.25">
      <c r="R1789" s="491"/>
      <c r="S1789" s="491"/>
      <c r="T1789" s="491"/>
      <c r="U1789" s="491"/>
      <c r="V1789" s="491"/>
      <c r="W1789" s="491"/>
      <c r="X1789" s="491"/>
      <c r="Y1789" s="491"/>
      <c r="Z1789" s="491"/>
      <c r="AA1789" s="491"/>
      <c r="AB1789" s="491"/>
      <c r="AC1789" s="491"/>
      <c r="AD1789" s="493"/>
    </row>
    <row r="1790" spans="18:30" x14ac:dyDescent="0.25">
      <c r="R1790" s="491"/>
      <c r="S1790" s="491"/>
      <c r="T1790" s="491"/>
      <c r="U1790" s="491"/>
      <c r="V1790" s="491"/>
      <c r="W1790" s="491"/>
      <c r="X1790" s="491"/>
      <c r="Y1790" s="491"/>
      <c r="Z1790" s="491"/>
      <c r="AA1790" s="491"/>
      <c r="AB1790" s="491"/>
      <c r="AC1790" s="491"/>
      <c r="AD1790" s="493"/>
    </row>
    <row r="1791" spans="18:30" x14ac:dyDescent="0.25">
      <c r="R1791" s="491"/>
      <c r="S1791" s="491"/>
      <c r="T1791" s="491"/>
      <c r="U1791" s="491"/>
      <c r="V1791" s="491"/>
      <c r="W1791" s="491"/>
      <c r="X1791" s="491"/>
      <c r="Y1791" s="491"/>
      <c r="Z1791" s="491"/>
      <c r="AA1791" s="491"/>
      <c r="AB1791" s="491"/>
      <c r="AC1791" s="491"/>
      <c r="AD1791" s="493"/>
    </row>
    <row r="1792" spans="18:30" x14ac:dyDescent="0.25">
      <c r="R1792" s="491"/>
      <c r="S1792" s="491"/>
      <c r="T1792" s="491"/>
      <c r="U1792" s="491"/>
      <c r="V1792" s="491"/>
      <c r="W1792" s="491"/>
      <c r="X1792" s="491"/>
      <c r="Y1792" s="491"/>
      <c r="Z1792" s="491"/>
      <c r="AA1792" s="491"/>
      <c r="AB1792" s="491"/>
      <c r="AC1792" s="491"/>
      <c r="AD1792" s="493"/>
    </row>
    <row r="1793" spans="18:30" x14ac:dyDescent="0.25">
      <c r="R1793" s="491"/>
      <c r="S1793" s="491"/>
      <c r="T1793" s="491"/>
      <c r="U1793" s="491"/>
      <c r="V1793" s="491"/>
      <c r="W1793" s="491"/>
      <c r="X1793" s="491"/>
      <c r="Y1793" s="491"/>
      <c r="Z1793" s="491"/>
      <c r="AA1793" s="491"/>
      <c r="AB1793" s="491"/>
      <c r="AC1793" s="491"/>
      <c r="AD1793" s="493"/>
    </row>
    <row r="1794" spans="18:30" x14ac:dyDescent="0.25">
      <c r="R1794" s="491"/>
      <c r="S1794" s="491"/>
      <c r="T1794" s="491"/>
      <c r="U1794" s="491"/>
      <c r="V1794" s="491"/>
      <c r="W1794" s="491"/>
      <c r="X1794" s="491"/>
      <c r="Y1794" s="491"/>
      <c r="Z1794" s="491"/>
      <c r="AA1794" s="491"/>
      <c r="AB1794" s="491"/>
      <c r="AC1794" s="491"/>
      <c r="AD1794" s="493"/>
    </row>
    <row r="1795" spans="18:30" x14ac:dyDescent="0.25">
      <c r="R1795" s="491"/>
      <c r="S1795" s="491"/>
      <c r="T1795" s="491"/>
      <c r="U1795" s="491"/>
      <c r="V1795" s="491"/>
      <c r="W1795" s="491"/>
      <c r="X1795" s="491"/>
      <c r="Y1795" s="491"/>
      <c r="Z1795" s="491"/>
      <c r="AA1795" s="491"/>
      <c r="AB1795" s="491"/>
      <c r="AC1795" s="491"/>
      <c r="AD1795" s="493"/>
    </row>
    <row r="1796" spans="18:30" x14ac:dyDescent="0.25">
      <c r="R1796" s="491"/>
      <c r="S1796" s="491"/>
      <c r="T1796" s="491"/>
      <c r="U1796" s="491"/>
      <c r="V1796" s="491"/>
      <c r="W1796" s="491"/>
      <c r="X1796" s="491"/>
      <c r="Y1796" s="491"/>
      <c r="Z1796" s="491"/>
      <c r="AA1796" s="491"/>
      <c r="AB1796" s="491"/>
      <c r="AC1796" s="491"/>
      <c r="AD1796" s="493"/>
    </row>
    <row r="1797" spans="18:30" x14ac:dyDescent="0.25">
      <c r="R1797" s="491"/>
      <c r="S1797" s="491"/>
      <c r="T1797" s="491"/>
      <c r="U1797" s="491"/>
      <c r="V1797" s="491"/>
      <c r="W1797" s="491"/>
      <c r="X1797" s="491"/>
      <c r="Y1797" s="491"/>
      <c r="Z1797" s="491"/>
      <c r="AA1797" s="491"/>
      <c r="AB1797" s="491"/>
      <c r="AC1797" s="491"/>
      <c r="AD1797" s="493"/>
    </row>
    <row r="1798" spans="18:30" x14ac:dyDescent="0.25">
      <c r="R1798" s="491"/>
      <c r="S1798" s="491"/>
      <c r="T1798" s="491"/>
      <c r="U1798" s="491"/>
      <c r="V1798" s="491"/>
      <c r="W1798" s="491"/>
      <c r="X1798" s="491"/>
      <c r="Y1798" s="491"/>
      <c r="Z1798" s="491"/>
      <c r="AA1798" s="491"/>
      <c r="AB1798" s="491"/>
      <c r="AC1798" s="491"/>
      <c r="AD1798" s="493"/>
    </row>
    <row r="1799" spans="18:30" x14ac:dyDescent="0.25">
      <c r="R1799" s="491"/>
      <c r="S1799" s="491"/>
      <c r="T1799" s="491"/>
      <c r="U1799" s="491"/>
      <c r="V1799" s="491"/>
      <c r="W1799" s="491"/>
      <c r="X1799" s="491"/>
      <c r="Y1799" s="491"/>
      <c r="Z1799" s="491"/>
      <c r="AA1799" s="491"/>
      <c r="AB1799" s="491"/>
      <c r="AC1799" s="491"/>
      <c r="AD1799" s="493"/>
    </row>
    <row r="1800" spans="18:30" x14ac:dyDescent="0.25">
      <c r="R1800" s="491"/>
      <c r="S1800" s="491"/>
      <c r="T1800" s="491"/>
      <c r="U1800" s="491"/>
      <c r="V1800" s="491"/>
      <c r="W1800" s="491"/>
      <c r="X1800" s="491"/>
      <c r="Y1800" s="491"/>
      <c r="Z1800" s="491"/>
      <c r="AA1800" s="491"/>
      <c r="AB1800" s="491"/>
      <c r="AC1800" s="491"/>
      <c r="AD1800" s="493"/>
    </row>
    <row r="1801" spans="18:30" x14ac:dyDescent="0.25">
      <c r="R1801" s="491"/>
      <c r="S1801" s="491"/>
      <c r="T1801" s="491"/>
      <c r="U1801" s="491"/>
      <c r="V1801" s="491"/>
      <c r="W1801" s="491"/>
      <c r="X1801" s="491"/>
      <c r="Y1801" s="491"/>
      <c r="Z1801" s="491"/>
      <c r="AA1801" s="491"/>
      <c r="AB1801" s="491"/>
      <c r="AC1801" s="491"/>
      <c r="AD1801" s="493"/>
    </row>
    <row r="1802" spans="18:30" x14ac:dyDescent="0.25">
      <c r="R1802" s="491"/>
      <c r="S1802" s="491"/>
      <c r="T1802" s="491"/>
      <c r="U1802" s="491"/>
      <c r="V1802" s="491"/>
      <c r="W1802" s="491"/>
      <c r="X1802" s="491"/>
      <c r="Y1802" s="491"/>
      <c r="Z1802" s="491"/>
      <c r="AA1802" s="491"/>
      <c r="AB1802" s="491"/>
      <c r="AC1802" s="491"/>
      <c r="AD1802" s="493"/>
    </row>
    <row r="1803" spans="18:30" x14ac:dyDescent="0.25">
      <c r="R1803" s="491"/>
      <c r="S1803" s="491"/>
      <c r="T1803" s="491"/>
      <c r="U1803" s="491"/>
      <c r="V1803" s="491"/>
      <c r="W1803" s="491"/>
      <c r="X1803" s="491"/>
      <c r="Y1803" s="491"/>
      <c r="Z1803" s="491"/>
      <c r="AA1803" s="491"/>
      <c r="AB1803" s="491"/>
      <c r="AC1803" s="491"/>
      <c r="AD1803" s="493"/>
    </row>
    <row r="1804" spans="18:30" x14ac:dyDescent="0.25">
      <c r="R1804" s="491"/>
      <c r="S1804" s="491"/>
      <c r="T1804" s="491"/>
      <c r="U1804" s="491"/>
      <c r="V1804" s="491"/>
      <c r="W1804" s="491"/>
      <c r="X1804" s="491"/>
      <c r="Y1804" s="491"/>
      <c r="Z1804" s="491"/>
      <c r="AA1804" s="491"/>
      <c r="AB1804" s="491"/>
      <c r="AC1804" s="491"/>
      <c r="AD1804" s="493"/>
    </row>
    <row r="1805" spans="18:30" x14ac:dyDescent="0.25">
      <c r="R1805" s="491"/>
      <c r="S1805" s="491"/>
      <c r="T1805" s="491"/>
      <c r="U1805" s="491"/>
      <c r="V1805" s="491"/>
      <c r="W1805" s="491"/>
      <c r="X1805" s="491"/>
      <c r="Y1805" s="491"/>
      <c r="Z1805" s="491"/>
      <c r="AA1805" s="491"/>
      <c r="AB1805" s="491"/>
      <c r="AC1805" s="491"/>
      <c r="AD1805" s="493"/>
    </row>
    <row r="1806" spans="18:30" x14ac:dyDescent="0.25">
      <c r="R1806" s="491"/>
      <c r="S1806" s="491"/>
      <c r="T1806" s="491"/>
      <c r="U1806" s="491"/>
      <c r="V1806" s="491"/>
      <c r="W1806" s="491"/>
      <c r="X1806" s="491"/>
      <c r="Y1806" s="491"/>
      <c r="Z1806" s="491"/>
      <c r="AA1806" s="491"/>
      <c r="AB1806" s="491"/>
      <c r="AC1806" s="491"/>
      <c r="AD1806" s="493"/>
    </row>
    <row r="1807" spans="18:30" x14ac:dyDescent="0.25">
      <c r="R1807" s="491"/>
      <c r="S1807" s="491"/>
      <c r="T1807" s="491"/>
      <c r="U1807" s="491"/>
      <c r="V1807" s="491"/>
      <c r="W1807" s="491"/>
      <c r="X1807" s="491"/>
      <c r="Y1807" s="491"/>
      <c r="Z1807" s="491"/>
      <c r="AA1807" s="491"/>
      <c r="AB1807" s="491"/>
      <c r="AC1807" s="491"/>
      <c r="AD1807" s="493"/>
    </row>
    <row r="1808" spans="18:30" x14ac:dyDescent="0.25">
      <c r="R1808" s="491"/>
      <c r="S1808" s="491"/>
      <c r="T1808" s="491"/>
      <c r="U1808" s="491"/>
      <c r="V1808" s="491"/>
      <c r="W1808" s="491"/>
      <c r="X1808" s="491"/>
      <c r="Y1808" s="491"/>
      <c r="Z1808" s="491"/>
      <c r="AA1808" s="491"/>
      <c r="AB1808" s="491"/>
      <c r="AC1808" s="491"/>
      <c r="AD1808" s="493"/>
    </row>
    <row r="1809" spans="18:30" x14ac:dyDescent="0.25">
      <c r="R1809" s="491"/>
      <c r="S1809" s="491"/>
      <c r="T1809" s="491"/>
      <c r="U1809" s="491"/>
      <c r="V1809" s="491"/>
      <c r="W1809" s="491"/>
      <c r="X1809" s="491"/>
      <c r="Y1809" s="491"/>
      <c r="Z1809" s="491"/>
      <c r="AA1809" s="491"/>
      <c r="AB1809" s="491"/>
      <c r="AC1809" s="491"/>
      <c r="AD1809" s="493"/>
    </row>
    <row r="1810" spans="18:30" x14ac:dyDescent="0.25">
      <c r="R1810" s="491"/>
      <c r="S1810" s="491"/>
      <c r="T1810" s="491"/>
      <c r="U1810" s="491"/>
      <c r="V1810" s="491"/>
      <c r="W1810" s="491"/>
      <c r="X1810" s="491"/>
      <c r="Y1810" s="491"/>
      <c r="Z1810" s="491"/>
      <c r="AA1810" s="491"/>
      <c r="AB1810" s="491"/>
      <c r="AC1810" s="491"/>
      <c r="AD1810" s="493"/>
    </row>
    <row r="1811" spans="18:30" x14ac:dyDescent="0.25">
      <c r="R1811" s="491"/>
      <c r="S1811" s="491"/>
      <c r="T1811" s="491"/>
      <c r="U1811" s="491"/>
      <c r="V1811" s="491"/>
      <c r="W1811" s="491"/>
      <c r="X1811" s="491"/>
      <c r="Y1811" s="491"/>
      <c r="Z1811" s="491"/>
      <c r="AA1811" s="491"/>
      <c r="AB1811" s="491"/>
      <c r="AC1811" s="491"/>
      <c r="AD1811" s="493"/>
    </row>
    <row r="1812" spans="18:30" x14ac:dyDescent="0.25">
      <c r="R1812" s="491"/>
      <c r="S1812" s="491"/>
      <c r="T1812" s="491"/>
      <c r="U1812" s="491"/>
      <c r="V1812" s="491"/>
      <c r="W1812" s="491"/>
      <c r="X1812" s="491"/>
      <c r="Y1812" s="491"/>
      <c r="Z1812" s="491"/>
      <c r="AA1812" s="491"/>
      <c r="AB1812" s="491"/>
      <c r="AC1812" s="491"/>
      <c r="AD1812" s="493"/>
    </row>
    <row r="1813" spans="18:30" x14ac:dyDescent="0.25">
      <c r="R1813" s="491"/>
      <c r="S1813" s="491"/>
      <c r="T1813" s="491"/>
      <c r="U1813" s="491"/>
      <c r="V1813" s="491"/>
      <c r="W1813" s="491"/>
      <c r="X1813" s="491"/>
      <c r="Y1813" s="491"/>
      <c r="Z1813" s="491"/>
      <c r="AA1813" s="491"/>
      <c r="AB1813" s="491"/>
      <c r="AC1813" s="491"/>
      <c r="AD1813" s="493"/>
    </row>
    <row r="1814" spans="18:30" x14ac:dyDescent="0.25">
      <c r="R1814" s="491"/>
      <c r="S1814" s="491"/>
      <c r="T1814" s="491"/>
      <c r="U1814" s="491"/>
      <c r="V1814" s="491"/>
      <c r="W1814" s="491"/>
      <c r="X1814" s="491"/>
      <c r="Y1814" s="491"/>
      <c r="Z1814" s="491"/>
      <c r="AA1814" s="491"/>
      <c r="AB1814" s="491"/>
      <c r="AC1814" s="491"/>
      <c r="AD1814" s="493"/>
    </row>
    <row r="1815" spans="18:30" x14ac:dyDescent="0.25">
      <c r="R1815" s="491"/>
      <c r="S1815" s="491"/>
      <c r="T1815" s="491"/>
      <c r="U1815" s="491"/>
      <c r="V1815" s="491"/>
      <c r="W1815" s="491"/>
      <c r="X1815" s="491"/>
      <c r="Y1815" s="491"/>
      <c r="Z1815" s="491"/>
      <c r="AA1815" s="491"/>
      <c r="AB1815" s="491"/>
      <c r="AC1815" s="491"/>
      <c r="AD1815" s="493"/>
    </row>
    <row r="1816" spans="18:30" x14ac:dyDescent="0.25">
      <c r="R1816" s="491"/>
      <c r="S1816" s="491"/>
      <c r="T1816" s="491"/>
      <c r="U1816" s="491"/>
      <c r="V1816" s="491"/>
      <c r="W1816" s="491"/>
      <c r="X1816" s="491"/>
      <c r="Y1816" s="491"/>
      <c r="Z1816" s="491"/>
      <c r="AA1816" s="491"/>
      <c r="AB1816" s="491"/>
      <c r="AC1816" s="491"/>
      <c r="AD1816" s="493"/>
    </row>
    <row r="1817" spans="18:30" x14ac:dyDescent="0.25">
      <c r="R1817" s="491"/>
      <c r="S1817" s="491"/>
      <c r="T1817" s="491"/>
      <c r="U1817" s="491"/>
      <c r="V1817" s="491"/>
      <c r="W1817" s="491"/>
      <c r="X1817" s="491"/>
      <c r="Y1817" s="491"/>
      <c r="Z1817" s="491"/>
      <c r="AA1817" s="491"/>
      <c r="AB1817" s="491"/>
      <c r="AC1817" s="491"/>
      <c r="AD1817" s="493"/>
    </row>
    <row r="1818" spans="18:30" x14ac:dyDescent="0.25">
      <c r="R1818" s="491"/>
      <c r="S1818" s="491"/>
      <c r="T1818" s="491"/>
      <c r="U1818" s="491"/>
      <c r="V1818" s="491"/>
      <c r="W1818" s="491"/>
      <c r="X1818" s="491"/>
      <c r="Y1818" s="491"/>
      <c r="Z1818" s="491"/>
      <c r="AA1818" s="491"/>
      <c r="AB1818" s="491"/>
      <c r="AC1818" s="491"/>
      <c r="AD1818" s="493"/>
    </row>
    <row r="1819" spans="18:30" x14ac:dyDescent="0.25">
      <c r="R1819" s="491"/>
      <c r="S1819" s="491"/>
      <c r="T1819" s="491"/>
      <c r="U1819" s="491"/>
      <c r="V1819" s="491"/>
      <c r="W1819" s="491"/>
      <c r="X1819" s="491"/>
      <c r="Y1819" s="491"/>
      <c r="Z1819" s="491"/>
      <c r="AA1819" s="491"/>
      <c r="AB1819" s="491"/>
      <c r="AC1819" s="491"/>
      <c r="AD1819" s="493"/>
    </row>
    <row r="1820" spans="18:30" x14ac:dyDescent="0.25">
      <c r="R1820" s="491"/>
      <c r="S1820" s="491"/>
      <c r="T1820" s="491"/>
      <c r="U1820" s="491"/>
      <c r="V1820" s="491"/>
      <c r="W1820" s="491"/>
      <c r="X1820" s="491"/>
      <c r="Y1820" s="491"/>
      <c r="Z1820" s="491"/>
      <c r="AA1820" s="491"/>
      <c r="AB1820" s="491"/>
      <c r="AC1820" s="491"/>
      <c r="AD1820" s="493"/>
    </row>
    <row r="1821" spans="18:30" x14ac:dyDescent="0.25">
      <c r="R1821" s="491"/>
      <c r="S1821" s="491"/>
      <c r="T1821" s="491"/>
      <c r="U1821" s="491"/>
      <c r="V1821" s="491"/>
      <c r="W1821" s="491"/>
      <c r="X1821" s="491"/>
      <c r="Y1821" s="491"/>
      <c r="Z1821" s="491"/>
      <c r="AA1821" s="491"/>
      <c r="AB1821" s="491"/>
      <c r="AC1821" s="491"/>
      <c r="AD1821" s="493"/>
    </row>
    <row r="1822" spans="18:30" x14ac:dyDescent="0.25">
      <c r="R1822" s="491"/>
      <c r="S1822" s="491"/>
      <c r="T1822" s="491"/>
      <c r="U1822" s="491"/>
      <c r="V1822" s="491"/>
      <c r="W1822" s="491"/>
      <c r="X1822" s="491"/>
      <c r="Y1822" s="491"/>
      <c r="Z1822" s="491"/>
      <c r="AA1822" s="491"/>
      <c r="AB1822" s="491"/>
      <c r="AC1822" s="491"/>
      <c r="AD1822" s="493"/>
    </row>
    <row r="1823" spans="18:30" x14ac:dyDescent="0.25">
      <c r="R1823" s="491"/>
      <c r="S1823" s="491"/>
      <c r="T1823" s="491"/>
      <c r="U1823" s="491"/>
      <c r="V1823" s="491"/>
      <c r="W1823" s="491"/>
      <c r="X1823" s="491"/>
      <c r="Y1823" s="491"/>
      <c r="Z1823" s="491"/>
      <c r="AA1823" s="491"/>
      <c r="AB1823" s="491"/>
      <c r="AC1823" s="491"/>
      <c r="AD1823" s="493"/>
    </row>
    <row r="1824" spans="18:30" x14ac:dyDescent="0.25">
      <c r="R1824" s="491"/>
      <c r="S1824" s="491"/>
      <c r="T1824" s="491"/>
      <c r="U1824" s="491"/>
      <c r="V1824" s="491"/>
      <c r="W1824" s="491"/>
      <c r="X1824" s="491"/>
      <c r="Y1824" s="491"/>
      <c r="Z1824" s="491"/>
      <c r="AA1824" s="491"/>
      <c r="AB1824" s="491"/>
      <c r="AC1824" s="491"/>
      <c r="AD1824" s="493"/>
    </row>
    <row r="1825" spans="18:30" x14ac:dyDescent="0.25">
      <c r="R1825" s="491"/>
      <c r="S1825" s="491"/>
      <c r="T1825" s="491"/>
      <c r="U1825" s="491"/>
      <c r="V1825" s="491"/>
      <c r="W1825" s="491"/>
      <c r="X1825" s="491"/>
      <c r="Y1825" s="491"/>
      <c r="Z1825" s="491"/>
      <c r="AA1825" s="491"/>
      <c r="AB1825" s="491"/>
      <c r="AC1825" s="491"/>
      <c r="AD1825" s="493"/>
    </row>
    <row r="1826" spans="18:30" x14ac:dyDescent="0.25">
      <c r="R1826" s="491"/>
      <c r="S1826" s="491"/>
      <c r="T1826" s="491"/>
      <c r="U1826" s="491"/>
      <c r="V1826" s="491"/>
      <c r="W1826" s="491"/>
      <c r="X1826" s="491"/>
      <c r="Y1826" s="491"/>
      <c r="Z1826" s="491"/>
      <c r="AA1826" s="491"/>
      <c r="AB1826" s="491"/>
      <c r="AC1826" s="491"/>
      <c r="AD1826" s="493"/>
    </row>
    <row r="1827" spans="18:30" x14ac:dyDescent="0.25">
      <c r="R1827" s="491"/>
      <c r="S1827" s="491"/>
      <c r="T1827" s="491"/>
      <c r="U1827" s="491"/>
      <c r="V1827" s="491"/>
      <c r="W1827" s="491"/>
      <c r="X1827" s="491"/>
      <c r="Y1827" s="491"/>
      <c r="Z1827" s="491"/>
      <c r="AA1827" s="491"/>
      <c r="AB1827" s="491"/>
      <c r="AC1827" s="491"/>
      <c r="AD1827" s="493"/>
    </row>
    <row r="1828" spans="18:30" x14ac:dyDescent="0.25">
      <c r="R1828" s="491"/>
      <c r="S1828" s="491"/>
      <c r="T1828" s="491"/>
      <c r="U1828" s="491"/>
      <c r="V1828" s="491"/>
      <c r="W1828" s="491"/>
      <c r="X1828" s="491"/>
      <c r="Y1828" s="491"/>
      <c r="Z1828" s="491"/>
      <c r="AA1828" s="491"/>
      <c r="AB1828" s="491"/>
      <c r="AC1828" s="491"/>
      <c r="AD1828" s="493"/>
    </row>
    <row r="1829" spans="18:30" x14ac:dyDescent="0.25">
      <c r="R1829" s="491"/>
      <c r="S1829" s="491"/>
      <c r="T1829" s="491"/>
      <c r="U1829" s="491"/>
      <c r="V1829" s="491"/>
      <c r="W1829" s="491"/>
      <c r="X1829" s="491"/>
      <c r="Y1829" s="491"/>
      <c r="Z1829" s="491"/>
      <c r="AA1829" s="491"/>
      <c r="AB1829" s="491"/>
      <c r="AC1829" s="491"/>
      <c r="AD1829" s="493"/>
    </row>
    <row r="1830" spans="18:30" x14ac:dyDescent="0.25">
      <c r="R1830" s="491"/>
      <c r="S1830" s="491"/>
      <c r="T1830" s="491"/>
      <c r="U1830" s="491"/>
      <c r="V1830" s="491"/>
      <c r="W1830" s="491"/>
      <c r="X1830" s="491"/>
      <c r="Y1830" s="491"/>
      <c r="Z1830" s="491"/>
      <c r="AA1830" s="491"/>
      <c r="AB1830" s="491"/>
      <c r="AC1830" s="491"/>
      <c r="AD1830" s="493"/>
    </row>
    <row r="1831" spans="18:30" x14ac:dyDescent="0.25">
      <c r="R1831" s="491"/>
      <c r="S1831" s="491"/>
      <c r="T1831" s="491"/>
      <c r="U1831" s="491"/>
      <c r="V1831" s="491"/>
      <c r="W1831" s="491"/>
      <c r="X1831" s="491"/>
      <c r="Y1831" s="491"/>
      <c r="Z1831" s="491"/>
      <c r="AA1831" s="491"/>
      <c r="AB1831" s="491"/>
      <c r="AC1831" s="491"/>
      <c r="AD1831" s="493"/>
    </row>
    <row r="1832" spans="18:30" x14ac:dyDescent="0.25">
      <c r="R1832" s="491"/>
      <c r="S1832" s="491"/>
      <c r="T1832" s="491"/>
      <c r="U1832" s="491"/>
      <c r="V1832" s="491"/>
      <c r="W1832" s="491"/>
      <c r="X1832" s="491"/>
      <c r="Y1832" s="491"/>
      <c r="Z1832" s="491"/>
      <c r="AA1832" s="491"/>
      <c r="AB1832" s="491"/>
      <c r="AC1832" s="491"/>
      <c r="AD1832" s="493"/>
    </row>
    <row r="1833" spans="18:30" x14ac:dyDescent="0.25">
      <c r="R1833" s="491"/>
      <c r="S1833" s="491"/>
      <c r="T1833" s="491"/>
      <c r="U1833" s="491"/>
      <c r="V1833" s="491"/>
      <c r="W1833" s="491"/>
      <c r="X1833" s="491"/>
      <c r="Y1833" s="491"/>
      <c r="Z1833" s="491"/>
      <c r="AA1833" s="491"/>
      <c r="AB1833" s="491"/>
      <c r="AC1833" s="491"/>
      <c r="AD1833" s="493"/>
    </row>
    <row r="1834" spans="18:30" x14ac:dyDescent="0.25">
      <c r="R1834" s="491"/>
      <c r="S1834" s="491"/>
      <c r="T1834" s="491"/>
      <c r="U1834" s="491"/>
      <c r="V1834" s="491"/>
      <c r="W1834" s="491"/>
      <c r="X1834" s="491"/>
      <c r="Y1834" s="491"/>
      <c r="Z1834" s="491"/>
      <c r="AA1834" s="491"/>
      <c r="AB1834" s="491"/>
      <c r="AC1834" s="491"/>
      <c r="AD1834" s="493"/>
    </row>
    <row r="1835" spans="18:30" x14ac:dyDescent="0.25">
      <c r="R1835" s="491"/>
      <c r="S1835" s="491"/>
      <c r="T1835" s="491"/>
      <c r="U1835" s="491"/>
      <c r="V1835" s="491"/>
      <c r="W1835" s="491"/>
      <c r="X1835" s="491"/>
      <c r="Y1835" s="491"/>
      <c r="Z1835" s="491"/>
      <c r="AA1835" s="491"/>
      <c r="AB1835" s="491"/>
      <c r="AC1835" s="491"/>
      <c r="AD1835" s="493"/>
    </row>
    <row r="1836" spans="18:30" x14ac:dyDescent="0.25">
      <c r="R1836" s="491"/>
      <c r="S1836" s="491"/>
      <c r="T1836" s="491"/>
      <c r="U1836" s="491"/>
      <c r="V1836" s="491"/>
      <c r="W1836" s="491"/>
      <c r="X1836" s="491"/>
      <c r="Y1836" s="491"/>
      <c r="Z1836" s="491"/>
      <c r="AA1836" s="491"/>
      <c r="AB1836" s="491"/>
      <c r="AC1836" s="491"/>
      <c r="AD1836" s="493"/>
    </row>
    <row r="1837" spans="18:30" x14ac:dyDescent="0.25">
      <c r="R1837" s="491"/>
      <c r="S1837" s="491"/>
      <c r="T1837" s="491"/>
      <c r="U1837" s="491"/>
      <c r="V1837" s="491"/>
      <c r="W1837" s="491"/>
      <c r="X1837" s="491"/>
      <c r="Y1837" s="491"/>
      <c r="Z1837" s="491"/>
      <c r="AA1837" s="491"/>
      <c r="AB1837" s="491"/>
      <c r="AC1837" s="491"/>
      <c r="AD1837" s="493"/>
    </row>
    <row r="1838" spans="18:30" x14ac:dyDescent="0.25">
      <c r="R1838" s="491"/>
      <c r="S1838" s="491"/>
      <c r="T1838" s="491"/>
      <c r="U1838" s="491"/>
      <c r="V1838" s="491"/>
      <c r="W1838" s="491"/>
      <c r="X1838" s="491"/>
      <c r="Y1838" s="491"/>
      <c r="Z1838" s="491"/>
      <c r="AA1838" s="491"/>
      <c r="AB1838" s="491"/>
      <c r="AC1838" s="491"/>
      <c r="AD1838" s="493"/>
    </row>
  </sheetData>
  <mergeCells count="940">
    <mergeCell ref="C82:C87"/>
    <mergeCell ref="S82:S87"/>
    <mergeCell ref="AF82:AF87"/>
    <mergeCell ref="AG82:AG87"/>
    <mergeCell ref="AH82:AH87"/>
    <mergeCell ref="AI82:AI87"/>
    <mergeCell ref="AJ82:AJ87"/>
    <mergeCell ref="AL82:AL87"/>
    <mergeCell ref="AM82:AM87"/>
    <mergeCell ref="A1:D3"/>
    <mergeCell ref="E1:AZ1"/>
    <mergeCell ref="E2:AZ2"/>
    <mergeCell ref="E3:AD3"/>
    <mergeCell ref="AE3:AZ3"/>
    <mergeCell ref="A4:D4"/>
    <mergeCell ref="E4:AZ4"/>
    <mergeCell ref="A5:D5"/>
    <mergeCell ref="E5:AZ5"/>
    <mergeCell ref="A6:D6"/>
    <mergeCell ref="E6:AZ6"/>
    <mergeCell ref="A7:AZ7"/>
    <mergeCell ref="A8:F8"/>
    <mergeCell ref="G8:S8"/>
    <mergeCell ref="T8:AF8"/>
    <mergeCell ref="AH8:AL8"/>
    <mergeCell ref="AM8:AN8"/>
    <mergeCell ref="AP8:AY8"/>
    <mergeCell ref="AZ8:AZ9"/>
    <mergeCell ref="A10:A123"/>
    <mergeCell ref="B10:B123"/>
    <mergeCell ref="C10:C15"/>
    <mergeCell ref="S10:S15"/>
    <mergeCell ref="AF10:AF15"/>
    <mergeCell ref="AG10:AG15"/>
    <mergeCell ref="AH10:AH15"/>
    <mergeCell ref="AI10:AI15"/>
    <mergeCell ref="AV10:AV15"/>
    <mergeCell ref="AQ34:AQ39"/>
    <mergeCell ref="C34:C39"/>
    <mergeCell ref="S34:S39"/>
    <mergeCell ref="AF34:AF39"/>
    <mergeCell ref="AG34:AG39"/>
    <mergeCell ref="AH34:AH39"/>
    <mergeCell ref="AI34:AI39"/>
    <mergeCell ref="AV28:AV33"/>
    <mergeCell ref="AI28:AI33"/>
    <mergeCell ref="AJ28:AJ33"/>
    <mergeCell ref="AL28:AL33"/>
    <mergeCell ref="AM28:AM33"/>
    <mergeCell ref="AO28:AO33"/>
    <mergeCell ref="AP28:AP33"/>
    <mergeCell ref="AP40:AP45"/>
    <mergeCell ref="AW10:AW15"/>
    <mergeCell ref="AX10:AX15"/>
    <mergeCell ref="AY10:AY15"/>
    <mergeCell ref="AZ10:AZ15"/>
    <mergeCell ref="C16:C21"/>
    <mergeCell ref="S16:S21"/>
    <mergeCell ref="AF16:AF21"/>
    <mergeCell ref="AG16:AG21"/>
    <mergeCell ref="AH16:AH21"/>
    <mergeCell ref="AP10:AP15"/>
    <mergeCell ref="AQ10:AQ15"/>
    <mergeCell ref="AR10:AR15"/>
    <mergeCell ref="AS10:AS15"/>
    <mergeCell ref="AT10:AT15"/>
    <mergeCell ref="AU10:AU15"/>
    <mergeCell ref="AJ10:AJ15"/>
    <mergeCell ref="AK10:AK117"/>
    <mergeCell ref="AL10:AL15"/>
    <mergeCell ref="AM10:AM15"/>
    <mergeCell ref="AN10:AN117"/>
    <mergeCell ref="AO10:AO15"/>
    <mergeCell ref="AJ22:AJ27"/>
    <mergeCell ref="AL22:AL27"/>
    <mergeCell ref="AW16:AW21"/>
    <mergeCell ref="AX16:AX21"/>
    <mergeCell ref="AY16:AY21"/>
    <mergeCell ref="AZ16:AZ21"/>
    <mergeCell ref="C22:C27"/>
    <mergeCell ref="S22:S27"/>
    <mergeCell ref="AF22:AF27"/>
    <mergeCell ref="AG22:AG27"/>
    <mergeCell ref="AH22:AH27"/>
    <mergeCell ref="AI22:AI27"/>
    <mergeCell ref="AQ16:AQ21"/>
    <mergeCell ref="AR16:AR21"/>
    <mergeCell ref="AS16:AS21"/>
    <mergeCell ref="AT16:AT21"/>
    <mergeCell ref="AU16:AU21"/>
    <mergeCell ref="AV16:AV21"/>
    <mergeCell ref="AI16:AI21"/>
    <mergeCell ref="AJ16:AJ21"/>
    <mergeCell ref="AL16:AL21"/>
    <mergeCell ref="AM16:AM21"/>
    <mergeCell ref="AO16:AO21"/>
    <mergeCell ref="AP16:AP21"/>
    <mergeCell ref="AM22:AM27"/>
    <mergeCell ref="AO22:AO27"/>
    <mergeCell ref="AV22:AV27"/>
    <mergeCell ref="AW22:AW27"/>
    <mergeCell ref="AX22:AX27"/>
    <mergeCell ref="AY22:AY27"/>
    <mergeCell ref="AZ22:AZ27"/>
    <mergeCell ref="C28:C33"/>
    <mergeCell ref="S28:S33"/>
    <mergeCell ref="AF28:AF33"/>
    <mergeCell ref="AG28:AG33"/>
    <mergeCell ref="AH28:AH33"/>
    <mergeCell ref="AP22:AP27"/>
    <mergeCell ref="AQ22:AQ27"/>
    <mergeCell ref="AR22:AR27"/>
    <mergeCell ref="AS22:AS27"/>
    <mergeCell ref="AT22:AT27"/>
    <mergeCell ref="AU22:AU27"/>
    <mergeCell ref="AW28:AW33"/>
    <mergeCell ref="AX28:AX33"/>
    <mergeCell ref="AY28:AY33"/>
    <mergeCell ref="AZ28:AZ33"/>
    <mergeCell ref="AQ28:AQ33"/>
    <mergeCell ref="AR28:AR33"/>
    <mergeCell ref="AS28:AS33"/>
    <mergeCell ref="AT28:AT33"/>
    <mergeCell ref="AU28:AU33"/>
    <mergeCell ref="AQ40:AQ45"/>
    <mergeCell ref="AR40:AR45"/>
    <mergeCell ref="AX34:AX39"/>
    <mergeCell ref="AY34:AY39"/>
    <mergeCell ref="AZ34:AZ39"/>
    <mergeCell ref="C40:C45"/>
    <mergeCell ref="S40:S45"/>
    <mergeCell ref="AF40:AF45"/>
    <mergeCell ref="AG40:AG45"/>
    <mergeCell ref="AH40:AH45"/>
    <mergeCell ref="AI40:AI45"/>
    <mergeCell ref="AJ40:AJ45"/>
    <mergeCell ref="AR34:AR39"/>
    <mergeCell ref="AS34:AS39"/>
    <mergeCell ref="AT34:AT39"/>
    <mergeCell ref="AU34:AU39"/>
    <mergeCell ref="AV34:AV39"/>
    <mergeCell ref="AW34:AW39"/>
    <mergeCell ref="AJ34:AJ39"/>
    <mergeCell ref="AL34:AL39"/>
    <mergeCell ref="AM34:AM39"/>
    <mergeCell ref="AO34:AO39"/>
    <mergeCell ref="AP34:AP39"/>
    <mergeCell ref="AO46:AO51"/>
    <mergeCell ref="AP46:AP51"/>
    <mergeCell ref="AQ46:AQ51"/>
    <mergeCell ref="AR46:AR51"/>
    <mergeCell ref="AS46:AS51"/>
    <mergeCell ref="AY40:AY45"/>
    <mergeCell ref="AZ40:AZ45"/>
    <mergeCell ref="C46:C51"/>
    <mergeCell ref="S46:S51"/>
    <mergeCell ref="AF46:AF51"/>
    <mergeCell ref="AG46:AG51"/>
    <mergeCell ref="AH46:AH51"/>
    <mergeCell ref="AI46:AI51"/>
    <mergeCell ref="AJ46:AJ51"/>
    <mergeCell ref="AL46:AL51"/>
    <mergeCell ref="AS40:AS45"/>
    <mergeCell ref="AT40:AT45"/>
    <mergeCell ref="AU40:AU45"/>
    <mergeCell ref="AV40:AV45"/>
    <mergeCell ref="AW40:AW45"/>
    <mergeCell ref="AX40:AX45"/>
    <mergeCell ref="AL40:AL45"/>
    <mergeCell ref="AM40:AM45"/>
    <mergeCell ref="AO40:AO45"/>
    <mergeCell ref="AZ52:AZ57"/>
    <mergeCell ref="AO52:AO57"/>
    <mergeCell ref="AP52:AP57"/>
    <mergeCell ref="AQ52:AQ57"/>
    <mergeCell ref="AR52:AR57"/>
    <mergeCell ref="AS52:AS57"/>
    <mergeCell ref="AT52:AT57"/>
    <mergeCell ref="AZ46:AZ51"/>
    <mergeCell ref="C52:C57"/>
    <mergeCell ref="S52:S57"/>
    <mergeCell ref="AF52:AF57"/>
    <mergeCell ref="AG52:AG57"/>
    <mergeCell ref="AH52:AH57"/>
    <mergeCell ref="AI52:AI57"/>
    <mergeCell ref="AJ52:AJ57"/>
    <mergeCell ref="AL52:AL57"/>
    <mergeCell ref="AM52:AM57"/>
    <mergeCell ref="AT46:AT51"/>
    <mergeCell ref="AU46:AU51"/>
    <mergeCell ref="AV46:AV51"/>
    <mergeCell ref="AW46:AW51"/>
    <mergeCell ref="AX46:AX51"/>
    <mergeCell ref="AY46:AY51"/>
    <mergeCell ref="AM46:AM51"/>
    <mergeCell ref="AF58:AF63"/>
    <mergeCell ref="AG58:AG63"/>
    <mergeCell ref="AH58:AH63"/>
    <mergeCell ref="AI58:AI63"/>
    <mergeCell ref="AU52:AU57"/>
    <mergeCell ref="AV52:AV57"/>
    <mergeCell ref="AW52:AW57"/>
    <mergeCell ref="AX52:AX57"/>
    <mergeCell ref="AY52:AY57"/>
    <mergeCell ref="AX58:AX63"/>
    <mergeCell ref="AY58:AY63"/>
    <mergeCell ref="AZ58:AZ63"/>
    <mergeCell ref="C64:C69"/>
    <mergeCell ref="S64:S69"/>
    <mergeCell ref="AF64:AF69"/>
    <mergeCell ref="AG64:AG69"/>
    <mergeCell ref="AH64:AH69"/>
    <mergeCell ref="AI64:AI69"/>
    <mergeCell ref="AJ64:AJ69"/>
    <mergeCell ref="AR58:AR63"/>
    <mergeCell ref="AS58:AS63"/>
    <mergeCell ref="AT58:AT63"/>
    <mergeCell ref="AU58:AU63"/>
    <mergeCell ref="AV58:AV63"/>
    <mergeCell ref="AW58:AW63"/>
    <mergeCell ref="AJ58:AJ63"/>
    <mergeCell ref="AL58:AL63"/>
    <mergeCell ref="AM58:AM63"/>
    <mergeCell ref="AO58:AO63"/>
    <mergeCell ref="AP58:AP63"/>
    <mergeCell ref="AQ58:AQ63"/>
    <mergeCell ref="C58:C63"/>
    <mergeCell ref="S58:S63"/>
    <mergeCell ref="AY64:AY69"/>
    <mergeCell ref="AZ64:AZ69"/>
    <mergeCell ref="C70:C75"/>
    <mergeCell ref="S70:S75"/>
    <mergeCell ref="AF70:AF75"/>
    <mergeCell ref="AG70:AG75"/>
    <mergeCell ref="AH70:AH75"/>
    <mergeCell ref="AI70:AI75"/>
    <mergeCell ref="AJ70:AJ75"/>
    <mergeCell ref="AL70:AL75"/>
    <mergeCell ref="AS64:AS69"/>
    <mergeCell ref="AT64:AT69"/>
    <mergeCell ref="AU64:AU69"/>
    <mergeCell ref="AV64:AV69"/>
    <mergeCell ref="AW64:AW69"/>
    <mergeCell ref="AX64:AX69"/>
    <mergeCell ref="AL64:AL69"/>
    <mergeCell ref="AM64:AM69"/>
    <mergeCell ref="AO64:AO69"/>
    <mergeCell ref="AP64:AP69"/>
    <mergeCell ref="AQ64:AQ69"/>
    <mergeCell ref="AR64:AR69"/>
    <mergeCell ref="AZ70:AZ75"/>
    <mergeCell ref="C76:C81"/>
    <mergeCell ref="S76:S81"/>
    <mergeCell ref="AF76:AF81"/>
    <mergeCell ref="AG76:AG81"/>
    <mergeCell ref="AH76:AH81"/>
    <mergeCell ref="AI76:AI81"/>
    <mergeCell ref="AJ76:AJ81"/>
    <mergeCell ref="AL76:AL81"/>
    <mergeCell ref="AM76:AM81"/>
    <mergeCell ref="AT70:AT75"/>
    <mergeCell ref="AU70:AU75"/>
    <mergeCell ref="AV70:AV75"/>
    <mergeCell ref="AW70:AW75"/>
    <mergeCell ref="AX70:AX75"/>
    <mergeCell ref="AY70:AY75"/>
    <mergeCell ref="AM70:AM75"/>
    <mergeCell ref="AO70:AO75"/>
    <mergeCell ref="AP70:AP75"/>
    <mergeCell ref="AQ70:AQ75"/>
    <mergeCell ref="AR70:AR75"/>
    <mergeCell ref="AS70:AS75"/>
    <mergeCell ref="AW76:AW81"/>
    <mergeCell ref="AX76:AX81"/>
    <mergeCell ref="AY76:AY81"/>
    <mergeCell ref="AZ76:AZ81"/>
    <mergeCell ref="AO76:AO81"/>
    <mergeCell ref="AP76:AP81"/>
    <mergeCell ref="AQ76:AQ81"/>
    <mergeCell ref="AR76:AR81"/>
    <mergeCell ref="AS76:AS81"/>
    <mergeCell ref="AT76:AT81"/>
    <mergeCell ref="AQ88:AQ93"/>
    <mergeCell ref="AX88:AX93"/>
    <mergeCell ref="AY88:AY93"/>
    <mergeCell ref="AZ88:AZ93"/>
    <mergeCell ref="AW88:AW93"/>
    <mergeCell ref="AO82:AO87"/>
    <mergeCell ref="AP82:AP87"/>
    <mergeCell ref="AQ82:AQ87"/>
    <mergeCell ref="AR82:AR87"/>
    <mergeCell ref="AS82:AS87"/>
    <mergeCell ref="AT82:AT87"/>
    <mergeCell ref="AU82:AU87"/>
    <mergeCell ref="AV82:AV87"/>
    <mergeCell ref="AW82:AW87"/>
    <mergeCell ref="AX82:AX87"/>
    <mergeCell ref="AY82:AY87"/>
    <mergeCell ref="C88:C93"/>
    <mergeCell ref="S88:S93"/>
    <mergeCell ref="AF88:AF93"/>
    <mergeCell ref="AG88:AG93"/>
    <mergeCell ref="AH88:AH93"/>
    <mergeCell ref="AI88:AI93"/>
    <mergeCell ref="AU76:AU81"/>
    <mergeCell ref="AV76:AV81"/>
    <mergeCell ref="AP94:AP99"/>
    <mergeCell ref="AQ94:AQ99"/>
    <mergeCell ref="AR94:AR99"/>
    <mergeCell ref="C94:C99"/>
    <mergeCell ref="S94:S99"/>
    <mergeCell ref="AF94:AF99"/>
    <mergeCell ref="AG94:AG99"/>
    <mergeCell ref="AH94:AH99"/>
    <mergeCell ref="AI94:AI99"/>
    <mergeCell ref="AJ94:AJ99"/>
    <mergeCell ref="AR88:AR93"/>
    <mergeCell ref="AS88:AS93"/>
    <mergeCell ref="AT88:AT93"/>
    <mergeCell ref="AU88:AU93"/>
    <mergeCell ref="AV88:AV93"/>
    <mergeCell ref="AJ88:AJ93"/>
    <mergeCell ref="AL88:AL93"/>
    <mergeCell ref="AM88:AM93"/>
    <mergeCell ref="AO88:AO93"/>
    <mergeCell ref="AP88:AP93"/>
    <mergeCell ref="AO100:AO105"/>
    <mergeCell ref="AP100:AP105"/>
    <mergeCell ref="AQ100:AQ105"/>
    <mergeCell ref="AR100:AR105"/>
    <mergeCell ref="AS100:AS105"/>
    <mergeCell ref="AY94:AY99"/>
    <mergeCell ref="AZ94:AZ99"/>
    <mergeCell ref="C100:C105"/>
    <mergeCell ref="S100:S105"/>
    <mergeCell ref="AF100:AF105"/>
    <mergeCell ref="AG100:AG105"/>
    <mergeCell ref="AH100:AH105"/>
    <mergeCell ref="AI100:AI105"/>
    <mergeCell ref="AJ100:AJ105"/>
    <mergeCell ref="AL100:AL105"/>
    <mergeCell ref="AS94:AS99"/>
    <mergeCell ref="AT94:AT99"/>
    <mergeCell ref="AU94:AU99"/>
    <mergeCell ref="AV94:AV99"/>
    <mergeCell ref="AW94:AW99"/>
    <mergeCell ref="AX94:AX99"/>
    <mergeCell ref="AL94:AL99"/>
    <mergeCell ref="AM94:AM99"/>
    <mergeCell ref="AO94:AO99"/>
    <mergeCell ref="AZ106:AZ111"/>
    <mergeCell ref="AO106:AO111"/>
    <mergeCell ref="AP106:AP111"/>
    <mergeCell ref="AQ106:AQ111"/>
    <mergeCell ref="AR106:AR111"/>
    <mergeCell ref="AS106:AS111"/>
    <mergeCell ref="AT106:AT111"/>
    <mergeCell ref="AZ100:AZ105"/>
    <mergeCell ref="C106:C111"/>
    <mergeCell ref="S106:S111"/>
    <mergeCell ref="AF106:AF111"/>
    <mergeCell ref="AG106:AG111"/>
    <mergeCell ref="AH106:AH111"/>
    <mergeCell ref="AI106:AI111"/>
    <mergeCell ref="AJ106:AJ111"/>
    <mergeCell ref="AL106:AL111"/>
    <mergeCell ref="AM106:AM111"/>
    <mergeCell ref="AT100:AT105"/>
    <mergeCell ref="AU100:AU105"/>
    <mergeCell ref="AV100:AV105"/>
    <mergeCell ref="AW100:AW105"/>
    <mergeCell ref="AX100:AX105"/>
    <mergeCell ref="AY100:AY105"/>
    <mergeCell ref="AM100:AM105"/>
    <mergeCell ref="AF112:AF117"/>
    <mergeCell ref="AG112:AG117"/>
    <mergeCell ref="AH112:AH117"/>
    <mergeCell ref="AI112:AI117"/>
    <mergeCell ref="AU106:AU111"/>
    <mergeCell ref="AV106:AV111"/>
    <mergeCell ref="AW106:AW111"/>
    <mergeCell ref="AX106:AX111"/>
    <mergeCell ref="AY106:AY111"/>
    <mergeCell ref="AX112:AX117"/>
    <mergeCell ref="AY112:AY117"/>
    <mergeCell ref="AZ112:AZ117"/>
    <mergeCell ref="C118:C123"/>
    <mergeCell ref="S118:S123"/>
    <mergeCell ref="AF118:AF123"/>
    <mergeCell ref="AG118:AG123"/>
    <mergeCell ref="AH118:AH123"/>
    <mergeCell ref="AI118:AI123"/>
    <mergeCell ref="AJ118:AJ123"/>
    <mergeCell ref="AR112:AR117"/>
    <mergeCell ref="AS112:AS117"/>
    <mergeCell ref="AT112:AT117"/>
    <mergeCell ref="AU112:AU117"/>
    <mergeCell ref="AV112:AV117"/>
    <mergeCell ref="AW112:AW117"/>
    <mergeCell ref="AJ112:AJ117"/>
    <mergeCell ref="AL112:AL117"/>
    <mergeCell ref="AM112:AM117"/>
    <mergeCell ref="AO112:AO117"/>
    <mergeCell ref="AP112:AP117"/>
    <mergeCell ref="AQ112:AQ117"/>
    <mergeCell ref="C112:C117"/>
    <mergeCell ref="S112:S117"/>
    <mergeCell ref="AW118:AW123"/>
    <mergeCell ref="AX118:AX123"/>
    <mergeCell ref="AY118:AY123"/>
    <mergeCell ref="AZ118:AZ123"/>
    <mergeCell ref="A124:B129"/>
    <mergeCell ref="C124:C129"/>
    <mergeCell ref="S124:S129"/>
    <mergeCell ref="AF124:AF129"/>
    <mergeCell ref="AG124:AG129"/>
    <mergeCell ref="AH124:AH129"/>
    <mergeCell ref="AQ118:AQ123"/>
    <mergeCell ref="AR118:AR123"/>
    <mergeCell ref="AS118:AS123"/>
    <mergeCell ref="AT118:AT123"/>
    <mergeCell ref="AU118:AU123"/>
    <mergeCell ref="AV118:AV123"/>
    <mergeCell ref="AK118:AK123"/>
    <mergeCell ref="AL118:AL123"/>
    <mergeCell ref="AM118:AM123"/>
    <mergeCell ref="AN118:AN123"/>
    <mergeCell ref="AO118:AO123"/>
    <mergeCell ref="AP118:AP123"/>
    <mergeCell ref="AV124:AV129"/>
    <mergeCell ref="AW124:AW129"/>
    <mergeCell ref="AX124:AX129"/>
    <mergeCell ref="AY124:AY129"/>
    <mergeCell ref="AZ124:AZ129"/>
    <mergeCell ref="AO124:AO129"/>
    <mergeCell ref="AP124:AP129"/>
    <mergeCell ref="AQ124:AQ129"/>
    <mergeCell ref="AR124:AR129"/>
    <mergeCell ref="AS124:AS129"/>
    <mergeCell ref="AT124:AT129"/>
    <mergeCell ref="C130:C135"/>
    <mergeCell ref="AF130:AF135"/>
    <mergeCell ref="AG130:AG135"/>
    <mergeCell ref="AH130:AH135"/>
    <mergeCell ref="S130:S135"/>
    <mergeCell ref="C136:C141"/>
    <mergeCell ref="AF136:AF141"/>
    <mergeCell ref="AG136:AG141"/>
    <mergeCell ref="AH136:AH141"/>
    <mergeCell ref="AU124:AU129"/>
    <mergeCell ref="AI124:AI129"/>
    <mergeCell ref="AJ124:AJ129"/>
    <mergeCell ref="AK124:AK129"/>
    <mergeCell ref="AL124:AL129"/>
    <mergeCell ref="AM124:AM129"/>
    <mergeCell ref="AN124:AN129"/>
    <mergeCell ref="AO130:AO135"/>
    <mergeCell ref="AP130:AP135"/>
    <mergeCell ref="AQ130:AQ135"/>
    <mergeCell ref="AR130:AR135"/>
    <mergeCell ref="AS130:AS135"/>
    <mergeCell ref="AT130:AT135"/>
    <mergeCell ref="AI130:AI135"/>
    <mergeCell ref="AJ130:AJ135"/>
    <mergeCell ref="AK130:AK237"/>
    <mergeCell ref="AL130:AL135"/>
    <mergeCell ref="AM130:AM135"/>
    <mergeCell ref="AN130:AN237"/>
    <mergeCell ref="AI136:AI141"/>
    <mergeCell ref="AJ136:AJ141"/>
    <mergeCell ref="AL136:AL141"/>
    <mergeCell ref="AM136:AM141"/>
    <mergeCell ref="AU130:AU135"/>
    <mergeCell ref="AV130:AV135"/>
    <mergeCell ref="AW130:AW135"/>
    <mergeCell ref="AX130:AX135"/>
    <mergeCell ref="AY130:AY135"/>
    <mergeCell ref="AZ130:AZ237"/>
    <mergeCell ref="AU136:AU141"/>
    <mergeCell ref="AV136:AV141"/>
    <mergeCell ref="AW136:AW141"/>
    <mergeCell ref="AX136:AX141"/>
    <mergeCell ref="AY136:AY141"/>
    <mergeCell ref="AO136:AO141"/>
    <mergeCell ref="AP136:AP141"/>
    <mergeCell ref="AQ136:AQ141"/>
    <mergeCell ref="AR136:AR141"/>
    <mergeCell ref="AS136:AS141"/>
    <mergeCell ref="AT136:AT141"/>
    <mergeCell ref="AV142:AV147"/>
    <mergeCell ref="AW142:AW147"/>
    <mergeCell ref="AX142:AX147"/>
    <mergeCell ref="AY142:AY147"/>
    <mergeCell ref="C148:C153"/>
    <mergeCell ref="AF148:AF153"/>
    <mergeCell ref="AG148:AG153"/>
    <mergeCell ref="AH148:AH153"/>
    <mergeCell ref="AI148:AI153"/>
    <mergeCell ref="AJ148:AJ153"/>
    <mergeCell ref="AP142:AP147"/>
    <mergeCell ref="AQ142:AQ147"/>
    <mergeCell ref="AR142:AR147"/>
    <mergeCell ref="AR148:AR153"/>
    <mergeCell ref="C142:C147"/>
    <mergeCell ref="AF142:AF147"/>
    <mergeCell ref="AG142:AG147"/>
    <mergeCell ref="AH142:AH147"/>
    <mergeCell ref="AI142:AI147"/>
    <mergeCell ref="AJ142:AJ147"/>
    <mergeCell ref="AL142:AL147"/>
    <mergeCell ref="AM142:AM147"/>
    <mergeCell ref="AO142:AO147"/>
    <mergeCell ref="AS142:AS147"/>
    <mergeCell ref="AT142:AT147"/>
    <mergeCell ref="AU142:AU147"/>
    <mergeCell ref="AY148:AY153"/>
    <mergeCell ref="C154:C159"/>
    <mergeCell ref="AF154:AF159"/>
    <mergeCell ref="AG154:AG159"/>
    <mergeCell ref="AH154:AH159"/>
    <mergeCell ref="AI154:AI159"/>
    <mergeCell ref="AJ154:AJ159"/>
    <mergeCell ref="AL154:AL159"/>
    <mergeCell ref="AM154:AM159"/>
    <mergeCell ref="AO154:AO159"/>
    <mergeCell ref="AS148:AS153"/>
    <mergeCell ref="AT148:AT153"/>
    <mergeCell ref="AU148:AU153"/>
    <mergeCell ref="AV148:AV153"/>
    <mergeCell ref="AW148:AW153"/>
    <mergeCell ref="AX148:AX153"/>
    <mergeCell ref="AL148:AL153"/>
    <mergeCell ref="AM148:AM153"/>
    <mergeCell ref="AO148:AO153"/>
    <mergeCell ref="AP148:AP153"/>
    <mergeCell ref="AQ148:AQ153"/>
    <mergeCell ref="AV154:AV159"/>
    <mergeCell ref="AW154:AW159"/>
    <mergeCell ref="AX154:AX159"/>
    <mergeCell ref="AY154:AY159"/>
    <mergeCell ref="C160:C165"/>
    <mergeCell ref="AF160:AF165"/>
    <mergeCell ref="AG160:AG165"/>
    <mergeCell ref="AH160:AH165"/>
    <mergeCell ref="AI160:AI165"/>
    <mergeCell ref="AJ160:AJ165"/>
    <mergeCell ref="AP154:AP159"/>
    <mergeCell ref="AQ154:AQ159"/>
    <mergeCell ref="AR154:AR159"/>
    <mergeCell ref="AS154:AS159"/>
    <mergeCell ref="AT154:AT159"/>
    <mergeCell ref="AU154:AU159"/>
    <mergeCell ref="AY160:AY165"/>
    <mergeCell ref="AS160:AS165"/>
    <mergeCell ref="AT160:AT165"/>
    <mergeCell ref="AU160:AU165"/>
    <mergeCell ref="AV160:AV165"/>
    <mergeCell ref="AW160:AW165"/>
    <mergeCell ref="AX160:AX165"/>
    <mergeCell ref="AL160:AL165"/>
    <mergeCell ref="AM160:AM165"/>
    <mergeCell ref="AO160:AO165"/>
    <mergeCell ref="AP160:AP165"/>
    <mergeCell ref="AQ160:AQ165"/>
    <mergeCell ref="AR160:AR165"/>
    <mergeCell ref="AV166:AV171"/>
    <mergeCell ref="AW166:AW171"/>
    <mergeCell ref="AX166:AX171"/>
    <mergeCell ref="AY166:AY171"/>
    <mergeCell ref="AS166:AS171"/>
    <mergeCell ref="AT166:AT171"/>
    <mergeCell ref="AU166:AU171"/>
    <mergeCell ref="AM166:AM171"/>
    <mergeCell ref="AO166:AO171"/>
    <mergeCell ref="C172:C177"/>
    <mergeCell ref="AF172:AF177"/>
    <mergeCell ref="AG172:AG177"/>
    <mergeCell ref="AH172:AH177"/>
    <mergeCell ref="AI172:AI177"/>
    <mergeCell ref="AJ172:AJ177"/>
    <mergeCell ref="AP166:AP171"/>
    <mergeCell ref="AQ166:AQ171"/>
    <mergeCell ref="AR166:AR171"/>
    <mergeCell ref="C166:C171"/>
    <mergeCell ref="AF166:AF171"/>
    <mergeCell ref="AG166:AG171"/>
    <mergeCell ref="AH166:AH171"/>
    <mergeCell ref="AI166:AI171"/>
    <mergeCell ref="AJ166:AJ171"/>
    <mergeCell ref="AL166:AL171"/>
    <mergeCell ref="AY172:AY177"/>
    <mergeCell ref="C178:C183"/>
    <mergeCell ref="AF178:AF183"/>
    <mergeCell ref="AG178:AG183"/>
    <mergeCell ref="AH178:AH183"/>
    <mergeCell ref="AI178:AI183"/>
    <mergeCell ref="AJ178:AJ183"/>
    <mergeCell ref="AL178:AL183"/>
    <mergeCell ref="AM178:AM183"/>
    <mergeCell ref="AO178:AO183"/>
    <mergeCell ref="AS172:AS177"/>
    <mergeCell ref="AT172:AT177"/>
    <mergeCell ref="AU172:AU177"/>
    <mergeCell ref="AV172:AV177"/>
    <mergeCell ref="AW172:AW177"/>
    <mergeCell ref="AX172:AX177"/>
    <mergeCell ref="AL172:AL177"/>
    <mergeCell ref="AM172:AM177"/>
    <mergeCell ref="AO172:AO177"/>
    <mergeCell ref="AP172:AP177"/>
    <mergeCell ref="AQ172:AQ177"/>
    <mergeCell ref="AR172:AR177"/>
    <mergeCell ref="AV178:AV183"/>
    <mergeCell ref="AW178:AW183"/>
    <mergeCell ref="AX178:AX183"/>
    <mergeCell ref="AY178:AY183"/>
    <mergeCell ref="C184:C189"/>
    <mergeCell ref="AF184:AF189"/>
    <mergeCell ref="AG184:AG189"/>
    <mergeCell ref="AH184:AH189"/>
    <mergeCell ref="AI184:AI189"/>
    <mergeCell ref="AJ184:AJ189"/>
    <mergeCell ref="AP178:AP183"/>
    <mergeCell ref="AQ178:AQ183"/>
    <mergeCell ref="AR178:AR183"/>
    <mergeCell ref="AS178:AS183"/>
    <mergeCell ref="AT178:AT183"/>
    <mergeCell ref="AU178:AU183"/>
    <mergeCell ref="AY184:AY189"/>
    <mergeCell ref="AS184:AS189"/>
    <mergeCell ref="AT184:AT189"/>
    <mergeCell ref="AU184:AU189"/>
    <mergeCell ref="AV184:AV189"/>
    <mergeCell ref="AW184:AW189"/>
    <mergeCell ref="AX184:AX189"/>
    <mergeCell ref="AL184:AL189"/>
    <mergeCell ref="AM184:AM189"/>
    <mergeCell ref="AO184:AO189"/>
    <mergeCell ref="C190:C195"/>
    <mergeCell ref="AF190:AF195"/>
    <mergeCell ref="AG190:AG195"/>
    <mergeCell ref="AH190:AH195"/>
    <mergeCell ref="AI190:AI195"/>
    <mergeCell ref="AJ190:AJ195"/>
    <mergeCell ref="AL190:AL195"/>
    <mergeCell ref="AM190:AM195"/>
    <mergeCell ref="AO190:AO195"/>
    <mergeCell ref="S190:S195"/>
    <mergeCell ref="AP184:AP189"/>
    <mergeCell ref="AQ184:AQ189"/>
    <mergeCell ref="AR184:AR189"/>
    <mergeCell ref="AV190:AV195"/>
    <mergeCell ref="AW190:AW195"/>
    <mergeCell ref="AX190:AX195"/>
    <mergeCell ref="AY190:AY195"/>
    <mergeCell ref="C196:C201"/>
    <mergeCell ref="AF196:AF201"/>
    <mergeCell ref="AG196:AG201"/>
    <mergeCell ref="AH196:AH201"/>
    <mergeCell ref="AI196:AI201"/>
    <mergeCell ref="AJ196:AJ201"/>
    <mergeCell ref="AP190:AP195"/>
    <mergeCell ref="AQ190:AQ195"/>
    <mergeCell ref="AR190:AR195"/>
    <mergeCell ref="AS190:AS195"/>
    <mergeCell ref="AT190:AT195"/>
    <mergeCell ref="AU190:AU195"/>
    <mergeCell ref="AY196:AY201"/>
    <mergeCell ref="AS196:AS201"/>
    <mergeCell ref="AT196:AT201"/>
    <mergeCell ref="AU196:AU201"/>
    <mergeCell ref="AV196:AV201"/>
    <mergeCell ref="C202:C207"/>
    <mergeCell ref="AF202:AF207"/>
    <mergeCell ref="AG202:AG207"/>
    <mergeCell ref="AH202:AH207"/>
    <mergeCell ref="AI202:AI207"/>
    <mergeCell ref="AJ202:AJ207"/>
    <mergeCell ref="AL202:AL207"/>
    <mergeCell ref="AM202:AM207"/>
    <mergeCell ref="AO202:AO207"/>
    <mergeCell ref="AW196:AW201"/>
    <mergeCell ref="AX196:AX201"/>
    <mergeCell ref="AL196:AL201"/>
    <mergeCell ref="AM196:AM201"/>
    <mergeCell ref="AO196:AO201"/>
    <mergeCell ref="AP196:AP201"/>
    <mergeCell ref="AQ196:AQ201"/>
    <mergeCell ref="AR196:AR201"/>
    <mergeCell ref="AV202:AV207"/>
    <mergeCell ref="AW202:AW207"/>
    <mergeCell ref="AX202:AX207"/>
    <mergeCell ref="AY202:AY207"/>
    <mergeCell ref="C208:C213"/>
    <mergeCell ref="AF208:AF213"/>
    <mergeCell ref="AG208:AG213"/>
    <mergeCell ref="AH208:AH213"/>
    <mergeCell ref="AI208:AI213"/>
    <mergeCell ref="AJ208:AJ213"/>
    <mergeCell ref="AP202:AP207"/>
    <mergeCell ref="AQ202:AQ207"/>
    <mergeCell ref="AR202:AR207"/>
    <mergeCell ref="AS202:AS207"/>
    <mergeCell ref="AT202:AT207"/>
    <mergeCell ref="AU202:AU207"/>
    <mergeCell ref="AY208:AY213"/>
    <mergeCell ref="AS208:AS213"/>
    <mergeCell ref="AT208:AT213"/>
    <mergeCell ref="AU208:AU213"/>
    <mergeCell ref="AV208:AV213"/>
    <mergeCell ref="AW208:AW213"/>
    <mergeCell ref="AX208:AX213"/>
    <mergeCell ref="AL208:AL213"/>
    <mergeCell ref="AM208:AM213"/>
    <mergeCell ref="AO208:AO213"/>
    <mergeCell ref="AP208:AP213"/>
    <mergeCell ref="C214:C219"/>
    <mergeCell ref="AF214:AF219"/>
    <mergeCell ref="AG214:AG219"/>
    <mergeCell ref="AH214:AH219"/>
    <mergeCell ref="AI214:AI219"/>
    <mergeCell ref="AJ214:AJ219"/>
    <mergeCell ref="AL214:AL219"/>
    <mergeCell ref="AM214:AM219"/>
    <mergeCell ref="AO214:AO219"/>
    <mergeCell ref="AQ208:AQ213"/>
    <mergeCell ref="AR208:AR213"/>
    <mergeCell ref="AV214:AV219"/>
    <mergeCell ref="AW214:AW219"/>
    <mergeCell ref="AX214:AX219"/>
    <mergeCell ref="AY214:AY219"/>
    <mergeCell ref="C220:C225"/>
    <mergeCell ref="AF220:AF225"/>
    <mergeCell ref="AG220:AG225"/>
    <mergeCell ref="AH220:AH225"/>
    <mergeCell ref="AI220:AI225"/>
    <mergeCell ref="AJ220:AJ225"/>
    <mergeCell ref="AP214:AP219"/>
    <mergeCell ref="AQ214:AQ219"/>
    <mergeCell ref="AR214:AR219"/>
    <mergeCell ref="AS214:AS219"/>
    <mergeCell ref="AT214:AT219"/>
    <mergeCell ref="AU214:AU219"/>
    <mergeCell ref="AY220:AY225"/>
    <mergeCell ref="AS220:AS225"/>
    <mergeCell ref="AT220:AT225"/>
    <mergeCell ref="AU220:AU225"/>
    <mergeCell ref="AV220:AV225"/>
    <mergeCell ref="AW220:AW225"/>
    <mergeCell ref="C226:C231"/>
    <mergeCell ref="AF226:AF231"/>
    <mergeCell ref="AG226:AG231"/>
    <mergeCell ref="AH226:AH231"/>
    <mergeCell ref="AI226:AI231"/>
    <mergeCell ref="AJ226:AJ231"/>
    <mergeCell ref="AL226:AL231"/>
    <mergeCell ref="AM226:AM231"/>
    <mergeCell ref="AO226:AO231"/>
    <mergeCell ref="AX220:AX225"/>
    <mergeCell ref="AL220:AL225"/>
    <mergeCell ref="AM220:AM225"/>
    <mergeCell ref="AO220:AO225"/>
    <mergeCell ref="AP220:AP225"/>
    <mergeCell ref="AQ220:AQ225"/>
    <mergeCell ref="AR220:AR225"/>
    <mergeCell ref="AV226:AV231"/>
    <mergeCell ref="AW226:AW231"/>
    <mergeCell ref="AX226:AX231"/>
    <mergeCell ref="AY226:AY231"/>
    <mergeCell ref="C232:C237"/>
    <mergeCell ref="AF232:AF237"/>
    <mergeCell ref="AG232:AG237"/>
    <mergeCell ref="AH232:AH237"/>
    <mergeCell ref="AI232:AI237"/>
    <mergeCell ref="AJ232:AJ237"/>
    <mergeCell ref="AP226:AP231"/>
    <mergeCell ref="AQ226:AQ231"/>
    <mergeCell ref="AR226:AR231"/>
    <mergeCell ref="AS226:AS231"/>
    <mergeCell ref="AT226:AT231"/>
    <mergeCell ref="AU226:AU231"/>
    <mergeCell ref="AY232:AY237"/>
    <mergeCell ref="AS232:AS237"/>
    <mergeCell ref="AT232:AT237"/>
    <mergeCell ref="AU232:AU237"/>
    <mergeCell ref="AV232:AV237"/>
    <mergeCell ref="AW232:AW237"/>
    <mergeCell ref="AX232:AX237"/>
    <mergeCell ref="AL232:AL237"/>
    <mergeCell ref="AM232:AM237"/>
    <mergeCell ref="AO232:AO237"/>
    <mergeCell ref="AP232:AP237"/>
    <mergeCell ref="C238:C243"/>
    <mergeCell ref="AF238:AF243"/>
    <mergeCell ref="AG238:AG243"/>
    <mergeCell ref="AH238:AH243"/>
    <mergeCell ref="AI238:AI243"/>
    <mergeCell ref="AJ238:AJ243"/>
    <mergeCell ref="AK238:AK243"/>
    <mergeCell ref="AL238:AL243"/>
    <mergeCell ref="AM238:AM243"/>
    <mergeCell ref="AQ232:AQ237"/>
    <mergeCell ref="AR232:AR237"/>
    <mergeCell ref="AZ238:AZ243"/>
    <mergeCell ref="A244:B249"/>
    <mergeCell ref="C244:C249"/>
    <mergeCell ref="AF244:AF249"/>
    <mergeCell ref="AG244:AG249"/>
    <mergeCell ref="AH244:AH249"/>
    <mergeCell ref="AI244:AI249"/>
    <mergeCell ref="AJ244:AJ249"/>
    <mergeCell ref="AK244:AK249"/>
    <mergeCell ref="AL244:AL249"/>
    <mergeCell ref="AT238:AT243"/>
    <mergeCell ref="AU238:AU243"/>
    <mergeCell ref="AV238:AV243"/>
    <mergeCell ref="AW238:AW243"/>
    <mergeCell ref="AX238:AX243"/>
    <mergeCell ref="AY238:AY243"/>
    <mergeCell ref="AN238:AN243"/>
    <mergeCell ref="AO238:AO243"/>
    <mergeCell ref="AP238:AP243"/>
    <mergeCell ref="AQ238:AQ243"/>
    <mergeCell ref="AR238:AR243"/>
    <mergeCell ref="AS238:AS243"/>
    <mergeCell ref="A130:A243"/>
    <mergeCell ref="B130:B243"/>
    <mergeCell ref="AY244:AY249"/>
    <mergeCell ref="AZ244:AZ249"/>
    <mergeCell ref="A250:A255"/>
    <mergeCell ref="B250:B255"/>
    <mergeCell ref="C250:C255"/>
    <mergeCell ref="AF250:AF255"/>
    <mergeCell ref="AG250:AG255"/>
    <mergeCell ref="AH250:AH255"/>
    <mergeCell ref="AI250:AI255"/>
    <mergeCell ref="AJ250:AJ255"/>
    <mergeCell ref="AS244:AS249"/>
    <mergeCell ref="AT244:AT249"/>
    <mergeCell ref="AU244:AU249"/>
    <mergeCell ref="AV244:AV249"/>
    <mergeCell ref="AW244:AW249"/>
    <mergeCell ref="AX244:AX249"/>
    <mergeCell ref="AM244:AM249"/>
    <mergeCell ref="AN244:AN249"/>
    <mergeCell ref="AO244:AO249"/>
    <mergeCell ref="AP244:AP249"/>
    <mergeCell ref="AQ244:AQ249"/>
    <mergeCell ref="AR244:AR249"/>
    <mergeCell ref="AZ250:AZ255"/>
    <mergeCell ref="A256:A261"/>
    <mergeCell ref="B256:B261"/>
    <mergeCell ref="C256:C261"/>
    <mergeCell ref="AF256:AF261"/>
    <mergeCell ref="AG256:AG261"/>
    <mergeCell ref="AH256:AH261"/>
    <mergeCell ref="AQ250:AQ255"/>
    <mergeCell ref="AR250:AR255"/>
    <mergeCell ref="AS250:AS255"/>
    <mergeCell ref="AT250:AT255"/>
    <mergeCell ref="AU250:AU255"/>
    <mergeCell ref="AV250:AV255"/>
    <mergeCell ref="AK250:AK255"/>
    <mergeCell ref="AL250:AL255"/>
    <mergeCell ref="AM250:AM255"/>
    <mergeCell ref="AN250:AN255"/>
    <mergeCell ref="AO250:AO255"/>
    <mergeCell ref="AP250:AP255"/>
    <mergeCell ref="AI256:AI261"/>
    <mergeCell ref="AJ256:AJ261"/>
    <mergeCell ref="AK256:AK261"/>
    <mergeCell ref="AL256:AL261"/>
    <mergeCell ref="AM256:AM261"/>
    <mergeCell ref="AN256:AN261"/>
    <mergeCell ref="AW250:AW255"/>
    <mergeCell ref="AX250:AX255"/>
    <mergeCell ref="AY250:AY255"/>
    <mergeCell ref="AU256:AU261"/>
    <mergeCell ref="AV256:AV261"/>
    <mergeCell ref="AW256:AW261"/>
    <mergeCell ref="AX256:AX261"/>
    <mergeCell ref="AY256:AY261"/>
    <mergeCell ref="AZ256:AZ261"/>
    <mergeCell ref="AO256:AO261"/>
    <mergeCell ref="AP256:AP261"/>
    <mergeCell ref="AQ256:AQ261"/>
    <mergeCell ref="AR256:AR261"/>
    <mergeCell ref="AS256:AS261"/>
    <mergeCell ref="AT256:AT261"/>
    <mergeCell ref="AW262:AW267"/>
    <mergeCell ref="AX262:AX267"/>
    <mergeCell ref="AY262:AY267"/>
    <mergeCell ref="AZ262:AZ267"/>
    <mergeCell ref="AO262:AO267"/>
    <mergeCell ref="AP262:AP267"/>
    <mergeCell ref="AQ262:AQ267"/>
    <mergeCell ref="AR262:AR267"/>
    <mergeCell ref="AS262:AS267"/>
    <mergeCell ref="AT262:AT267"/>
    <mergeCell ref="A268:C270"/>
    <mergeCell ref="C273:I273"/>
    <mergeCell ref="J273:P273"/>
    <mergeCell ref="C274:I274"/>
    <mergeCell ref="J274:P274"/>
    <mergeCell ref="C275:I275"/>
    <mergeCell ref="J275:P275"/>
    <mergeCell ref="AU262:AU267"/>
    <mergeCell ref="AV262:AV267"/>
    <mergeCell ref="AI262:AI267"/>
    <mergeCell ref="AJ262:AJ267"/>
    <mergeCell ref="AK262:AK267"/>
    <mergeCell ref="AL262:AL267"/>
    <mergeCell ref="AM262:AM267"/>
    <mergeCell ref="AN262:AN267"/>
    <mergeCell ref="A262:A267"/>
    <mergeCell ref="B262:B267"/>
    <mergeCell ref="C262:C267"/>
    <mergeCell ref="AF262:AF267"/>
    <mergeCell ref="AG262:AG267"/>
    <mergeCell ref="AH262:AH267"/>
    <mergeCell ref="S136:S141"/>
    <mergeCell ref="S142:S147"/>
    <mergeCell ref="S148:S153"/>
    <mergeCell ref="S154:S159"/>
    <mergeCell ref="S160:S165"/>
    <mergeCell ref="S166:S171"/>
    <mergeCell ref="S172:S177"/>
    <mergeCell ref="S178:S183"/>
    <mergeCell ref="S184:S189"/>
    <mergeCell ref="S250:S255"/>
    <mergeCell ref="S256:S261"/>
    <mergeCell ref="S262:S267"/>
    <mergeCell ref="S196:S201"/>
    <mergeCell ref="S202:S207"/>
    <mergeCell ref="S208:S213"/>
    <mergeCell ref="S214:S219"/>
    <mergeCell ref="S220:S225"/>
    <mergeCell ref="S226:S231"/>
    <mergeCell ref="S232:S237"/>
    <mergeCell ref="S238:S243"/>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42"/>
  <sheetViews>
    <sheetView zoomScale="62" zoomScaleNormal="62" workbookViewId="0">
      <selection sqref="A1:B3"/>
    </sheetView>
  </sheetViews>
  <sheetFormatPr baseColWidth="10" defaultRowHeight="15" x14ac:dyDescent="0.25"/>
  <cols>
    <col min="1" max="1" width="16.42578125" style="499" customWidth="1"/>
    <col min="2" max="2" width="33.28515625" style="499" customWidth="1"/>
    <col min="3" max="3" width="19.140625" style="499" customWidth="1"/>
    <col min="4" max="4" width="26.28515625" style="499" customWidth="1"/>
    <col min="5" max="5" width="24.85546875" style="499" customWidth="1"/>
    <col min="6" max="6" width="20.28515625" style="499" customWidth="1"/>
    <col min="7" max="7" width="27.85546875" style="499" customWidth="1"/>
    <col min="8" max="8" width="27.140625" style="499" customWidth="1"/>
    <col min="9" max="9" width="18.42578125" style="499" customWidth="1"/>
    <col min="10" max="10" width="15.140625" style="499" customWidth="1"/>
    <col min="11" max="11" width="11.42578125" style="499" customWidth="1"/>
    <col min="12" max="12" width="14.42578125" style="499" customWidth="1"/>
    <col min="13" max="13" width="14.140625" style="499" customWidth="1"/>
    <col min="14" max="14" width="50.42578125" style="499" customWidth="1"/>
    <col min="15" max="15" width="11.42578125" style="499" customWidth="1"/>
    <col min="16" max="256" width="11.42578125" style="499"/>
    <col min="257" max="257" width="16.42578125" style="499" customWidth="1"/>
    <col min="258" max="258" width="33.28515625" style="499" customWidth="1"/>
    <col min="259" max="259" width="19.140625" style="499" customWidth="1"/>
    <col min="260" max="260" width="26.28515625" style="499" customWidth="1"/>
    <col min="261" max="261" width="24.85546875" style="499" customWidth="1"/>
    <col min="262" max="262" width="20.28515625" style="499" customWidth="1"/>
    <col min="263" max="263" width="27.85546875" style="499" customWidth="1"/>
    <col min="264" max="264" width="27.140625" style="499" customWidth="1"/>
    <col min="265" max="265" width="18.42578125" style="499" customWidth="1"/>
    <col min="266" max="266" width="15.140625" style="499" customWidth="1"/>
    <col min="267" max="267" width="11.42578125" style="499" customWidth="1"/>
    <col min="268" max="268" width="14.42578125" style="499" customWidth="1"/>
    <col min="269" max="269" width="14.140625" style="499" customWidth="1"/>
    <col min="270" max="270" width="50.42578125" style="499" customWidth="1"/>
    <col min="271" max="271" width="11.42578125" style="499" customWidth="1"/>
    <col min="272" max="512" width="11.42578125" style="499"/>
    <col min="513" max="513" width="16.42578125" style="499" customWidth="1"/>
    <col min="514" max="514" width="33.28515625" style="499" customWidth="1"/>
    <col min="515" max="515" width="19.140625" style="499" customWidth="1"/>
    <col min="516" max="516" width="26.28515625" style="499" customWidth="1"/>
    <col min="517" max="517" width="24.85546875" style="499" customWidth="1"/>
    <col min="518" max="518" width="20.28515625" style="499" customWidth="1"/>
    <col min="519" max="519" width="27.85546875" style="499" customWidth="1"/>
    <col min="520" max="520" width="27.140625" style="499" customWidth="1"/>
    <col min="521" max="521" width="18.42578125" style="499" customWidth="1"/>
    <col min="522" max="522" width="15.140625" style="499" customWidth="1"/>
    <col min="523" max="523" width="11.42578125" style="499" customWidth="1"/>
    <col min="524" max="524" width="14.42578125" style="499" customWidth="1"/>
    <col min="525" max="525" width="14.140625" style="499" customWidth="1"/>
    <col min="526" max="526" width="50.42578125" style="499" customWidth="1"/>
    <col min="527" max="527" width="11.42578125" style="499" customWidth="1"/>
    <col min="528" max="768" width="11.42578125" style="499"/>
    <col min="769" max="769" width="16.42578125" style="499" customWidth="1"/>
    <col min="770" max="770" width="33.28515625" style="499" customWidth="1"/>
    <col min="771" max="771" width="19.140625" style="499" customWidth="1"/>
    <col min="772" max="772" width="26.28515625" style="499" customWidth="1"/>
    <col min="773" max="773" width="24.85546875" style="499" customWidth="1"/>
    <col min="774" max="774" width="20.28515625" style="499" customWidth="1"/>
    <col min="775" max="775" width="27.85546875" style="499" customWidth="1"/>
    <col min="776" max="776" width="27.140625" style="499" customWidth="1"/>
    <col min="777" max="777" width="18.42578125" style="499" customWidth="1"/>
    <col min="778" max="778" width="15.140625" style="499" customWidth="1"/>
    <col min="779" max="779" width="11.42578125" style="499" customWidth="1"/>
    <col min="780" max="780" width="14.42578125" style="499" customWidth="1"/>
    <col min="781" max="781" width="14.140625" style="499" customWidth="1"/>
    <col min="782" max="782" width="50.42578125" style="499" customWidth="1"/>
    <col min="783" max="783" width="11.42578125" style="499" customWidth="1"/>
    <col min="784" max="1024" width="11.42578125" style="499"/>
    <col min="1025" max="1025" width="16.42578125" style="499" customWidth="1"/>
    <col min="1026" max="1026" width="33.28515625" style="499" customWidth="1"/>
    <col min="1027" max="1027" width="19.140625" style="499" customWidth="1"/>
    <col min="1028" max="1028" width="26.28515625" style="499" customWidth="1"/>
    <col min="1029" max="1029" width="24.85546875" style="499" customWidth="1"/>
    <col min="1030" max="1030" width="20.28515625" style="499" customWidth="1"/>
    <col min="1031" max="1031" width="27.85546875" style="499" customWidth="1"/>
    <col min="1032" max="1032" width="27.140625" style="499" customWidth="1"/>
    <col min="1033" max="1033" width="18.42578125" style="499" customWidth="1"/>
    <col min="1034" max="1034" width="15.140625" style="499" customWidth="1"/>
    <col min="1035" max="1035" width="11.42578125" style="499" customWidth="1"/>
    <col min="1036" max="1036" width="14.42578125" style="499" customWidth="1"/>
    <col min="1037" max="1037" width="14.140625" style="499" customWidth="1"/>
    <col min="1038" max="1038" width="50.42578125" style="499" customWidth="1"/>
    <col min="1039" max="1039" width="11.42578125" style="499" customWidth="1"/>
    <col min="1040" max="1280" width="11.42578125" style="499"/>
    <col min="1281" max="1281" width="16.42578125" style="499" customWidth="1"/>
    <col min="1282" max="1282" width="33.28515625" style="499" customWidth="1"/>
    <col min="1283" max="1283" width="19.140625" style="499" customWidth="1"/>
    <col min="1284" max="1284" width="26.28515625" style="499" customWidth="1"/>
    <col min="1285" max="1285" width="24.85546875" style="499" customWidth="1"/>
    <col min="1286" max="1286" width="20.28515625" style="499" customWidth="1"/>
    <col min="1287" max="1287" width="27.85546875" style="499" customWidth="1"/>
    <col min="1288" max="1288" width="27.140625" style="499" customWidth="1"/>
    <col min="1289" max="1289" width="18.42578125" style="499" customWidth="1"/>
    <col min="1290" max="1290" width="15.140625" style="499" customWidth="1"/>
    <col min="1291" max="1291" width="11.42578125" style="499" customWidth="1"/>
    <col min="1292" max="1292" width="14.42578125" style="499" customWidth="1"/>
    <col min="1293" max="1293" width="14.140625" style="499" customWidth="1"/>
    <col min="1294" max="1294" width="50.42578125" style="499" customWidth="1"/>
    <col min="1295" max="1295" width="11.42578125" style="499" customWidth="1"/>
    <col min="1296" max="1536" width="11.42578125" style="499"/>
    <col min="1537" max="1537" width="16.42578125" style="499" customWidth="1"/>
    <col min="1538" max="1538" width="33.28515625" style="499" customWidth="1"/>
    <col min="1539" max="1539" width="19.140625" style="499" customWidth="1"/>
    <col min="1540" max="1540" width="26.28515625" style="499" customWidth="1"/>
    <col min="1541" max="1541" width="24.85546875" style="499" customWidth="1"/>
    <col min="1542" max="1542" width="20.28515625" style="499" customWidth="1"/>
    <col min="1543" max="1543" width="27.85546875" style="499" customWidth="1"/>
    <col min="1544" max="1544" width="27.140625" style="499" customWidth="1"/>
    <col min="1545" max="1545" width="18.42578125" style="499" customWidth="1"/>
    <col min="1546" max="1546" width="15.140625" style="499" customWidth="1"/>
    <col min="1547" max="1547" width="11.42578125" style="499" customWidth="1"/>
    <col min="1548" max="1548" width="14.42578125" style="499" customWidth="1"/>
    <col min="1549" max="1549" width="14.140625" style="499" customWidth="1"/>
    <col min="1550" max="1550" width="50.42578125" style="499" customWidth="1"/>
    <col min="1551" max="1551" width="11.42578125" style="499" customWidth="1"/>
    <col min="1552" max="1792" width="11.42578125" style="499"/>
    <col min="1793" max="1793" width="16.42578125" style="499" customWidth="1"/>
    <col min="1794" max="1794" width="33.28515625" style="499" customWidth="1"/>
    <col min="1795" max="1795" width="19.140625" style="499" customWidth="1"/>
    <col min="1796" max="1796" width="26.28515625" style="499" customWidth="1"/>
    <col min="1797" max="1797" width="24.85546875" style="499" customWidth="1"/>
    <col min="1798" max="1798" width="20.28515625" style="499" customWidth="1"/>
    <col min="1799" max="1799" width="27.85546875" style="499" customWidth="1"/>
    <col min="1800" max="1800" width="27.140625" style="499" customWidth="1"/>
    <col min="1801" max="1801" width="18.42578125" style="499" customWidth="1"/>
    <col min="1802" max="1802" width="15.140625" style="499" customWidth="1"/>
    <col min="1803" max="1803" width="11.42578125" style="499" customWidth="1"/>
    <col min="1804" max="1804" width="14.42578125" style="499" customWidth="1"/>
    <col min="1805" max="1805" width="14.140625" style="499" customWidth="1"/>
    <col min="1806" max="1806" width="50.42578125" style="499" customWidth="1"/>
    <col min="1807" max="1807" width="11.42578125" style="499" customWidth="1"/>
    <col min="1808" max="2048" width="11.42578125" style="499"/>
    <col min="2049" max="2049" width="16.42578125" style="499" customWidth="1"/>
    <col min="2050" max="2050" width="33.28515625" style="499" customWidth="1"/>
    <col min="2051" max="2051" width="19.140625" style="499" customWidth="1"/>
    <col min="2052" max="2052" width="26.28515625" style="499" customWidth="1"/>
    <col min="2053" max="2053" width="24.85546875" style="499" customWidth="1"/>
    <col min="2054" max="2054" width="20.28515625" style="499" customWidth="1"/>
    <col min="2055" max="2055" width="27.85546875" style="499" customWidth="1"/>
    <col min="2056" max="2056" width="27.140625" style="499" customWidth="1"/>
    <col min="2057" max="2057" width="18.42578125" style="499" customWidth="1"/>
    <col min="2058" max="2058" width="15.140625" style="499" customWidth="1"/>
    <col min="2059" max="2059" width="11.42578125" style="499" customWidth="1"/>
    <col min="2060" max="2060" width="14.42578125" style="499" customWidth="1"/>
    <col min="2061" max="2061" width="14.140625" style="499" customWidth="1"/>
    <col min="2062" max="2062" width="50.42578125" style="499" customWidth="1"/>
    <col min="2063" max="2063" width="11.42578125" style="499" customWidth="1"/>
    <col min="2064" max="2304" width="11.42578125" style="499"/>
    <col min="2305" max="2305" width="16.42578125" style="499" customWidth="1"/>
    <col min="2306" max="2306" width="33.28515625" style="499" customWidth="1"/>
    <col min="2307" max="2307" width="19.140625" style="499" customWidth="1"/>
    <col min="2308" max="2308" width="26.28515625" style="499" customWidth="1"/>
    <col min="2309" max="2309" width="24.85546875" style="499" customWidth="1"/>
    <col min="2310" max="2310" width="20.28515625" style="499" customWidth="1"/>
    <col min="2311" max="2311" width="27.85546875" style="499" customWidth="1"/>
    <col min="2312" max="2312" width="27.140625" style="499" customWidth="1"/>
    <col min="2313" max="2313" width="18.42578125" style="499" customWidth="1"/>
    <col min="2314" max="2314" width="15.140625" style="499" customWidth="1"/>
    <col min="2315" max="2315" width="11.42578125" style="499" customWidth="1"/>
    <col min="2316" max="2316" width="14.42578125" style="499" customWidth="1"/>
    <col min="2317" max="2317" width="14.140625" style="499" customWidth="1"/>
    <col min="2318" max="2318" width="50.42578125" style="499" customWidth="1"/>
    <col min="2319" max="2319" width="11.42578125" style="499" customWidth="1"/>
    <col min="2320" max="2560" width="11.42578125" style="499"/>
    <col min="2561" max="2561" width="16.42578125" style="499" customWidth="1"/>
    <col min="2562" max="2562" width="33.28515625" style="499" customWidth="1"/>
    <col min="2563" max="2563" width="19.140625" style="499" customWidth="1"/>
    <col min="2564" max="2564" width="26.28515625" style="499" customWidth="1"/>
    <col min="2565" max="2565" width="24.85546875" style="499" customWidth="1"/>
    <col min="2566" max="2566" width="20.28515625" style="499" customWidth="1"/>
    <col min="2567" max="2567" width="27.85546875" style="499" customWidth="1"/>
    <col min="2568" max="2568" width="27.140625" style="499" customWidth="1"/>
    <col min="2569" max="2569" width="18.42578125" style="499" customWidth="1"/>
    <col min="2570" max="2570" width="15.140625" style="499" customWidth="1"/>
    <col min="2571" max="2571" width="11.42578125" style="499" customWidth="1"/>
    <col min="2572" max="2572" width="14.42578125" style="499" customWidth="1"/>
    <col min="2573" max="2573" width="14.140625" style="499" customWidth="1"/>
    <col min="2574" max="2574" width="50.42578125" style="499" customWidth="1"/>
    <col min="2575" max="2575" width="11.42578125" style="499" customWidth="1"/>
    <col min="2576" max="2816" width="11.42578125" style="499"/>
    <col min="2817" max="2817" width="16.42578125" style="499" customWidth="1"/>
    <col min="2818" max="2818" width="33.28515625" style="499" customWidth="1"/>
    <col min="2819" max="2819" width="19.140625" style="499" customWidth="1"/>
    <col min="2820" max="2820" width="26.28515625" style="499" customWidth="1"/>
    <col min="2821" max="2821" width="24.85546875" style="499" customWidth="1"/>
    <col min="2822" max="2822" width="20.28515625" style="499" customWidth="1"/>
    <col min="2823" max="2823" width="27.85546875" style="499" customWidth="1"/>
    <col min="2824" max="2824" width="27.140625" style="499" customWidth="1"/>
    <col min="2825" max="2825" width="18.42578125" style="499" customWidth="1"/>
    <col min="2826" max="2826" width="15.140625" style="499" customWidth="1"/>
    <col min="2827" max="2827" width="11.42578125" style="499" customWidth="1"/>
    <col min="2828" max="2828" width="14.42578125" style="499" customWidth="1"/>
    <col min="2829" max="2829" width="14.140625" style="499" customWidth="1"/>
    <col min="2830" max="2830" width="50.42578125" style="499" customWidth="1"/>
    <col min="2831" max="2831" width="11.42578125" style="499" customWidth="1"/>
    <col min="2832" max="3072" width="11.42578125" style="499"/>
    <col min="3073" max="3073" width="16.42578125" style="499" customWidth="1"/>
    <col min="3074" max="3074" width="33.28515625" style="499" customWidth="1"/>
    <col min="3075" max="3075" width="19.140625" style="499" customWidth="1"/>
    <col min="3076" max="3076" width="26.28515625" style="499" customWidth="1"/>
    <col min="3077" max="3077" width="24.85546875" style="499" customWidth="1"/>
    <col min="3078" max="3078" width="20.28515625" style="499" customWidth="1"/>
    <col min="3079" max="3079" width="27.85546875" style="499" customWidth="1"/>
    <col min="3080" max="3080" width="27.140625" style="499" customWidth="1"/>
    <col min="3081" max="3081" width="18.42578125" style="499" customWidth="1"/>
    <col min="3082" max="3082" width="15.140625" style="499" customWidth="1"/>
    <col min="3083" max="3083" width="11.42578125" style="499" customWidth="1"/>
    <col min="3084" max="3084" width="14.42578125" style="499" customWidth="1"/>
    <col min="3085" max="3085" width="14.140625" style="499" customWidth="1"/>
    <col min="3086" max="3086" width="50.42578125" style="499" customWidth="1"/>
    <col min="3087" max="3087" width="11.42578125" style="499" customWidth="1"/>
    <col min="3088" max="3328" width="11.42578125" style="499"/>
    <col min="3329" max="3329" width="16.42578125" style="499" customWidth="1"/>
    <col min="3330" max="3330" width="33.28515625" style="499" customWidth="1"/>
    <col min="3331" max="3331" width="19.140625" style="499" customWidth="1"/>
    <col min="3332" max="3332" width="26.28515625" style="499" customWidth="1"/>
    <col min="3333" max="3333" width="24.85546875" style="499" customWidth="1"/>
    <col min="3334" max="3334" width="20.28515625" style="499" customWidth="1"/>
    <col min="3335" max="3335" width="27.85546875" style="499" customWidth="1"/>
    <col min="3336" max="3336" width="27.140625" style="499" customWidth="1"/>
    <col min="3337" max="3337" width="18.42578125" style="499" customWidth="1"/>
    <col min="3338" max="3338" width="15.140625" style="499" customWidth="1"/>
    <col min="3339" max="3339" width="11.42578125" style="499" customWidth="1"/>
    <col min="3340" max="3340" width="14.42578125" style="499" customWidth="1"/>
    <col min="3341" max="3341" width="14.140625" style="499" customWidth="1"/>
    <col min="3342" max="3342" width="50.42578125" style="499" customWidth="1"/>
    <col min="3343" max="3343" width="11.42578125" style="499" customWidth="1"/>
    <col min="3344" max="3584" width="11.42578125" style="499"/>
    <col min="3585" max="3585" width="16.42578125" style="499" customWidth="1"/>
    <col min="3586" max="3586" width="33.28515625" style="499" customWidth="1"/>
    <col min="3587" max="3587" width="19.140625" style="499" customWidth="1"/>
    <col min="3588" max="3588" width="26.28515625" style="499" customWidth="1"/>
    <col min="3589" max="3589" width="24.85546875" style="499" customWidth="1"/>
    <col min="3590" max="3590" width="20.28515625" style="499" customWidth="1"/>
    <col min="3591" max="3591" width="27.85546875" style="499" customWidth="1"/>
    <col min="3592" max="3592" width="27.140625" style="499" customWidth="1"/>
    <col min="3593" max="3593" width="18.42578125" style="499" customWidth="1"/>
    <col min="3594" max="3594" width="15.140625" style="499" customWidth="1"/>
    <col min="3595" max="3595" width="11.42578125" style="499" customWidth="1"/>
    <col min="3596" max="3596" width="14.42578125" style="499" customWidth="1"/>
    <col min="3597" max="3597" width="14.140625" style="499" customWidth="1"/>
    <col min="3598" max="3598" width="50.42578125" style="499" customWidth="1"/>
    <col min="3599" max="3599" width="11.42578125" style="499" customWidth="1"/>
    <col min="3600" max="3840" width="11.42578125" style="499"/>
    <col min="3841" max="3841" width="16.42578125" style="499" customWidth="1"/>
    <col min="3842" max="3842" width="33.28515625" style="499" customWidth="1"/>
    <col min="3843" max="3843" width="19.140625" style="499" customWidth="1"/>
    <col min="3844" max="3844" width="26.28515625" style="499" customWidth="1"/>
    <col min="3845" max="3845" width="24.85546875" style="499" customWidth="1"/>
    <col min="3846" max="3846" width="20.28515625" style="499" customWidth="1"/>
    <col min="3847" max="3847" width="27.85546875" style="499" customWidth="1"/>
    <col min="3848" max="3848" width="27.140625" style="499" customWidth="1"/>
    <col min="3849" max="3849" width="18.42578125" style="499" customWidth="1"/>
    <col min="3850" max="3850" width="15.140625" style="499" customWidth="1"/>
    <col min="3851" max="3851" width="11.42578125" style="499" customWidth="1"/>
    <col min="3852" max="3852" width="14.42578125" style="499" customWidth="1"/>
    <col min="3853" max="3853" width="14.140625" style="499" customWidth="1"/>
    <col min="3854" max="3854" width="50.42578125" style="499" customWidth="1"/>
    <col min="3855" max="3855" width="11.42578125" style="499" customWidth="1"/>
    <col min="3856" max="4096" width="11.42578125" style="499"/>
    <col min="4097" max="4097" width="16.42578125" style="499" customWidth="1"/>
    <col min="4098" max="4098" width="33.28515625" style="499" customWidth="1"/>
    <col min="4099" max="4099" width="19.140625" style="499" customWidth="1"/>
    <col min="4100" max="4100" width="26.28515625" style="499" customWidth="1"/>
    <col min="4101" max="4101" width="24.85546875" style="499" customWidth="1"/>
    <col min="4102" max="4102" width="20.28515625" style="499" customWidth="1"/>
    <col min="4103" max="4103" width="27.85546875" style="499" customWidth="1"/>
    <col min="4104" max="4104" width="27.140625" style="499" customWidth="1"/>
    <col min="4105" max="4105" width="18.42578125" style="499" customWidth="1"/>
    <col min="4106" max="4106" width="15.140625" style="499" customWidth="1"/>
    <col min="4107" max="4107" width="11.42578125" style="499" customWidth="1"/>
    <col min="4108" max="4108" width="14.42578125" style="499" customWidth="1"/>
    <col min="4109" max="4109" width="14.140625" style="499" customWidth="1"/>
    <col min="4110" max="4110" width="50.42578125" style="499" customWidth="1"/>
    <col min="4111" max="4111" width="11.42578125" style="499" customWidth="1"/>
    <col min="4112" max="4352" width="11.42578125" style="499"/>
    <col min="4353" max="4353" width="16.42578125" style="499" customWidth="1"/>
    <col min="4354" max="4354" width="33.28515625" style="499" customWidth="1"/>
    <col min="4355" max="4355" width="19.140625" style="499" customWidth="1"/>
    <col min="4356" max="4356" width="26.28515625" style="499" customWidth="1"/>
    <col min="4357" max="4357" width="24.85546875" style="499" customWidth="1"/>
    <col min="4358" max="4358" width="20.28515625" style="499" customWidth="1"/>
    <col min="4359" max="4359" width="27.85546875" style="499" customWidth="1"/>
    <col min="4360" max="4360" width="27.140625" style="499" customWidth="1"/>
    <col min="4361" max="4361" width="18.42578125" style="499" customWidth="1"/>
    <col min="4362" max="4362" width="15.140625" style="499" customWidth="1"/>
    <col min="4363" max="4363" width="11.42578125" style="499" customWidth="1"/>
    <col min="4364" max="4364" width="14.42578125" style="499" customWidth="1"/>
    <col min="4365" max="4365" width="14.140625" style="499" customWidth="1"/>
    <col min="4366" max="4366" width="50.42578125" style="499" customWidth="1"/>
    <col min="4367" max="4367" width="11.42578125" style="499" customWidth="1"/>
    <col min="4368" max="4608" width="11.42578125" style="499"/>
    <col min="4609" max="4609" width="16.42578125" style="499" customWidth="1"/>
    <col min="4610" max="4610" width="33.28515625" style="499" customWidth="1"/>
    <col min="4611" max="4611" width="19.140625" style="499" customWidth="1"/>
    <col min="4612" max="4612" width="26.28515625" style="499" customWidth="1"/>
    <col min="4613" max="4613" width="24.85546875" style="499" customWidth="1"/>
    <col min="4614" max="4614" width="20.28515625" style="499" customWidth="1"/>
    <col min="4615" max="4615" width="27.85546875" style="499" customWidth="1"/>
    <col min="4616" max="4616" width="27.140625" style="499" customWidth="1"/>
    <col min="4617" max="4617" width="18.42578125" style="499" customWidth="1"/>
    <col min="4618" max="4618" width="15.140625" style="499" customWidth="1"/>
    <col min="4619" max="4619" width="11.42578125" style="499" customWidth="1"/>
    <col min="4620" max="4620" width="14.42578125" style="499" customWidth="1"/>
    <col min="4621" max="4621" width="14.140625" style="499" customWidth="1"/>
    <col min="4622" max="4622" width="50.42578125" style="499" customWidth="1"/>
    <col min="4623" max="4623" width="11.42578125" style="499" customWidth="1"/>
    <col min="4624" max="4864" width="11.42578125" style="499"/>
    <col min="4865" max="4865" width="16.42578125" style="499" customWidth="1"/>
    <col min="4866" max="4866" width="33.28515625" style="499" customWidth="1"/>
    <col min="4867" max="4867" width="19.140625" style="499" customWidth="1"/>
    <col min="4868" max="4868" width="26.28515625" style="499" customWidth="1"/>
    <col min="4869" max="4869" width="24.85546875" style="499" customWidth="1"/>
    <col min="4870" max="4870" width="20.28515625" style="499" customWidth="1"/>
    <col min="4871" max="4871" width="27.85546875" style="499" customWidth="1"/>
    <col min="4872" max="4872" width="27.140625" style="499" customWidth="1"/>
    <col min="4873" max="4873" width="18.42578125" style="499" customWidth="1"/>
    <col min="4874" max="4874" width="15.140625" style="499" customWidth="1"/>
    <col min="4875" max="4875" width="11.42578125" style="499" customWidth="1"/>
    <col min="4876" max="4876" width="14.42578125" style="499" customWidth="1"/>
    <col min="4877" max="4877" width="14.140625" style="499" customWidth="1"/>
    <col min="4878" max="4878" width="50.42578125" style="499" customWidth="1"/>
    <col min="4879" max="4879" width="11.42578125" style="499" customWidth="1"/>
    <col min="4880" max="5120" width="11.42578125" style="499"/>
    <col min="5121" max="5121" width="16.42578125" style="499" customWidth="1"/>
    <col min="5122" max="5122" width="33.28515625" style="499" customWidth="1"/>
    <col min="5123" max="5123" width="19.140625" style="499" customWidth="1"/>
    <col min="5124" max="5124" width="26.28515625" style="499" customWidth="1"/>
    <col min="5125" max="5125" width="24.85546875" style="499" customWidth="1"/>
    <col min="5126" max="5126" width="20.28515625" style="499" customWidth="1"/>
    <col min="5127" max="5127" width="27.85546875" style="499" customWidth="1"/>
    <col min="5128" max="5128" width="27.140625" style="499" customWidth="1"/>
    <col min="5129" max="5129" width="18.42578125" style="499" customWidth="1"/>
    <col min="5130" max="5130" width="15.140625" style="499" customWidth="1"/>
    <col min="5131" max="5131" width="11.42578125" style="499" customWidth="1"/>
    <col min="5132" max="5132" width="14.42578125" style="499" customWidth="1"/>
    <col min="5133" max="5133" width="14.140625" style="499" customWidth="1"/>
    <col min="5134" max="5134" width="50.42578125" style="499" customWidth="1"/>
    <col min="5135" max="5135" width="11.42578125" style="499" customWidth="1"/>
    <col min="5136" max="5376" width="11.42578125" style="499"/>
    <col min="5377" max="5377" width="16.42578125" style="499" customWidth="1"/>
    <col min="5378" max="5378" width="33.28515625" style="499" customWidth="1"/>
    <col min="5379" max="5379" width="19.140625" style="499" customWidth="1"/>
    <col min="5380" max="5380" width="26.28515625" style="499" customWidth="1"/>
    <col min="5381" max="5381" width="24.85546875" style="499" customWidth="1"/>
    <col min="5382" max="5382" width="20.28515625" style="499" customWidth="1"/>
    <col min="5383" max="5383" width="27.85546875" style="499" customWidth="1"/>
    <col min="5384" max="5384" width="27.140625" style="499" customWidth="1"/>
    <col min="5385" max="5385" width="18.42578125" style="499" customWidth="1"/>
    <col min="5386" max="5386" width="15.140625" style="499" customWidth="1"/>
    <col min="5387" max="5387" width="11.42578125" style="499" customWidth="1"/>
    <col min="5388" max="5388" width="14.42578125" style="499" customWidth="1"/>
    <col min="5389" max="5389" width="14.140625" style="499" customWidth="1"/>
    <col min="5390" max="5390" width="50.42578125" style="499" customWidth="1"/>
    <col min="5391" max="5391" width="11.42578125" style="499" customWidth="1"/>
    <col min="5392" max="5632" width="11.42578125" style="499"/>
    <col min="5633" max="5633" width="16.42578125" style="499" customWidth="1"/>
    <col min="5634" max="5634" width="33.28515625" style="499" customWidth="1"/>
    <col min="5635" max="5635" width="19.140625" style="499" customWidth="1"/>
    <col min="5636" max="5636" width="26.28515625" style="499" customWidth="1"/>
    <col min="5637" max="5637" width="24.85546875" style="499" customWidth="1"/>
    <col min="5638" max="5638" width="20.28515625" style="499" customWidth="1"/>
    <col min="5639" max="5639" width="27.85546875" style="499" customWidth="1"/>
    <col min="5640" max="5640" width="27.140625" style="499" customWidth="1"/>
    <col min="5641" max="5641" width="18.42578125" style="499" customWidth="1"/>
    <col min="5642" max="5642" width="15.140625" style="499" customWidth="1"/>
    <col min="5643" max="5643" width="11.42578125" style="499" customWidth="1"/>
    <col min="5644" max="5644" width="14.42578125" style="499" customWidth="1"/>
    <col min="5645" max="5645" width="14.140625" style="499" customWidth="1"/>
    <col min="5646" max="5646" width="50.42578125" style="499" customWidth="1"/>
    <col min="5647" max="5647" width="11.42578125" style="499" customWidth="1"/>
    <col min="5648" max="5888" width="11.42578125" style="499"/>
    <col min="5889" max="5889" width="16.42578125" style="499" customWidth="1"/>
    <col min="5890" max="5890" width="33.28515625" style="499" customWidth="1"/>
    <col min="5891" max="5891" width="19.140625" style="499" customWidth="1"/>
    <col min="5892" max="5892" width="26.28515625" style="499" customWidth="1"/>
    <col min="5893" max="5893" width="24.85546875" style="499" customWidth="1"/>
    <col min="5894" max="5894" width="20.28515625" style="499" customWidth="1"/>
    <col min="5895" max="5895" width="27.85546875" style="499" customWidth="1"/>
    <col min="5896" max="5896" width="27.140625" style="499" customWidth="1"/>
    <col min="5897" max="5897" width="18.42578125" style="499" customWidth="1"/>
    <col min="5898" max="5898" width="15.140625" style="499" customWidth="1"/>
    <col min="5899" max="5899" width="11.42578125" style="499" customWidth="1"/>
    <col min="5900" max="5900" width="14.42578125" style="499" customWidth="1"/>
    <col min="5901" max="5901" width="14.140625" style="499" customWidth="1"/>
    <col min="5902" max="5902" width="50.42578125" style="499" customWidth="1"/>
    <col min="5903" max="5903" width="11.42578125" style="499" customWidth="1"/>
    <col min="5904" max="6144" width="11.42578125" style="499"/>
    <col min="6145" max="6145" width="16.42578125" style="499" customWidth="1"/>
    <col min="6146" max="6146" width="33.28515625" style="499" customWidth="1"/>
    <col min="6147" max="6147" width="19.140625" style="499" customWidth="1"/>
    <col min="6148" max="6148" width="26.28515625" style="499" customWidth="1"/>
    <col min="6149" max="6149" width="24.85546875" style="499" customWidth="1"/>
    <col min="6150" max="6150" width="20.28515625" style="499" customWidth="1"/>
    <col min="6151" max="6151" width="27.85546875" style="499" customWidth="1"/>
    <col min="6152" max="6152" width="27.140625" style="499" customWidth="1"/>
    <col min="6153" max="6153" width="18.42578125" style="499" customWidth="1"/>
    <col min="6154" max="6154" width="15.140625" style="499" customWidth="1"/>
    <col min="6155" max="6155" width="11.42578125" style="499" customWidth="1"/>
    <col min="6156" max="6156" width="14.42578125" style="499" customWidth="1"/>
    <col min="6157" max="6157" width="14.140625" style="499" customWidth="1"/>
    <col min="6158" max="6158" width="50.42578125" style="499" customWidth="1"/>
    <col min="6159" max="6159" width="11.42578125" style="499" customWidth="1"/>
    <col min="6160" max="6400" width="11.42578125" style="499"/>
    <col min="6401" max="6401" width="16.42578125" style="499" customWidth="1"/>
    <col min="6402" max="6402" width="33.28515625" style="499" customWidth="1"/>
    <col min="6403" max="6403" width="19.140625" style="499" customWidth="1"/>
    <col min="6404" max="6404" width="26.28515625" style="499" customWidth="1"/>
    <col min="6405" max="6405" width="24.85546875" style="499" customWidth="1"/>
    <col min="6406" max="6406" width="20.28515625" style="499" customWidth="1"/>
    <col min="6407" max="6407" width="27.85546875" style="499" customWidth="1"/>
    <col min="6408" max="6408" width="27.140625" style="499" customWidth="1"/>
    <col min="6409" max="6409" width="18.42578125" style="499" customWidth="1"/>
    <col min="6410" max="6410" width="15.140625" style="499" customWidth="1"/>
    <col min="6411" max="6411" width="11.42578125" style="499" customWidth="1"/>
    <col min="6412" max="6412" width="14.42578125" style="499" customWidth="1"/>
    <col min="6413" max="6413" width="14.140625" style="499" customWidth="1"/>
    <col min="6414" max="6414" width="50.42578125" style="499" customWidth="1"/>
    <col min="6415" max="6415" width="11.42578125" style="499" customWidth="1"/>
    <col min="6416" max="6656" width="11.42578125" style="499"/>
    <col min="6657" max="6657" width="16.42578125" style="499" customWidth="1"/>
    <col min="6658" max="6658" width="33.28515625" style="499" customWidth="1"/>
    <col min="6659" max="6659" width="19.140625" style="499" customWidth="1"/>
    <col min="6660" max="6660" width="26.28515625" style="499" customWidth="1"/>
    <col min="6661" max="6661" width="24.85546875" style="499" customWidth="1"/>
    <col min="6662" max="6662" width="20.28515625" style="499" customWidth="1"/>
    <col min="6663" max="6663" width="27.85546875" style="499" customWidth="1"/>
    <col min="6664" max="6664" width="27.140625" style="499" customWidth="1"/>
    <col min="6665" max="6665" width="18.42578125" style="499" customWidth="1"/>
    <col min="6666" max="6666" width="15.140625" style="499" customWidth="1"/>
    <col min="6667" max="6667" width="11.42578125" style="499" customWidth="1"/>
    <col min="6668" max="6668" width="14.42578125" style="499" customWidth="1"/>
    <col min="6669" max="6669" width="14.140625" style="499" customWidth="1"/>
    <col min="6670" max="6670" width="50.42578125" style="499" customWidth="1"/>
    <col min="6671" max="6671" width="11.42578125" style="499" customWidth="1"/>
    <col min="6672" max="6912" width="11.42578125" style="499"/>
    <col min="6913" max="6913" width="16.42578125" style="499" customWidth="1"/>
    <col min="6914" max="6914" width="33.28515625" style="499" customWidth="1"/>
    <col min="6915" max="6915" width="19.140625" style="499" customWidth="1"/>
    <col min="6916" max="6916" width="26.28515625" style="499" customWidth="1"/>
    <col min="6917" max="6917" width="24.85546875" style="499" customWidth="1"/>
    <col min="6918" max="6918" width="20.28515625" style="499" customWidth="1"/>
    <col min="6919" max="6919" width="27.85546875" style="499" customWidth="1"/>
    <col min="6920" max="6920" width="27.140625" style="499" customWidth="1"/>
    <col min="6921" max="6921" width="18.42578125" style="499" customWidth="1"/>
    <col min="6922" max="6922" width="15.140625" style="499" customWidth="1"/>
    <col min="6923" max="6923" width="11.42578125" style="499" customWidth="1"/>
    <col min="6924" max="6924" width="14.42578125" style="499" customWidth="1"/>
    <col min="6925" max="6925" width="14.140625" style="499" customWidth="1"/>
    <col min="6926" max="6926" width="50.42578125" style="499" customWidth="1"/>
    <col min="6927" max="6927" width="11.42578125" style="499" customWidth="1"/>
    <col min="6928" max="7168" width="11.42578125" style="499"/>
    <col min="7169" max="7169" width="16.42578125" style="499" customWidth="1"/>
    <col min="7170" max="7170" width="33.28515625" style="499" customWidth="1"/>
    <col min="7171" max="7171" width="19.140625" style="499" customWidth="1"/>
    <col min="7172" max="7172" width="26.28515625" style="499" customWidth="1"/>
    <col min="7173" max="7173" width="24.85546875" style="499" customWidth="1"/>
    <col min="7174" max="7174" width="20.28515625" style="499" customWidth="1"/>
    <col min="7175" max="7175" width="27.85546875" style="499" customWidth="1"/>
    <col min="7176" max="7176" width="27.140625" style="499" customWidth="1"/>
    <col min="7177" max="7177" width="18.42578125" style="499" customWidth="1"/>
    <col min="7178" max="7178" width="15.140625" style="499" customWidth="1"/>
    <col min="7179" max="7179" width="11.42578125" style="499" customWidth="1"/>
    <col min="7180" max="7180" width="14.42578125" style="499" customWidth="1"/>
    <col min="7181" max="7181" width="14.140625" style="499" customWidth="1"/>
    <col min="7182" max="7182" width="50.42578125" style="499" customWidth="1"/>
    <col min="7183" max="7183" width="11.42578125" style="499" customWidth="1"/>
    <col min="7184" max="7424" width="11.42578125" style="499"/>
    <col min="7425" max="7425" width="16.42578125" style="499" customWidth="1"/>
    <col min="7426" max="7426" width="33.28515625" style="499" customWidth="1"/>
    <col min="7427" max="7427" width="19.140625" style="499" customWidth="1"/>
    <col min="7428" max="7428" width="26.28515625" style="499" customWidth="1"/>
    <col min="7429" max="7429" width="24.85546875" style="499" customWidth="1"/>
    <col min="7430" max="7430" width="20.28515625" style="499" customWidth="1"/>
    <col min="7431" max="7431" width="27.85546875" style="499" customWidth="1"/>
    <col min="7432" max="7432" width="27.140625" style="499" customWidth="1"/>
    <col min="7433" max="7433" width="18.42578125" style="499" customWidth="1"/>
    <col min="7434" max="7434" width="15.140625" style="499" customWidth="1"/>
    <col min="7435" max="7435" width="11.42578125" style="499" customWidth="1"/>
    <col min="7436" max="7436" width="14.42578125" style="499" customWidth="1"/>
    <col min="7437" max="7437" width="14.140625" style="499" customWidth="1"/>
    <col min="7438" max="7438" width="50.42578125" style="499" customWidth="1"/>
    <col min="7439" max="7439" width="11.42578125" style="499" customWidth="1"/>
    <col min="7440" max="7680" width="11.42578125" style="499"/>
    <col min="7681" max="7681" width="16.42578125" style="499" customWidth="1"/>
    <col min="7682" max="7682" width="33.28515625" style="499" customWidth="1"/>
    <col min="7683" max="7683" width="19.140625" style="499" customWidth="1"/>
    <col min="7684" max="7684" width="26.28515625" style="499" customWidth="1"/>
    <col min="7685" max="7685" width="24.85546875" style="499" customWidth="1"/>
    <col min="7686" max="7686" width="20.28515625" style="499" customWidth="1"/>
    <col min="7687" max="7687" width="27.85546875" style="499" customWidth="1"/>
    <col min="7688" max="7688" width="27.140625" style="499" customWidth="1"/>
    <col min="7689" max="7689" width="18.42578125" style="499" customWidth="1"/>
    <col min="7690" max="7690" width="15.140625" style="499" customWidth="1"/>
    <col min="7691" max="7691" width="11.42578125" style="499" customWidth="1"/>
    <col min="7692" max="7692" width="14.42578125" style="499" customWidth="1"/>
    <col min="7693" max="7693" width="14.140625" style="499" customWidth="1"/>
    <col min="7694" max="7694" width="50.42578125" style="499" customWidth="1"/>
    <col min="7695" max="7695" width="11.42578125" style="499" customWidth="1"/>
    <col min="7696" max="7936" width="11.42578125" style="499"/>
    <col min="7937" max="7937" width="16.42578125" style="499" customWidth="1"/>
    <col min="7938" max="7938" width="33.28515625" style="499" customWidth="1"/>
    <col min="7939" max="7939" width="19.140625" style="499" customWidth="1"/>
    <col min="7940" max="7940" width="26.28515625" style="499" customWidth="1"/>
    <col min="7941" max="7941" width="24.85546875" style="499" customWidth="1"/>
    <col min="7942" max="7942" width="20.28515625" style="499" customWidth="1"/>
    <col min="7943" max="7943" width="27.85546875" style="499" customWidth="1"/>
    <col min="7944" max="7944" width="27.140625" style="499" customWidth="1"/>
    <col min="7945" max="7945" width="18.42578125" style="499" customWidth="1"/>
    <col min="7946" max="7946" width="15.140625" style="499" customWidth="1"/>
    <col min="7947" max="7947" width="11.42578125" style="499" customWidth="1"/>
    <col min="7948" max="7948" width="14.42578125" style="499" customWidth="1"/>
    <col min="7949" max="7949" width="14.140625" style="499" customWidth="1"/>
    <col min="7950" max="7950" width="50.42578125" style="499" customWidth="1"/>
    <col min="7951" max="7951" width="11.42578125" style="499" customWidth="1"/>
    <col min="7952" max="8192" width="11.42578125" style="499"/>
    <col min="8193" max="8193" width="16.42578125" style="499" customWidth="1"/>
    <col min="8194" max="8194" width="33.28515625" style="499" customWidth="1"/>
    <col min="8195" max="8195" width="19.140625" style="499" customWidth="1"/>
    <col min="8196" max="8196" width="26.28515625" style="499" customWidth="1"/>
    <col min="8197" max="8197" width="24.85546875" style="499" customWidth="1"/>
    <col min="8198" max="8198" width="20.28515625" style="499" customWidth="1"/>
    <col min="8199" max="8199" width="27.85546875" style="499" customWidth="1"/>
    <col min="8200" max="8200" width="27.140625" style="499" customWidth="1"/>
    <col min="8201" max="8201" width="18.42578125" style="499" customWidth="1"/>
    <col min="8202" max="8202" width="15.140625" style="499" customWidth="1"/>
    <col min="8203" max="8203" width="11.42578125" style="499" customWidth="1"/>
    <col min="8204" max="8204" width="14.42578125" style="499" customWidth="1"/>
    <col min="8205" max="8205" width="14.140625" style="499" customWidth="1"/>
    <col min="8206" max="8206" width="50.42578125" style="499" customWidth="1"/>
    <col min="8207" max="8207" width="11.42578125" style="499" customWidth="1"/>
    <col min="8208" max="8448" width="11.42578125" style="499"/>
    <col min="8449" max="8449" width="16.42578125" style="499" customWidth="1"/>
    <col min="8450" max="8450" width="33.28515625" style="499" customWidth="1"/>
    <col min="8451" max="8451" width="19.140625" style="499" customWidth="1"/>
    <col min="8452" max="8452" width="26.28515625" style="499" customWidth="1"/>
    <col min="8453" max="8453" width="24.85546875" style="499" customWidth="1"/>
    <col min="8454" max="8454" width="20.28515625" style="499" customWidth="1"/>
    <col min="8455" max="8455" width="27.85546875" style="499" customWidth="1"/>
    <col min="8456" max="8456" width="27.140625" style="499" customWidth="1"/>
    <col min="8457" max="8457" width="18.42578125" style="499" customWidth="1"/>
    <col min="8458" max="8458" width="15.140625" style="499" customWidth="1"/>
    <col min="8459" max="8459" width="11.42578125" style="499" customWidth="1"/>
    <col min="8460" max="8460" width="14.42578125" style="499" customWidth="1"/>
    <col min="8461" max="8461" width="14.140625" style="499" customWidth="1"/>
    <col min="8462" max="8462" width="50.42578125" style="499" customWidth="1"/>
    <col min="8463" max="8463" width="11.42578125" style="499" customWidth="1"/>
    <col min="8464" max="8704" width="11.42578125" style="499"/>
    <col min="8705" max="8705" width="16.42578125" style="499" customWidth="1"/>
    <col min="8706" max="8706" width="33.28515625" style="499" customWidth="1"/>
    <col min="8707" max="8707" width="19.140625" style="499" customWidth="1"/>
    <col min="8708" max="8708" width="26.28515625" style="499" customWidth="1"/>
    <col min="8709" max="8709" width="24.85546875" style="499" customWidth="1"/>
    <col min="8710" max="8710" width="20.28515625" style="499" customWidth="1"/>
    <col min="8711" max="8711" width="27.85546875" style="499" customWidth="1"/>
    <col min="8712" max="8712" width="27.140625" style="499" customWidth="1"/>
    <col min="8713" max="8713" width="18.42578125" style="499" customWidth="1"/>
    <col min="8714" max="8714" width="15.140625" style="499" customWidth="1"/>
    <col min="8715" max="8715" width="11.42578125" style="499" customWidth="1"/>
    <col min="8716" max="8716" width="14.42578125" style="499" customWidth="1"/>
    <col min="8717" max="8717" width="14.140625" style="499" customWidth="1"/>
    <col min="8718" max="8718" width="50.42578125" style="499" customWidth="1"/>
    <col min="8719" max="8719" width="11.42578125" style="499" customWidth="1"/>
    <col min="8720" max="8960" width="11.42578125" style="499"/>
    <col min="8961" max="8961" width="16.42578125" style="499" customWidth="1"/>
    <col min="8962" max="8962" width="33.28515625" style="499" customWidth="1"/>
    <col min="8963" max="8963" width="19.140625" style="499" customWidth="1"/>
    <col min="8964" max="8964" width="26.28515625" style="499" customWidth="1"/>
    <col min="8965" max="8965" width="24.85546875" style="499" customWidth="1"/>
    <col min="8966" max="8966" width="20.28515625" style="499" customWidth="1"/>
    <col min="8967" max="8967" width="27.85546875" style="499" customWidth="1"/>
    <col min="8968" max="8968" width="27.140625" style="499" customWidth="1"/>
    <col min="8969" max="8969" width="18.42578125" style="499" customWidth="1"/>
    <col min="8970" max="8970" width="15.140625" style="499" customWidth="1"/>
    <col min="8971" max="8971" width="11.42578125" style="499" customWidth="1"/>
    <col min="8972" max="8972" width="14.42578125" style="499" customWidth="1"/>
    <col min="8973" max="8973" width="14.140625" style="499" customWidth="1"/>
    <col min="8974" max="8974" width="50.42578125" style="499" customWidth="1"/>
    <col min="8975" max="8975" width="11.42578125" style="499" customWidth="1"/>
    <col min="8976" max="9216" width="11.42578125" style="499"/>
    <col min="9217" max="9217" width="16.42578125" style="499" customWidth="1"/>
    <col min="9218" max="9218" width="33.28515625" style="499" customWidth="1"/>
    <col min="9219" max="9219" width="19.140625" style="499" customWidth="1"/>
    <col min="9220" max="9220" width="26.28515625" style="499" customWidth="1"/>
    <col min="9221" max="9221" width="24.85546875" style="499" customWidth="1"/>
    <col min="9222" max="9222" width="20.28515625" style="499" customWidth="1"/>
    <col min="9223" max="9223" width="27.85546875" style="499" customWidth="1"/>
    <col min="9224" max="9224" width="27.140625" style="499" customWidth="1"/>
    <col min="9225" max="9225" width="18.42578125" style="499" customWidth="1"/>
    <col min="9226" max="9226" width="15.140625" style="499" customWidth="1"/>
    <col min="9227" max="9227" width="11.42578125" style="499" customWidth="1"/>
    <col min="9228" max="9228" width="14.42578125" style="499" customWidth="1"/>
    <col min="9229" max="9229" width="14.140625" style="499" customWidth="1"/>
    <col min="9230" max="9230" width="50.42578125" style="499" customWidth="1"/>
    <col min="9231" max="9231" width="11.42578125" style="499" customWidth="1"/>
    <col min="9232" max="9472" width="11.42578125" style="499"/>
    <col min="9473" max="9473" width="16.42578125" style="499" customWidth="1"/>
    <col min="9474" max="9474" width="33.28515625" style="499" customWidth="1"/>
    <col min="9475" max="9475" width="19.140625" style="499" customWidth="1"/>
    <col min="9476" max="9476" width="26.28515625" style="499" customWidth="1"/>
    <col min="9477" max="9477" width="24.85546875" style="499" customWidth="1"/>
    <col min="9478" max="9478" width="20.28515625" style="499" customWidth="1"/>
    <col min="9479" max="9479" width="27.85546875" style="499" customWidth="1"/>
    <col min="9480" max="9480" width="27.140625" style="499" customWidth="1"/>
    <col min="9481" max="9481" width="18.42578125" style="499" customWidth="1"/>
    <col min="9482" max="9482" width="15.140625" style="499" customWidth="1"/>
    <col min="9483" max="9483" width="11.42578125" style="499" customWidth="1"/>
    <col min="9484" max="9484" width="14.42578125" style="499" customWidth="1"/>
    <col min="9485" max="9485" width="14.140625" style="499" customWidth="1"/>
    <col min="9486" max="9486" width="50.42578125" style="499" customWidth="1"/>
    <col min="9487" max="9487" width="11.42578125" style="499" customWidth="1"/>
    <col min="9488" max="9728" width="11.42578125" style="499"/>
    <col min="9729" max="9729" width="16.42578125" style="499" customWidth="1"/>
    <col min="9730" max="9730" width="33.28515625" style="499" customWidth="1"/>
    <col min="9731" max="9731" width="19.140625" style="499" customWidth="1"/>
    <col min="9732" max="9732" width="26.28515625" style="499" customWidth="1"/>
    <col min="9733" max="9733" width="24.85546875" style="499" customWidth="1"/>
    <col min="9734" max="9734" width="20.28515625" style="499" customWidth="1"/>
    <col min="9735" max="9735" width="27.85546875" style="499" customWidth="1"/>
    <col min="9736" max="9736" width="27.140625" style="499" customWidth="1"/>
    <col min="9737" max="9737" width="18.42578125" style="499" customWidth="1"/>
    <col min="9738" max="9738" width="15.140625" style="499" customWidth="1"/>
    <col min="9739" max="9739" width="11.42578125" style="499" customWidth="1"/>
    <col min="9740" max="9740" width="14.42578125" style="499" customWidth="1"/>
    <col min="9741" max="9741" width="14.140625" style="499" customWidth="1"/>
    <col min="9742" max="9742" width="50.42578125" style="499" customWidth="1"/>
    <col min="9743" max="9743" width="11.42578125" style="499" customWidth="1"/>
    <col min="9744" max="9984" width="11.42578125" style="499"/>
    <col min="9985" max="9985" width="16.42578125" style="499" customWidth="1"/>
    <col min="9986" max="9986" width="33.28515625" style="499" customWidth="1"/>
    <col min="9987" max="9987" width="19.140625" style="499" customWidth="1"/>
    <col min="9988" max="9988" width="26.28515625" style="499" customWidth="1"/>
    <col min="9989" max="9989" width="24.85546875" style="499" customWidth="1"/>
    <col min="9990" max="9990" width="20.28515625" style="499" customWidth="1"/>
    <col min="9991" max="9991" width="27.85546875" style="499" customWidth="1"/>
    <col min="9992" max="9992" width="27.140625" style="499" customWidth="1"/>
    <col min="9993" max="9993" width="18.42578125" style="499" customWidth="1"/>
    <col min="9994" max="9994" width="15.140625" style="499" customWidth="1"/>
    <col min="9995" max="9995" width="11.42578125" style="499" customWidth="1"/>
    <col min="9996" max="9996" width="14.42578125" style="499" customWidth="1"/>
    <col min="9997" max="9997" width="14.140625" style="499" customWidth="1"/>
    <col min="9998" max="9998" width="50.42578125" style="499" customWidth="1"/>
    <col min="9999" max="9999" width="11.42578125" style="499" customWidth="1"/>
    <col min="10000" max="10240" width="11.42578125" style="499"/>
    <col min="10241" max="10241" width="16.42578125" style="499" customWidth="1"/>
    <col min="10242" max="10242" width="33.28515625" style="499" customWidth="1"/>
    <col min="10243" max="10243" width="19.140625" style="499" customWidth="1"/>
    <col min="10244" max="10244" width="26.28515625" style="499" customWidth="1"/>
    <col min="10245" max="10245" width="24.85546875" style="499" customWidth="1"/>
    <col min="10246" max="10246" width="20.28515625" style="499" customWidth="1"/>
    <col min="10247" max="10247" width="27.85546875" style="499" customWidth="1"/>
    <col min="10248" max="10248" width="27.140625" style="499" customWidth="1"/>
    <col min="10249" max="10249" width="18.42578125" style="499" customWidth="1"/>
    <col min="10250" max="10250" width="15.140625" style="499" customWidth="1"/>
    <col min="10251" max="10251" width="11.42578125" style="499" customWidth="1"/>
    <col min="10252" max="10252" width="14.42578125" style="499" customWidth="1"/>
    <col min="10253" max="10253" width="14.140625" style="499" customWidth="1"/>
    <col min="10254" max="10254" width="50.42578125" style="499" customWidth="1"/>
    <col min="10255" max="10255" width="11.42578125" style="499" customWidth="1"/>
    <col min="10256" max="10496" width="11.42578125" style="499"/>
    <col min="10497" max="10497" width="16.42578125" style="499" customWidth="1"/>
    <col min="10498" max="10498" width="33.28515625" style="499" customWidth="1"/>
    <col min="10499" max="10499" width="19.140625" style="499" customWidth="1"/>
    <col min="10500" max="10500" width="26.28515625" style="499" customWidth="1"/>
    <col min="10501" max="10501" width="24.85546875" style="499" customWidth="1"/>
    <col min="10502" max="10502" width="20.28515625" style="499" customWidth="1"/>
    <col min="10503" max="10503" width="27.85546875" style="499" customWidth="1"/>
    <col min="10504" max="10504" width="27.140625" style="499" customWidth="1"/>
    <col min="10505" max="10505" width="18.42578125" style="499" customWidth="1"/>
    <col min="10506" max="10506" width="15.140625" style="499" customWidth="1"/>
    <col min="10507" max="10507" width="11.42578125" style="499" customWidth="1"/>
    <col min="10508" max="10508" width="14.42578125" style="499" customWidth="1"/>
    <col min="10509" max="10509" width="14.140625" style="499" customWidth="1"/>
    <col min="10510" max="10510" width="50.42578125" style="499" customWidth="1"/>
    <col min="10511" max="10511" width="11.42578125" style="499" customWidth="1"/>
    <col min="10512" max="10752" width="11.42578125" style="499"/>
    <col min="10753" max="10753" width="16.42578125" style="499" customWidth="1"/>
    <col min="10754" max="10754" width="33.28515625" style="499" customWidth="1"/>
    <col min="10755" max="10755" width="19.140625" style="499" customWidth="1"/>
    <col min="10756" max="10756" width="26.28515625" style="499" customWidth="1"/>
    <col min="10757" max="10757" width="24.85546875" style="499" customWidth="1"/>
    <col min="10758" max="10758" width="20.28515625" style="499" customWidth="1"/>
    <col min="10759" max="10759" width="27.85546875" style="499" customWidth="1"/>
    <col min="10760" max="10760" width="27.140625" style="499" customWidth="1"/>
    <col min="10761" max="10761" width="18.42578125" style="499" customWidth="1"/>
    <col min="10762" max="10762" width="15.140625" style="499" customWidth="1"/>
    <col min="10763" max="10763" width="11.42578125" style="499" customWidth="1"/>
    <col min="10764" max="10764" width="14.42578125" style="499" customWidth="1"/>
    <col min="10765" max="10765" width="14.140625" style="499" customWidth="1"/>
    <col min="10766" max="10766" width="50.42578125" style="499" customWidth="1"/>
    <col min="10767" max="10767" width="11.42578125" style="499" customWidth="1"/>
    <col min="10768" max="11008" width="11.42578125" style="499"/>
    <col min="11009" max="11009" width="16.42578125" style="499" customWidth="1"/>
    <col min="11010" max="11010" width="33.28515625" style="499" customWidth="1"/>
    <col min="11011" max="11011" width="19.140625" style="499" customWidth="1"/>
    <col min="11012" max="11012" width="26.28515625" style="499" customWidth="1"/>
    <col min="11013" max="11013" width="24.85546875" style="499" customWidth="1"/>
    <col min="11014" max="11014" width="20.28515625" style="499" customWidth="1"/>
    <col min="11015" max="11015" width="27.85546875" style="499" customWidth="1"/>
    <col min="11016" max="11016" width="27.140625" style="499" customWidth="1"/>
    <col min="11017" max="11017" width="18.42578125" style="499" customWidth="1"/>
    <col min="11018" max="11018" width="15.140625" style="499" customWidth="1"/>
    <col min="11019" max="11019" width="11.42578125" style="499" customWidth="1"/>
    <col min="11020" max="11020" width="14.42578125" style="499" customWidth="1"/>
    <col min="11021" max="11021" width="14.140625" style="499" customWidth="1"/>
    <col min="11022" max="11022" width="50.42578125" style="499" customWidth="1"/>
    <col min="11023" max="11023" width="11.42578125" style="499" customWidth="1"/>
    <col min="11024" max="11264" width="11.42578125" style="499"/>
    <col min="11265" max="11265" width="16.42578125" style="499" customWidth="1"/>
    <col min="11266" max="11266" width="33.28515625" style="499" customWidth="1"/>
    <col min="11267" max="11267" width="19.140625" style="499" customWidth="1"/>
    <col min="11268" max="11268" width="26.28515625" style="499" customWidth="1"/>
    <col min="11269" max="11269" width="24.85546875" style="499" customWidth="1"/>
    <col min="11270" max="11270" width="20.28515625" style="499" customWidth="1"/>
    <col min="11271" max="11271" width="27.85546875" style="499" customWidth="1"/>
    <col min="11272" max="11272" width="27.140625" style="499" customWidth="1"/>
    <col min="11273" max="11273" width="18.42578125" style="499" customWidth="1"/>
    <col min="11274" max="11274" width="15.140625" style="499" customWidth="1"/>
    <col min="11275" max="11275" width="11.42578125" style="499" customWidth="1"/>
    <col min="11276" max="11276" width="14.42578125" style="499" customWidth="1"/>
    <col min="11277" max="11277" width="14.140625" style="499" customWidth="1"/>
    <col min="11278" max="11278" width="50.42578125" style="499" customWidth="1"/>
    <col min="11279" max="11279" width="11.42578125" style="499" customWidth="1"/>
    <col min="11280" max="11520" width="11.42578125" style="499"/>
    <col min="11521" max="11521" width="16.42578125" style="499" customWidth="1"/>
    <col min="11522" max="11522" width="33.28515625" style="499" customWidth="1"/>
    <col min="11523" max="11523" width="19.140625" style="499" customWidth="1"/>
    <col min="11524" max="11524" width="26.28515625" style="499" customWidth="1"/>
    <col min="11525" max="11525" width="24.85546875" style="499" customWidth="1"/>
    <col min="11526" max="11526" width="20.28515625" style="499" customWidth="1"/>
    <col min="11527" max="11527" width="27.85546875" style="499" customWidth="1"/>
    <col min="11528" max="11528" width="27.140625" style="499" customWidth="1"/>
    <col min="11529" max="11529" width="18.42578125" style="499" customWidth="1"/>
    <col min="11530" max="11530" width="15.140625" style="499" customWidth="1"/>
    <col min="11531" max="11531" width="11.42578125" style="499" customWidth="1"/>
    <col min="11532" max="11532" width="14.42578125" style="499" customWidth="1"/>
    <col min="11533" max="11533" width="14.140625" style="499" customWidth="1"/>
    <col min="11534" max="11534" width="50.42578125" style="499" customWidth="1"/>
    <col min="11535" max="11535" width="11.42578125" style="499" customWidth="1"/>
    <col min="11536" max="11776" width="11.42578125" style="499"/>
    <col min="11777" max="11777" width="16.42578125" style="499" customWidth="1"/>
    <col min="11778" max="11778" width="33.28515625" style="499" customWidth="1"/>
    <col min="11779" max="11779" width="19.140625" style="499" customWidth="1"/>
    <col min="11780" max="11780" width="26.28515625" style="499" customWidth="1"/>
    <col min="11781" max="11781" width="24.85546875" style="499" customWidth="1"/>
    <col min="11782" max="11782" width="20.28515625" style="499" customWidth="1"/>
    <col min="11783" max="11783" width="27.85546875" style="499" customWidth="1"/>
    <col min="11784" max="11784" width="27.140625" style="499" customWidth="1"/>
    <col min="11785" max="11785" width="18.42578125" style="499" customWidth="1"/>
    <col min="11786" max="11786" width="15.140625" style="499" customWidth="1"/>
    <col min="11787" max="11787" width="11.42578125" style="499" customWidth="1"/>
    <col min="11788" max="11788" width="14.42578125" style="499" customWidth="1"/>
    <col min="11789" max="11789" width="14.140625" style="499" customWidth="1"/>
    <col min="11790" max="11790" width="50.42578125" style="499" customWidth="1"/>
    <col min="11791" max="11791" width="11.42578125" style="499" customWidth="1"/>
    <col min="11792" max="12032" width="11.42578125" style="499"/>
    <col min="12033" max="12033" width="16.42578125" style="499" customWidth="1"/>
    <col min="12034" max="12034" width="33.28515625" style="499" customWidth="1"/>
    <col min="12035" max="12035" width="19.140625" style="499" customWidth="1"/>
    <col min="12036" max="12036" width="26.28515625" style="499" customWidth="1"/>
    <col min="12037" max="12037" width="24.85546875" style="499" customWidth="1"/>
    <col min="12038" max="12038" width="20.28515625" style="499" customWidth="1"/>
    <col min="12039" max="12039" width="27.85546875" style="499" customWidth="1"/>
    <col min="12040" max="12040" width="27.140625" style="499" customWidth="1"/>
    <col min="12041" max="12041" width="18.42578125" style="499" customWidth="1"/>
    <col min="12042" max="12042" width="15.140625" style="499" customWidth="1"/>
    <col min="12043" max="12043" width="11.42578125" style="499" customWidth="1"/>
    <col min="12044" max="12044" width="14.42578125" style="499" customWidth="1"/>
    <col min="12045" max="12045" width="14.140625" style="499" customWidth="1"/>
    <col min="12046" max="12046" width="50.42578125" style="499" customWidth="1"/>
    <col min="12047" max="12047" width="11.42578125" style="499" customWidth="1"/>
    <col min="12048" max="12288" width="11.42578125" style="499"/>
    <col min="12289" max="12289" width="16.42578125" style="499" customWidth="1"/>
    <col min="12290" max="12290" width="33.28515625" style="499" customWidth="1"/>
    <col min="12291" max="12291" width="19.140625" style="499" customWidth="1"/>
    <col min="12292" max="12292" width="26.28515625" style="499" customWidth="1"/>
    <col min="12293" max="12293" width="24.85546875" style="499" customWidth="1"/>
    <col min="12294" max="12294" width="20.28515625" style="499" customWidth="1"/>
    <col min="12295" max="12295" width="27.85546875" style="499" customWidth="1"/>
    <col min="12296" max="12296" width="27.140625" style="499" customWidth="1"/>
    <col min="12297" max="12297" width="18.42578125" style="499" customWidth="1"/>
    <col min="12298" max="12298" width="15.140625" style="499" customWidth="1"/>
    <col min="12299" max="12299" width="11.42578125" style="499" customWidth="1"/>
    <col min="12300" max="12300" width="14.42578125" style="499" customWidth="1"/>
    <col min="12301" max="12301" width="14.140625" style="499" customWidth="1"/>
    <col min="12302" max="12302" width="50.42578125" style="499" customWidth="1"/>
    <col min="12303" max="12303" width="11.42578125" style="499" customWidth="1"/>
    <col min="12304" max="12544" width="11.42578125" style="499"/>
    <col min="12545" max="12545" width="16.42578125" style="499" customWidth="1"/>
    <col min="12546" max="12546" width="33.28515625" style="499" customWidth="1"/>
    <col min="12547" max="12547" width="19.140625" style="499" customWidth="1"/>
    <col min="12548" max="12548" width="26.28515625" style="499" customWidth="1"/>
    <col min="12549" max="12549" width="24.85546875" style="499" customWidth="1"/>
    <col min="12550" max="12550" width="20.28515625" style="499" customWidth="1"/>
    <col min="12551" max="12551" width="27.85546875" style="499" customWidth="1"/>
    <col min="12552" max="12552" width="27.140625" style="499" customWidth="1"/>
    <col min="12553" max="12553" width="18.42578125" style="499" customWidth="1"/>
    <col min="12554" max="12554" width="15.140625" style="499" customWidth="1"/>
    <col min="12555" max="12555" width="11.42578125" style="499" customWidth="1"/>
    <col min="12556" max="12556" width="14.42578125" style="499" customWidth="1"/>
    <col min="12557" max="12557" width="14.140625" style="499" customWidth="1"/>
    <col min="12558" max="12558" width="50.42578125" style="499" customWidth="1"/>
    <col min="12559" max="12559" width="11.42578125" style="499" customWidth="1"/>
    <col min="12560" max="12800" width="11.42578125" style="499"/>
    <col min="12801" max="12801" width="16.42578125" style="499" customWidth="1"/>
    <col min="12802" max="12802" width="33.28515625" style="499" customWidth="1"/>
    <col min="12803" max="12803" width="19.140625" style="499" customWidth="1"/>
    <col min="12804" max="12804" width="26.28515625" style="499" customWidth="1"/>
    <col min="12805" max="12805" width="24.85546875" style="499" customWidth="1"/>
    <col min="12806" max="12806" width="20.28515625" style="499" customWidth="1"/>
    <col min="12807" max="12807" width="27.85546875" style="499" customWidth="1"/>
    <col min="12808" max="12808" width="27.140625" style="499" customWidth="1"/>
    <col min="12809" max="12809" width="18.42578125" style="499" customWidth="1"/>
    <col min="12810" max="12810" width="15.140625" style="499" customWidth="1"/>
    <col min="12811" max="12811" width="11.42578125" style="499" customWidth="1"/>
    <col min="12812" max="12812" width="14.42578125" style="499" customWidth="1"/>
    <col min="12813" max="12813" width="14.140625" style="499" customWidth="1"/>
    <col min="12814" max="12814" width="50.42578125" style="499" customWidth="1"/>
    <col min="12815" max="12815" width="11.42578125" style="499" customWidth="1"/>
    <col min="12816" max="13056" width="11.42578125" style="499"/>
    <col min="13057" max="13057" width="16.42578125" style="499" customWidth="1"/>
    <col min="13058" max="13058" width="33.28515625" style="499" customWidth="1"/>
    <col min="13059" max="13059" width="19.140625" style="499" customWidth="1"/>
    <col min="13060" max="13060" width="26.28515625" style="499" customWidth="1"/>
    <col min="13061" max="13061" width="24.85546875" style="499" customWidth="1"/>
    <col min="13062" max="13062" width="20.28515625" style="499" customWidth="1"/>
    <col min="13063" max="13063" width="27.85546875" style="499" customWidth="1"/>
    <col min="13064" max="13064" width="27.140625" style="499" customWidth="1"/>
    <col min="13065" max="13065" width="18.42578125" style="499" customWidth="1"/>
    <col min="13066" max="13066" width="15.140625" style="499" customWidth="1"/>
    <col min="13067" max="13067" width="11.42578125" style="499" customWidth="1"/>
    <col min="13068" max="13068" width="14.42578125" style="499" customWidth="1"/>
    <col min="13069" max="13069" width="14.140625" style="499" customWidth="1"/>
    <col min="13070" max="13070" width="50.42578125" style="499" customWidth="1"/>
    <col min="13071" max="13071" width="11.42578125" style="499" customWidth="1"/>
    <col min="13072" max="13312" width="11.42578125" style="499"/>
    <col min="13313" max="13313" width="16.42578125" style="499" customWidth="1"/>
    <col min="13314" max="13314" width="33.28515625" style="499" customWidth="1"/>
    <col min="13315" max="13315" width="19.140625" style="499" customWidth="1"/>
    <col min="13316" max="13316" width="26.28515625" style="499" customWidth="1"/>
    <col min="13317" max="13317" width="24.85546875" style="499" customWidth="1"/>
    <col min="13318" max="13318" width="20.28515625" style="499" customWidth="1"/>
    <col min="13319" max="13319" width="27.85546875" style="499" customWidth="1"/>
    <col min="13320" max="13320" width="27.140625" style="499" customWidth="1"/>
    <col min="13321" max="13321" width="18.42578125" style="499" customWidth="1"/>
    <col min="13322" max="13322" width="15.140625" style="499" customWidth="1"/>
    <col min="13323" max="13323" width="11.42578125" style="499" customWidth="1"/>
    <col min="13324" max="13324" width="14.42578125" style="499" customWidth="1"/>
    <col min="13325" max="13325" width="14.140625" style="499" customWidth="1"/>
    <col min="13326" max="13326" width="50.42578125" style="499" customWidth="1"/>
    <col min="13327" max="13327" width="11.42578125" style="499" customWidth="1"/>
    <col min="13328" max="13568" width="11.42578125" style="499"/>
    <col min="13569" max="13569" width="16.42578125" style="499" customWidth="1"/>
    <col min="13570" max="13570" width="33.28515625" style="499" customWidth="1"/>
    <col min="13571" max="13571" width="19.140625" style="499" customWidth="1"/>
    <col min="13572" max="13572" width="26.28515625" style="499" customWidth="1"/>
    <col min="13573" max="13573" width="24.85546875" style="499" customWidth="1"/>
    <col min="13574" max="13574" width="20.28515625" style="499" customWidth="1"/>
    <col min="13575" max="13575" width="27.85546875" style="499" customWidth="1"/>
    <col min="13576" max="13576" width="27.140625" style="499" customWidth="1"/>
    <col min="13577" max="13577" width="18.42578125" style="499" customWidth="1"/>
    <col min="13578" max="13578" width="15.140625" style="499" customWidth="1"/>
    <col min="13579" max="13579" width="11.42578125" style="499" customWidth="1"/>
    <col min="13580" max="13580" width="14.42578125" style="499" customWidth="1"/>
    <col min="13581" max="13581" width="14.140625" style="499" customWidth="1"/>
    <col min="13582" max="13582" width="50.42578125" style="499" customWidth="1"/>
    <col min="13583" max="13583" width="11.42578125" style="499" customWidth="1"/>
    <col min="13584" max="13824" width="11.42578125" style="499"/>
    <col min="13825" max="13825" width="16.42578125" style="499" customWidth="1"/>
    <col min="13826" max="13826" width="33.28515625" style="499" customWidth="1"/>
    <col min="13827" max="13827" width="19.140625" style="499" customWidth="1"/>
    <col min="13828" max="13828" width="26.28515625" style="499" customWidth="1"/>
    <col min="13829" max="13829" width="24.85546875" style="499" customWidth="1"/>
    <col min="13830" max="13830" width="20.28515625" style="499" customWidth="1"/>
    <col min="13831" max="13831" width="27.85546875" style="499" customWidth="1"/>
    <col min="13832" max="13832" width="27.140625" style="499" customWidth="1"/>
    <col min="13833" max="13833" width="18.42578125" style="499" customWidth="1"/>
    <col min="13834" max="13834" width="15.140625" style="499" customWidth="1"/>
    <col min="13835" max="13835" width="11.42578125" style="499" customWidth="1"/>
    <col min="13836" max="13836" width="14.42578125" style="499" customWidth="1"/>
    <col min="13837" max="13837" width="14.140625" style="499" customWidth="1"/>
    <col min="13838" max="13838" width="50.42578125" style="499" customWidth="1"/>
    <col min="13839" max="13839" width="11.42578125" style="499" customWidth="1"/>
    <col min="13840" max="14080" width="11.42578125" style="499"/>
    <col min="14081" max="14081" width="16.42578125" style="499" customWidth="1"/>
    <col min="14082" max="14082" width="33.28515625" style="499" customWidth="1"/>
    <col min="14083" max="14083" width="19.140625" style="499" customWidth="1"/>
    <col min="14084" max="14084" width="26.28515625" style="499" customWidth="1"/>
    <col min="14085" max="14085" width="24.85546875" style="499" customWidth="1"/>
    <col min="14086" max="14086" width="20.28515625" style="499" customWidth="1"/>
    <col min="14087" max="14087" width="27.85546875" style="499" customWidth="1"/>
    <col min="14088" max="14088" width="27.140625" style="499" customWidth="1"/>
    <col min="14089" max="14089" width="18.42578125" style="499" customWidth="1"/>
    <col min="14090" max="14090" width="15.140625" style="499" customWidth="1"/>
    <col min="14091" max="14091" width="11.42578125" style="499" customWidth="1"/>
    <col min="14092" max="14092" width="14.42578125" style="499" customWidth="1"/>
    <col min="14093" max="14093" width="14.140625" style="499" customWidth="1"/>
    <col min="14094" max="14094" width="50.42578125" style="499" customWidth="1"/>
    <col min="14095" max="14095" width="11.42578125" style="499" customWidth="1"/>
    <col min="14096" max="14336" width="11.42578125" style="499"/>
    <col min="14337" max="14337" width="16.42578125" style="499" customWidth="1"/>
    <col min="14338" max="14338" width="33.28515625" style="499" customWidth="1"/>
    <col min="14339" max="14339" width="19.140625" style="499" customWidth="1"/>
    <col min="14340" max="14340" width="26.28515625" style="499" customWidth="1"/>
    <col min="14341" max="14341" width="24.85546875" style="499" customWidth="1"/>
    <col min="14342" max="14342" width="20.28515625" style="499" customWidth="1"/>
    <col min="14343" max="14343" width="27.85546875" style="499" customWidth="1"/>
    <col min="14344" max="14344" width="27.140625" style="499" customWidth="1"/>
    <col min="14345" max="14345" width="18.42578125" style="499" customWidth="1"/>
    <col min="14346" max="14346" width="15.140625" style="499" customWidth="1"/>
    <col min="14347" max="14347" width="11.42578125" style="499" customWidth="1"/>
    <col min="14348" max="14348" width="14.42578125" style="499" customWidth="1"/>
    <col min="14349" max="14349" width="14.140625" style="499" customWidth="1"/>
    <col min="14350" max="14350" width="50.42578125" style="499" customWidth="1"/>
    <col min="14351" max="14351" width="11.42578125" style="499" customWidth="1"/>
    <col min="14352" max="14592" width="11.42578125" style="499"/>
    <col min="14593" max="14593" width="16.42578125" style="499" customWidth="1"/>
    <col min="14594" max="14594" width="33.28515625" style="499" customWidth="1"/>
    <col min="14595" max="14595" width="19.140625" style="499" customWidth="1"/>
    <col min="14596" max="14596" width="26.28515625" style="499" customWidth="1"/>
    <col min="14597" max="14597" width="24.85546875" style="499" customWidth="1"/>
    <col min="14598" max="14598" width="20.28515625" style="499" customWidth="1"/>
    <col min="14599" max="14599" width="27.85546875" style="499" customWidth="1"/>
    <col min="14600" max="14600" width="27.140625" style="499" customWidth="1"/>
    <col min="14601" max="14601" width="18.42578125" style="499" customWidth="1"/>
    <col min="14602" max="14602" width="15.140625" style="499" customWidth="1"/>
    <col min="14603" max="14603" width="11.42578125" style="499" customWidth="1"/>
    <col min="14604" max="14604" width="14.42578125" style="499" customWidth="1"/>
    <col min="14605" max="14605" width="14.140625" style="499" customWidth="1"/>
    <col min="14606" max="14606" width="50.42578125" style="499" customWidth="1"/>
    <col min="14607" max="14607" width="11.42578125" style="499" customWidth="1"/>
    <col min="14608" max="14848" width="11.42578125" style="499"/>
    <col min="14849" max="14849" width="16.42578125" style="499" customWidth="1"/>
    <col min="14850" max="14850" width="33.28515625" style="499" customWidth="1"/>
    <col min="14851" max="14851" width="19.140625" style="499" customWidth="1"/>
    <col min="14852" max="14852" width="26.28515625" style="499" customWidth="1"/>
    <col min="14853" max="14853" width="24.85546875" style="499" customWidth="1"/>
    <col min="14854" max="14854" width="20.28515625" style="499" customWidth="1"/>
    <col min="14855" max="14855" width="27.85546875" style="499" customWidth="1"/>
    <col min="14856" max="14856" width="27.140625" style="499" customWidth="1"/>
    <col min="14857" max="14857" width="18.42578125" style="499" customWidth="1"/>
    <col min="14858" max="14858" width="15.140625" style="499" customWidth="1"/>
    <col min="14859" max="14859" width="11.42578125" style="499" customWidth="1"/>
    <col min="14860" max="14860" width="14.42578125" style="499" customWidth="1"/>
    <col min="14861" max="14861" width="14.140625" style="499" customWidth="1"/>
    <col min="14862" max="14862" width="50.42578125" style="499" customWidth="1"/>
    <col min="14863" max="14863" width="11.42578125" style="499" customWidth="1"/>
    <col min="14864" max="15104" width="11.42578125" style="499"/>
    <col min="15105" max="15105" width="16.42578125" style="499" customWidth="1"/>
    <col min="15106" max="15106" width="33.28515625" style="499" customWidth="1"/>
    <col min="15107" max="15107" width="19.140625" style="499" customWidth="1"/>
    <col min="15108" max="15108" width="26.28515625" style="499" customWidth="1"/>
    <col min="15109" max="15109" width="24.85546875" style="499" customWidth="1"/>
    <col min="15110" max="15110" width="20.28515625" style="499" customWidth="1"/>
    <col min="15111" max="15111" width="27.85546875" style="499" customWidth="1"/>
    <col min="15112" max="15112" width="27.140625" style="499" customWidth="1"/>
    <col min="15113" max="15113" width="18.42578125" style="499" customWidth="1"/>
    <col min="15114" max="15114" width="15.140625" style="499" customWidth="1"/>
    <col min="15115" max="15115" width="11.42578125" style="499" customWidth="1"/>
    <col min="15116" max="15116" width="14.42578125" style="499" customWidth="1"/>
    <col min="15117" max="15117" width="14.140625" style="499" customWidth="1"/>
    <col min="15118" max="15118" width="50.42578125" style="499" customWidth="1"/>
    <col min="15119" max="15119" width="11.42578125" style="499" customWidth="1"/>
    <col min="15120" max="15360" width="11.42578125" style="499"/>
    <col min="15361" max="15361" width="16.42578125" style="499" customWidth="1"/>
    <col min="15362" max="15362" width="33.28515625" style="499" customWidth="1"/>
    <col min="15363" max="15363" width="19.140625" style="499" customWidth="1"/>
    <col min="15364" max="15364" width="26.28515625" style="499" customWidth="1"/>
    <col min="15365" max="15365" width="24.85546875" style="499" customWidth="1"/>
    <col min="15366" max="15366" width="20.28515625" style="499" customWidth="1"/>
    <col min="15367" max="15367" width="27.85546875" style="499" customWidth="1"/>
    <col min="15368" max="15368" width="27.140625" style="499" customWidth="1"/>
    <col min="15369" max="15369" width="18.42578125" style="499" customWidth="1"/>
    <col min="15370" max="15370" width="15.140625" style="499" customWidth="1"/>
    <col min="15371" max="15371" width="11.42578125" style="499" customWidth="1"/>
    <col min="15372" max="15372" width="14.42578125" style="499" customWidth="1"/>
    <col min="15373" max="15373" width="14.140625" style="499" customWidth="1"/>
    <col min="15374" max="15374" width="50.42578125" style="499" customWidth="1"/>
    <col min="15375" max="15375" width="11.42578125" style="499" customWidth="1"/>
    <col min="15376" max="15616" width="11.42578125" style="499"/>
    <col min="15617" max="15617" width="16.42578125" style="499" customWidth="1"/>
    <col min="15618" max="15618" width="33.28515625" style="499" customWidth="1"/>
    <col min="15619" max="15619" width="19.140625" style="499" customWidth="1"/>
    <col min="15620" max="15620" width="26.28515625" style="499" customWidth="1"/>
    <col min="15621" max="15621" width="24.85546875" style="499" customWidth="1"/>
    <col min="15622" max="15622" width="20.28515625" style="499" customWidth="1"/>
    <col min="15623" max="15623" width="27.85546875" style="499" customWidth="1"/>
    <col min="15624" max="15624" width="27.140625" style="499" customWidth="1"/>
    <col min="15625" max="15625" width="18.42578125" style="499" customWidth="1"/>
    <col min="15626" max="15626" width="15.140625" style="499" customWidth="1"/>
    <col min="15627" max="15627" width="11.42578125" style="499" customWidth="1"/>
    <col min="15628" max="15628" width="14.42578125" style="499" customWidth="1"/>
    <col min="15629" max="15629" width="14.140625" style="499" customWidth="1"/>
    <col min="15630" max="15630" width="50.42578125" style="499" customWidth="1"/>
    <col min="15631" max="15631" width="11.42578125" style="499" customWidth="1"/>
    <col min="15632" max="15872" width="11.42578125" style="499"/>
    <col min="15873" max="15873" width="16.42578125" style="499" customWidth="1"/>
    <col min="15874" max="15874" width="33.28515625" style="499" customWidth="1"/>
    <col min="15875" max="15875" width="19.140625" style="499" customWidth="1"/>
    <col min="15876" max="15876" width="26.28515625" style="499" customWidth="1"/>
    <col min="15877" max="15877" width="24.85546875" style="499" customWidth="1"/>
    <col min="15878" max="15878" width="20.28515625" style="499" customWidth="1"/>
    <col min="15879" max="15879" width="27.85546875" style="499" customWidth="1"/>
    <col min="15880" max="15880" width="27.140625" style="499" customWidth="1"/>
    <col min="15881" max="15881" width="18.42578125" style="499" customWidth="1"/>
    <col min="15882" max="15882" width="15.140625" style="499" customWidth="1"/>
    <col min="15883" max="15883" width="11.42578125" style="499" customWidth="1"/>
    <col min="15884" max="15884" width="14.42578125" style="499" customWidth="1"/>
    <col min="15885" max="15885" width="14.140625" style="499" customWidth="1"/>
    <col min="15886" max="15886" width="50.42578125" style="499" customWidth="1"/>
    <col min="15887" max="15887" width="11.42578125" style="499" customWidth="1"/>
    <col min="15888" max="16128" width="11.42578125" style="499"/>
    <col min="16129" max="16129" width="16.42578125" style="499" customWidth="1"/>
    <col min="16130" max="16130" width="33.28515625" style="499" customWidth="1"/>
    <col min="16131" max="16131" width="19.140625" style="499" customWidth="1"/>
    <col min="16132" max="16132" width="26.28515625" style="499" customWidth="1"/>
    <col min="16133" max="16133" width="24.85546875" style="499" customWidth="1"/>
    <col min="16134" max="16134" width="20.28515625" style="499" customWidth="1"/>
    <col min="16135" max="16135" width="27.85546875" style="499" customWidth="1"/>
    <col min="16136" max="16136" width="27.140625" style="499" customWidth="1"/>
    <col min="16137" max="16137" width="18.42578125" style="499" customWidth="1"/>
    <col min="16138" max="16138" width="15.140625" style="499" customWidth="1"/>
    <col min="16139" max="16139" width="11.42578125" style="499" customWidth="1"/>
    <col min="16140" max="16140" width="14.42578125" style="499" customWidth="1"/>
    <col min="16141" max="16141" width="14.140625" style="499" customWidth="1"/>
    <col min="16142" max="16142" width="50.42578125" style="499" customWidth="1"/>
    <col min="16143" max="16143" width="11.42578125" style="499" customWidth="1"/>
    <col min="16144" max="16384" width="11.42578125" style="499"/>
  </cols>
  <sheetData>
    <row r="1" spans="1:14" ht="30.75" thickBot="1" x14ac:dyDescent="0.3">
      <c r="A1" s="956"/>
      <c r="B1" s="956"/>
      <c r="C1" s="957" t="s">
        <v>0</v>
      </c>
      <c r="D1" s="957"/>
      <c r="E1" s="957"/>
      <c r="F1" s="957"/>
      <c r="G1" s="957"/>
      <c r="H1" s="957"/>
      <c r="I1" s="957"/>
      <c r="J1" s="957"/>
      <c r="K1" s="957"/>
      <c r="L1" s="957"/>
      <c r="M1" s="957"/>
      <c r="N1" s="957"/>
    </row>
    <row r="2" spans="1:14" ht="18.75" thickBot="1" x14ac:dyDescent="0.3">
      <c r="A2" s="956"/>
      <c r="B2" s="956"/>
      <c r="C2" s="958" t="s">
        <v>301</v>
      </c>
      <c r="D2" s="958"/>
      <c r="E2" s="958"/>
      <c r="F2" s="958"/>
      <c r="G2" s="958"/>
      <c r="H2" s="958"/>
      <c r="I2" s="958"/>
      <c r="J2" s="958"/>
      <c r="K2" s="958"/>
      <c r="L2" s="958"/>
      <c r="M2" s="958"/>
      <c r="N2" s="958"/>
    </row>
    <row r="3" spans="1:14" ht="27" thickBot="1" x14ac:dyDescent="0.45">
      <c r="A3" s="956"/>
      <c r="B3" s="956"/>
      <c r="C3" s="959" t="s">
        <v>172</v>
      </c>
      <c r="D3" s="959"/>
      <c r="E3" s="959"/>
      <c r="F3" s="959"/>
      <c r="G3" s="959"/>
      <c r="H3" s="960" t="s">
        <v>230</v>
      </c>
      <c r="I3" s="960"/>
      <c r="J3" s="960"/>
      <c r="K3" s="960"/>
      <c r="L3" s="960"/>
      <c r="M3" s="960"/>
      <c r="N3" s="960"/>
    </row>
    <row r="4" spans="1:14" ht="15.75" thickBot="1" x14ac:dyDescent="0.3">
      <c r="A4" s="947" t="s">
        <v>4</v>
      </c>
      <c r="B4" s="947"/>
      <c r="C4" s="948" t="s">
        <v>5</v>
      </c>
      <c r="D4" s="948"/>
      <c r="E4" s="948"/>
      <c r="F4" s="948"/>
      <c r="G4" s="948"/>
      <c r="H4" s="948"/>
      <c r="I4" s="948"/>
      <c r="J4" s="948"/>
      <c r="K4" s="948"/>
      <c r="L4" s="948"/>
      <c r="M4" s="948"/>
      <c r="N4" s="948"/>
    </row>
    <row r="5" spans="1:14" ht="15.75" thickBot="1" x14ac:dyDescent="0.3">
      <c r="A5" s="947" t="s">
        <v>6</v>
      </c>
      <c r="B5" s="947"/>
      <c r="C5" s="948" t="s">
        <v>302</v>
      </c>
      <c r="D5" s="948"/>
      <c r="E5" s="948"/>
      <c r="F5" s="948"/>
      <c r="G5" s="948"/>
      <c r="H5" s="948"/>
      <c r="I5" s="948"/>
      <c r="J5" s="948"/>
      <c r="K5" s="948"/>
      <c r="L5" s="948"/>
      <c r="M5" s="948"/>
      <c r="N5" s="948"/>
    </row>
    <row r="6" spans="1:14" ht="15.75" thickBot="1" x14ac:dyDescent="0.3"/>
    <row r="7" spans="1:14" ht="20.25" x14ac:dyDescent="0.25">
      <c r="A7" s="949" t="s">
        <v>303</v>
      </c>
      <c r="B7" s="949"/>
      <c r="C7" s="949"/>
      <c r="D7" s="949"/>
      <c r="E7" s="949"/>
      <c r="F7" s="949"/>
      <c r="G7" s="949"/>
      <c r="H7" s="949"/>
    </row>
    <row r="8" spans="1:14" ht="25.5" x14ac:dyDescent="0.25">
      <c r="A8" s="511" t="s">
        <v>26</v>
      </c>
      <c r="B8" s="512" t="s">
        <v>304</v>
      </c>
      <c r="C8" s="512" t="s">
        <v>305</v>
      </c>
      <c r="D8" s="512" t="s">
        <v>306</v>
      </c>
      <c r="E8" s="512" t="s">
        <v>307</v>
      </c>
      <c r="F8" s="512" t="s">
        <v>308</v>
      </c>
      <c r="G8" s="512" t="s">
        <v>309</v>
      </c>
      <c r="H8" s="513" t="s">
        <v>310</v>
      </c>
    </row>
    <row r="9" spans="1:14" ht="30" x14ac:dyDescent="0.25">
      <c r="A9" s="514" t="s">
        <v>311</v>
      </c>
      <c r="B9" s="515" t="s">
        <v>312</v>
      </c>
      <c r="C9" s="516">
        <v>0</v>
      </c>
      <c r="D9" s="517">
        <v>6969964000</v>
      </c>
      <c r="E9" s="517">
        <v>3583000</v>
      </c>
      <c r="F9" s="517">
        <v>0</v>
      </c>
      <c r="G9" s="517">
        <v>0</v>
      </c>
      <c r="H9" s="518">
        <v>0</v>
      </c>
    </row>
    <row r="10" spans="1:14" ht="30" x14ac:dyDescent="0.25">
      <c r="A10" s="514" t="s">
        <v>313</v>
      </c>
      <c r="B10" s="515" t="s">
        <v>312</v>
      </c>
      <c r="C10" s="516">
        <v>0</v>
      </c>
      <c r="D10" s="517">
        <v>6969964000</v>
      </c>
      <c r="E10" s="519">
        <v>1892298000</v>
      </c>
      <c r="F10" s="519">
        <v>824100</v>
      </c>
      <c r="G10" s="519">
        <v>824100</v>
      </c>
      <c r="H10" s="520">
        <f t="shared" ref="H10:H20" si="0">G10/E10</f>
        <v>4.3550223062118122E-4</v>
      </c>
    </row>
    <row r="11" spans="1:14" ht="30" x14ac:dyDescent="0.25">
      <c r="A11" s="514" t="s">
        <v>314</v>
      </c>
      <c r="B11" s="515" t="s">
        <v>312</v>
      </c>
      <c r="C11" s="516">
        <v>0</v>
      </c>
      <c r="D11" s="517">
        <v>6969964000</v>
      </c>
      <c r="E11" s="519">
        <v>4211646000</v>
      </c>
      <c r="F11" s="519">
        <v>60616765</v>
      </c>
      <c r="G11" s="519">
        <v>60616765</v>
      </c>
      <c r="H11" s="520">
        <f t="shared" si="0"/>
        <v>1.4392654320899714E-2</v>
      </c>
    </row>
    <row r="12" spans="1:14" ht="30" x14ac:dyDescent="0.25">
      <c r="A12" s="514" t="s">
        <v>315</v>
      </c>
      <c r="B12" s="515" t="s">
        <v>312</v>
      </c>
      <c r="C12" s="516">
        <v>0</v>
      </c>
      <c r="D12" s="517">
        <v>6969964000</v>
      </c>
      <c r="E12" s="519">
        <v>4460247000</v>
      </c>
      <c r="F12" s="519">
        <v>358335329</v>
      </c>
      <c r="G12" s="519">
        <v>358335329</v>
      </c>
      <c r="H12" s="520">
        <f t="shared" si="0"/>
        <v>8.0339794858894586E-2</v>
      </c>
    </row>
    <row r="13" spans="1:14" ht="30" x14ac:dyDescent="0.25">
      <c r="A13" s="514" t="s">
        <v>316</v>
      </c>
      <c r="B13" s="515" t="s">
        <v>312</v>
      </c>
      <c r="C13" s="516">
        <v>0</v>
      </c>
      <c r="D13" s="517">
        <v>6969964000</v>
      </c>
      <c r="E13" s="519">
        <v>4512343400</v>
      </c>
      <c r="F13" s="519">
        <v>819906330</v>
      </c>
      <c r="G13" s="519">
        <v>819906330</v>
      </c>
      <c r="H13" s="520">
        <f t="shared" si="0"/>
        <v>0.18170299937721937</v>
      </c>
    </row>
    <row r="14" spans="1:14" ht="30" x14ac:dyDescent="0.25">
      <c r="A14" s="514" t="s">
        <v>317</v>
      </c>
      <c r="B14" s="515" t="s">
        <v>312</v>
      </c>
      <c r="C14" s="516">
        <v>0</v>
      </c>
      <c r="D14" s="517">
        <v>6969964000</v>
      </c>
      <c r="E14" s="519">
        <v>5754644300</v>
      </c>
      <c r="F14" s="519">
        <v>1319728797</v>
      </c>
      <c r="G14" s="519">
        <v>1319728797</v>
      </c>
      <c r="H14" s="520">
        <f t="shared" si="0"/>
        <v>0.22933281853754192</v>
      </c>
    </row>
    <row r="15" spans="1:14" ht="30" x14ac:dyDescent="0.25">
      <c r="A15" s="514" t="s">
        <v>318</v>
      </c>
      <c r="B15" s="515" t="s">
        <v>312</v>
      </c>
      <c r="C15" s="516">
        <v>0</v>
      </c>
      <c r="D15" s="517">
        <v>6969964000</v>
      </c>
      <c r="E15" s="519">
        <v>5908639300</v>
      </c>
      <c r="F15" s="519">
        <v>1813945497</v>
      </c>
      <c r="G15" s="519">
        <v>1813945497</v>
      </c>
      <c r="H15" s="520">
        <f t="shared" si="0"/>
        <v>0.30699885454168779</v>
      </c>
    </row>
    <row r="16" spans="1:14" ht="30" x14ac:dyDescent="0.25">
      <c r="A16" s="514" t="s">
        <v>319</v>
      </c>
      <c r="B16" s="515" t="s">
        <v>312</v>
      </c>
      <c r="C16" s="516">
        <v>0</v>
      </c>
      <c r="D16" s="517">
        <v>6969964000</v>
      </c>
      <c r="E16" s="519">
        <v>5914869300</v>
      </c>
      <c r="F16" s="519">
        <v>2361676850</v>
      </c>
      <c r="G16" s="519">
        <v>2361676850</v>
      </c>
      <c r="H16" s="520">
        <f t="shared" si="0"/>
        <v>0.39927794347036544</v>
      </c>
    </row>
    <row r="17" spans="1:8" ht="30" x14ac:dyDescent="0.25">
      <c r="A17" s="514" t="s">
        <v>320</v>
      </c>
      <c r="B17" s="515" t="s">
        <v>312</v>
      </c>
      <c r="C17" s="516">
        <v>0</v>
      </c>
      <c r="D17" s="517">
        <v>6969964000</v>
      </c>
      <c r="E17" s="519">
        <v>6161858924</v>
      </c>
      <c r="F17" s="519">
        <v>2924913454</v>
      </c>
      <c r="G17" s="519">
        <v>2924913454</v>
      </c>
      <c r="H17" s="520">
        <f t="shared" si="0"/>
        <v>0.47468036676524211</v>
      </c>
    </row>
    <row r="18" spans="1:8" ht="30" x14ac:dyDescent="0.25">
      <c r="A18" s="514" t="s">
        <v>321</v>
      </c>
      <c r="B18" s="515" t="s">
        <v>312</v>
      </c>
      <c r="C18" s="521">
        <v>0</v>
      </c>
      <c r="D18" s="517">
        <v>6969964000</v>
      </c>
      <c r="E18" s="517">
        <v>6281852891</v>
      </c>
      <c r="F18" s="517">
        <v>3544265207</v>
      </c>
      <c r="G18" s="517">
        <v>3544265207</v>
      </c>
      <c r="H18" s="520">
        <f t="shared" si="0"/>
        <v>0.56420697340395587</v>
      </c>
    </row>
    <row r="19" spans="1:8" ht="30" x14ac:dyDescent="0.25">
      <c r="A19" s="514" t="s">
        <v>322</v>
      </c>
      <c r="B19" s="515" t="s">
        <v>312</v>
      </c>
      <c r="C19" s="521">
        <v>0</v>
      </c>
      <c r="D19" s="519">
        <v>6969964000</v>
      </c>
      <c r="E19" s="519">
        <v>6428269958</v>
      </c>
      <c r="F19" s="519">
        <v>4560168170</v>
      </c>
      <c r="G19" s="519">
        <v>4560168170</v>
      </c>
      <c r="H19" s="520">
        <f t="shared" si="0"/>
        <v>0.70939276038413068</v>
      </c>
    </row>
    <row r="20" spans="1:8" ht="30.75" thickBot="1" x14ac:dyDescent="0.3">
      <c r="A20" s="522" t="s">
        <v>323</v>
      </c>
      <c r="B20" s="523" t="s">
        <v>312</v>
      </c>
      <c r="C20" s="524">
        <v>0</v>
      </c>
      <c r="D20" s="1002">
        <v>7198869814</v>
      </c>
      <c r="E20" s="519">
        <v>6899439384</v>
      </c>
      <c r="F20" s="519">
        <v>5802018863</v>
      </c>
      <c r="G20" s="519">
        <v>5802018863</v>
      </c>
      <c r="H20" s="520">
        <f t="shared" si="0"/>
        <v>0.84094062431435368</v>
      </c>
    </row>
    <row r="22" spans="1:8" ht="15.75" thickBot="1" x14ac:dyDescent="0.3"/>
    <row r="23" spans="1:8" ht="20.25" x14ac:dyDescent="0.25">
      <c r="A23" s="949" t="s">
        <v>324</v>
      </c>
      <c r="B23" s="949"/>
      <c r="C23" s="949"/>
      <c r="D23" s="949"/>
      <c r="E23" s="949"/>
      <c r="F23" s="949"/>
      <c r="G23" s="949"/>
      <c r="H23" s="949"/>
    </row>
    <row r="24" spans="1:8" ht="25.5" x14ac:dyDescent="0.25">
      <c r="A24" s="511" t="s">
        <v>27</v>
      </c>
      <c r="B24" s="512" t="s">
        <v>304</v>
      </c>
      <c r="C24" s="512" t="s">
        <v>305</v>
      </c>
      <c r="D24" s="512" t="s">
        <v>306</v>
      </c>
      <c r="E24" s="512" t="s">
        <v>307</v>
      </c>
      <c r="F24" s="512" t="s">
        <v>308</v>
      </c>
      <c r="G24" s="512" t="s">
        <v>309</v>
      </c>
      <c r="H24" s="513" t="s">
        <v>310</v>
      </c>
    </row>
    <row r="25" spans="1:8" hidden="1" x14ac:dyDescent="0.25">
      <c r="A25" s="525" t="s">
        <v>311</v>
      </c>
      <c r="B25" s="526"/>
      <c r="C25" s="526"/>
      <c r="D25" s="526"/>
      <c r="E25" s="526"/>
      <c r="F25" s="526"/>
      <c r="G25" s="526"/>
      <c r="H25" s="527" t="e">
        <f t="shared" ref="H25:H36" si="1">G25/E25</f>
        <v>#DIV/0!</v>
      </c>
    </row>
    <row r="26" spans="1:8" hidden="1" x14ac:dyDescent="0.25">
      <c r="A26" s="525" t="s">
        <v>313</v>
      </c>
      <c r="B26" s="526"/>
      <c r="C26" s="526"/>
      <c r="D26" s="526"/>
      <c r="E26" s="526"/>
      <c r="F26" s="526"/>
      <c r="G26" s="526"/>
      <c r="H26" s="527" t="e">
        <f t="shared" si="1"/>
        <v>#DIV/0!</v>
      </c>
    </row>
    <row r="27" spans="1:8" hidden="1" x14ac:dyDescent="0.25">
      <c r="A27" s="525" t="s">
        <v>314</v>
      </c>
      <c r="B27" s="526"/>
      <c r="C27" s="526"/>
      <c r="D27" s="526"/>
      <c r="E27" s="526"/>
      <c r="F27" s="526"/>
      <c r="G27" s="526"/>
      <c r="H27" s="527" t="e">
        <f t="shared" si="1"/>
        <v>#DIV/0!</v>
      </c>
    </row>
    <row r="28" spans="1:8" hidden="1" x14ac:dyDescent="0.25">
      <c r="A28" s="525" t="s">
        <v>315</v>
      </c>
      <c r="B28" s="526"/>
      <c r="C28" s="526"/>
      <c r="D28" s="526"/>
      <c r="E28" s="526"/>
      <c r="F28" s="526"/>
      <c r="G28" s="526"/>
      <c r="H28" s="527" t="e">
        <f t="shared" si="1"/>
        <v>#DIV/0!</v>
      </c>
    </row>
    <row r="29" spans="1:8" hidden="1" x14ac:dyDescent="0.25">
      <c r="A29" s="525" t="s">
        <v>316</v>
      </c>
      <c r="B29" s="526"/>
      <c r="C29" s="526"/>
      <c r="D29" s="526"/>
      <c r="E29" s="526"/>
      <c r="F29" s="526"/>
      <c r="G29" s="526"/>
      <c r="H29" s="527" t="e">
        <f t="shared" si="1"/>
        <v>#DIV/0!</v>
      </c>
    </row>
    <row r="30" spans="1:8" hidden="1" x14ac:dyDescent="0.25">
      <c r="A30" s="525" t="s">
        <v>317</v>
      </c>
      <c r="B30" s="526"/>
      <c r="C30" s="526"/>
      <c r="D30" s="526"/>
      <c r="E30" s="526"/>
      <c r="F30" s="526"/>
      <c r="G30" s="526"/>
      <c r="H30" s="527" t="e">
        <f t="shared" si="1"/>
        <v>#DIV/0!</v>
      </c>
    </row>
    <row r="31" spans="1:8" hidden="1" x14ac:dyDescent="0.25">
      <c r="A31" s="525" t="s">
        <v>318</v>
      </c>
      <c r="B31" s="526"/>
      <c r="C31" s="526"/>
      <c r="D31" s="526"/>
      <c r="E31" s="526"/>
      <c r="F31" s="526"/>
      <c r="G31" s="526"/>
      <c r="H31" s="527" t="e">
        <f t="shared" si="1"/>
        <v>#DIV/0!</v>
      </c>
    </row>
    <row r="32" spans="1:8" hidden="1" x14ac:dyDescent="0.25">
      <c r="A32" s="525" t="s">
        <v>319</v>
      </c>
      <c r="B32" s="526"/>
      <c r="C32" s="526"/>
      <c r="D32" s="526"/>
      <c r="E32" s="526"/>
      <c r="F32" s="526"/>
      <c r="G32" s="526"/>
      <c r="H32" s="527" t="e">
        <f t="shared" si="1"/>
        <v>#DIV/0!</v>
      </c>
    </row>
    <row r="33" spans="1:8" hidden="1" x14ac:dyDescent="0.25">
      <c r="A33" s="525" t="s">
        <v>320</v>
      </c>
      <c r="B33" s="526"/>
      <c r="C33" s="526"/>
      <c r="D33" s="526"/>
      <c r="E33" s="526"/>
      <c r="F33" s="526"/>
      <c r="G33" s="526"/>
      <c r="H33" s="527" t="e">
        <f t="shared" si="1"/>
        <v>#DIV/0!</v>
      </c>
    </row>
    <row r="34" spans="1:8" hidden="1" x14ac:dyDescent="0.25">
      <c r="A34" s="525" t="s">
        <v>321</v>
      </c>
      <c r="B34" s="526"/>
      <c r="C34" s="526"/>
      <c r="D34" s="526"/>
      <c r="E34" s="526"/>
      <c r="F34" s="526"/>
      <c r="G34" s="526"/>
      <c r="H34" s="527" t="e">
        <f t="shared" si="1"/>
        <v>#DIV/0!</v>
      </c>
    </row>
    <row r="35" spans="1:8" hidden="1" x14ac:dyDescent="0.25">
      <c r="A35" s="525" t="s">
        <v>322</v>
      </c>
      <c r="B35" s="526"/>
      <c r="C35" s="526"/>
      <c r="D35" s="526"/>
      <c r="E35" s="526"/>
      <c r="F35" s="526"/>
      <c r="G35" s="526"/>
      <c r="H35" s="527" t="e">
        <f t="shared" si="1"/>
        <v>#DIV/0!</v>
      </c>
    </row>
    <row r="36" spans="1:8" ht="15.75" hidden="1" thickBot="1" x14ac:dyDescent="0.3">
      <c r="A36" s="528" t="s">
        <v>323</v>
      </c>
      <c r="B36" s="529"/>
      <c r="C36" s="529"/>
      <c r="D36" s="529"/>
      <c r="E36" s="529"/>
      <c r="F36" s="529"/>
      <c r="G36" s="529"/>
      <c r="H36" s="527" t="e">
        <f t="shared" si="1"/>
        <v>#DIV/0!</v>
      </c>
    </row>
    <row r="37" spans="1:8" ht="15.75" thickBot="1" x14ac:dyDescent="0.3"/>
    <row r="38" spans="1:8" ht="20.25" x14ac:dyDescent="0.25">
      <c r="A38" s="949" t="s">
        <v>325</v>
      </c>
      <c r="B38" s="949"/>
      <c r="C38" s="949"/>
      <c r="D38" s="949"/>
      <c r="E38" s="949"/>
      <c r="F38" s="949"/>
      <c r="G38" s="949"/>
      <c r="H38" s="949"/>
    </row>
    <row r="39" spans="1:8" ht="25.5" x14ac:dyDescent="0.25">
      <c r="A39" s="511" t="s">
        <v>28</v>
      </c>
      <c r="B39" s="512" t="s">
        <v>304</v>
      </c>
      <c r="C39" s="512" t="s">
        <v>305</v>
      </c>
      <c r="D39" s="512" t="s">
        <v>306</v>
      </c>
      <c r="E39" s="512" t="s">
        <v>307</v>
      </c>
      <c r="F39" s="512" t="s">
        <v>308</v>
      </c>
      <c r="G39" s="512" t="s">
        <v>309</v>
      </c>
      <c r="H39" s="513" t="s">
        <v>310</v>
      </c>
    </row>
    <row r="40" spans="1:8" hidden="1" x14ac:dyDescent="0.25">
      <c r="A40" s="525" t="s">
        <v>311</v>
      </c>
      <c r="B40" s="526"/>
      <c r="C40" s="526"/>
      <c r="D40" s="526"/>
      <c r="E40" s="526"/>
      <c r="F40" s="526"/>
      <c r="G40" s="526"/>
      <c r="H40" s="527" t="e">
        <f t="shared" ref="H40:H51" si="2">G40/E40</f>
        <v>#DIV/0!</v>
      </c>
    </row>
    <row r="41" spans="1:8" hidden="1" x14ac:dyDescent="0.25">
      <c r="A41" s="525" t="s">
        <v>313</v>
      </c>
      <c r="B41" s="526"/>
      <c r="C41" s="526"/>
      <c r="D41" s="526"/>
      <c r="E41" s="526"/>
      <c r="F41" s="526"/>
      <c r="G41" s="526"/>
      <c r="H41" s="527" t="e">
        <f t="shared" si="2"/>
        <v>#DIV/0!</v>
      </c>
    </row>
    <row r="42" spans="1:8" hidden="1" x14ac:dyDescent="0.25">
      <c r="A42" s="525" t="s">
        <v>314</v>
      </c>
      <c r="B42" s="526"/>
      <c r="C42" s="526"/>
      <c r="D42" s="526"/>
      <c r="E42" s="526"/>
      <c r="F42" s="526"/>
      <c r="G42" s="526"/>
      <c r="H42" s="527" t="e">
        <f t="shared" si="2"/>
        <v>#DIV/0!</v>
      </c>
    </row>
    <row r="43" spans="1:8" hidden="1" x14ac:dyDescent="0.25">
      <c r="A43" s="525" t="s">
        <v>315</v>
      </c>
      <c r="B43" s="526"/>
      <c r="C43" s="526"/>
      <c r="D43" s="526"/>
      <c r="E43" s="526"/>
      <c r="F43" s="526"/>
      <c r="G43" s="526"/>
      <c r="H43" s="527" t="e">
        <f t="shared" si="2"/>
        <v>#DIV/0!</v>
      </c>
    </row>
    <row r="44" spans="1:8" hidden="1" x14ac:dyDescent="0.25">
      <c r="A44" s="525" t="s">
        <v>316</v>
      </c>
      <c r="B44" s="526"/>
      <c r="C44" s="526"/>
      <c r="D44" s="526"/>
      <c r="E44" s="526"/>
      <c r="F44" s="526"/>
      <c r="G44" s="526"/>
      <c r="H44" s="527" t="e">
        <f t="shared" si="2"/>
        <v>#DIV/0!</v>
      </c>
    </row>
    <row r="45" spans="1:8" hidden="1" x14ac:dyDescent="0.25">
      <c r="A45" s="525" t="s">
        <v>317</v>
      </c>
      <c r="B45" s="526"/>
      <c r="C45" s="526"/>
      <c r="D45" s="526"/>
      <c r="E45" s="526"/>
      <c r="F45" s="526"/>
      <c r="G45" s="526"/>
      <c r="H45" s="527" t="e">
        <f t="shared" si="2"/>
        <v>#DIV/0!</v>
      </c>
    </row>
    <row r="46" spans="1:8" hidden="1" x14ac:dyDescent="0.25">
      <c r="A46" s="525" t="s">
        <v>318</v>
      </c>
      <c r="B46" s="526"/>
      <c r="C46" s="526"/>
      <c r="D46" s="526"/>
      <c r="E46" s="526"/>
      <c r="F46" s="526"/>
      <c r="G46" s="526"/>
      <c r="H46" s="527" t="e">
        <f t="shared" si="2"/>
        <v>#DIV/0!</v>
      </c>
    </row>
    <row r="47" spans="1:8" hidden="1" x14ac:dyDescent="0.25">
      <c r="A47" s="525" t="s">
        <v>319</v>
      </c>
      <c r="B47" s="526"/>
      <c r="C47" s="526"/>
      <c r="D47" s="526"/>
      <c r="E47" s="526"/>
      <c r="F47" s="526"/>
      <c r="G47" s="526"/>
      <c r="H47" s="527" t="e">
        <f t="shared" si="2"/>
        <v>#DIV/0!</v>
      </c>
    </row>
    <row r="48" spans="1:8" hidden="1" x14ac:dyDescent="0.25">
      <c r="A48" s="525" t="s">
        <v>320</v>
      </c>
      <c r="B48" s="526"/>
      <c r="C48" s="526"/>
      <c r="D48" s="526"/>
      <c r="E48" s="526"/>
      <c r="F48" s="526"/>
      <c r="G48" s="526"/>
      <c r="H48" s="527" t="e">
        <f t="shared" si="2"/>
        <v>#DIV/0!</v>
      </c>
    </row>
    <row r="49" spans="1:8" hidden="1" x14ac:dyDescent="0.25">
      <c r="A49" s="525" t="s">
        <v>321</v>
      </c>
      <c r="B49" s="526"/>
      <c r="C49" s="526"/>
      <c r="D49" s="526"/>
      <c r="E49" s="526"/>
      <c r="F49" s="526"/>
      <c r="G49" s="526"/>
      <c r="H49" s="527" t="e">
        <f t="shared" si="2"/>
        <v>#DIV/0!</v>
      </c>
    </row>
    <row r="50" spans="1:8" hidden="1" x14ac:dyDescent="0.25">
      <c r="A50" s="525" t="s">
        <v>322</v>
      </c>
      <c r="B50" s="526"/>
      <c r="C50" s="526"/>
      <c r="D50" s="526"/>
      <c r="E50" s="526"/>
      <c r="F50" s="526"/>
      <c r="G50" s="526"/>
      <c r="H50" s="527" t="e">
        <f t="shared" si="2"/>
        <v>#DIV/0!</v>
      </c>
    </row>
    <row r="51" spans="1:8" ht="15.75" hidden="1" thickBot="1" x14ac:dyDescent="0.3">
      <c r="A51" s="528" t="s">
        <v>323</v>
      </c>
      <c r="B51" s="529"/>
      <c r="C51" s="529"/>
      <c r="D51" s="529"/>
      <c r="E51" s="529"/>
      <c r="F51" s="529"/>
      <c r="G51" s="529"/>
      <c r="H51" s="527" t="e">
        <f t="shared" si="2"/>
        <v>#DIV/0!</v>
      </c>
    </row>
    <row r="52" spans="1:8" ht="15.75" thickBot="1" x14ac:dyDescent="0.3"/>
    <row r="53" spans="1:8" ht="20.25" x14ac:dyDescent="0.25">
      <c r="A53" s="949" t="s">
        <v>326</v>
      </c>
      <c r="B53" s="949"/>
      <c r="C53" s="949"/>
      <c r="D53" s="949"/>
      <c r="E53" s="949"/>
      <c r="F53" s="949"/>
      <c r="G53" s="949"/>
      <c r="H53" s="949"/>
    </row>
    <row r="54" spans="1:8" ht="25.5" x14ac:dyDescent="0.25">
      <c r="A54" s="511" t="s">
        <v>29</v>
      </c>
      <c r="B54" s="512" t="s">
        <v>304</v>
      </c>
      <c r="C54" s="512" t="s">
        <v>305</v>
      </c>
      <c r="D54" s="512" t="s">
        <v>306</v>
      </c>
      <c r="E54" s="512" t="s">
        <v>307</v>
      </c>
      <c r="F54" s="512" t="s">
        <v>308</v>
      </c>
      <c r="G54" s="512" t="s">
        <v>309</v>
      </c>
      <c r="H54" s="513" t="s">
        <v>310</v>
      </c>
    </row>
    <row r="55" spans="1:8" hidden="1" x14ac:dyDescent="0.25">
      <c r="A55" s="525" t="s">
        <v>311</v>
      </c>
      <c r="B55" s="526"/>
      <c r="C55" s="526"/>
      <c r="D55" s="526"/>
      <c r="E55" s="526"/>
      <c r="F55" s="526"/>
      <c r="G55" s="526"/>
      <c r="H55" s="527" t="e">
        <f t="shared" ref="H55:H66" si="3">G55/E55</f>
        <v>#DIV/0!</v>
      </c>
    </row>
    <row r="56" spans="1:8" hidden="1" x14ac:dyDescent="0.25">
      <c r="A56" s="525" t="s">
        <v>313</v>
      </c>
      <c r="B56" s="526"/>
      <c r="C56" s="526"/>
      <c r="D56" s="526"/>
      <c r="E56" s="526"/>
      <c r="F56" s="526"/>
      <c r="G56" s="526"/>
      <c r="H56" s="527" t="e">
        <f t="shared" si="3"/>
        <v>#DIV/0!</v>
      </c>
    </row>
    <row r="57" spans="1:8" hidden="1" x14ac:dyDescent="0.25">
      <c r="A57" s="525" t="s">
        <v>314</v>
      </c>
      <c r="B57" s="526"/>
      <c r="C57" s="526"/>
      <c r="D57" s="526"/>
      <c r="E57" s="526"/>
      <c r="F57" s="526"/>
      <c r="G57" s="526"/>
      <c r="H57" s="527" t="e">
        <f t="shared" si="3"/>
        <v>#DIV/0!</v>
      </c>
    </row>
    <row r="58" spans="1:8" hidden="1" x14ac:dyDescent="0.25">
      <c r="A58" s="525" t="s">
        <v>315</v>
      </c>
      <c r="B58" s="526"/>
      <c r="C58" s="526"/>
      <c r="D58" s="526"/>
      <c r="E58" s="526"/>
      <c r="F58" s="526"/>
      <c r="G58" s="526"/>
      <c r="H58" s="527" t="e">
        <f t="shared" si="3"/>
        <v>#DIV/0!</v>
      </c>
    </row>
    <row r="59" spans="1:8" hidden="1" x14ac:dyDescent="0.25">
      <c r="A59" s="525" t="s">
        <v>316</v>
      </c>
      <c r="B59" s="526"/>
      <c r="C59" s="526"/>
      <c r="D59" s="526"/>
      <c r="E59" s="526"/>
      <c r="F59" s="526"/>
      <c r="G59" s="526"/>
      <c r="H59" s="527" t="e">
        <f t="shared" si="3"/>
        <v>#DIV/0!</v>
      </c>
    </row>
    <row r="60" spans="1:8" hidden="1" x14ac:dyDescent="0.25">
      <c r="A60" s="525" t="s">
        <v>317</v>
      </c>
      <c r="B60" s="526"/>
      <c r="C60" s="526"/>
      <c r="D60" s="526"/>
      <c r="E60" s="526"/>
      <c r="F60" s="526"/>
      <c r="G60" s="526"/>
      <c r="H60" s="527" t="e">
        <f t="shared" si="3"/>
        <v>#DIV/0!</v>
      </c>
    </row>
    <row r="61" spans="1:8" hidden="1" x14ac:dyDescent="0.25">
      <c r="A61" s="525" t="s">
        <v>318</v>
      </c>
      <c r="B61" s="526"/>
      <c r="C61" s="526"/>
      <c r="D61" s="526"/>
      <c r="E61" s="526"/>
      <c r="F61" s="526"/>
      <c r="G61" s="526"/>
      <c r="H61" s="527" t="e">
        <f t="shared" si="3"/>
        <v>#DIV/0!</v>
      </c>
    </row>
    <row r="62" spans="1:8" hidden="1" x14ac:dyDescent="0.25">
      <c r="A62" s="525" t="s">
        <v>319</v>
      </c>
      <c r="B62" s="526"/>
      <c r="C62" s="526"/>
      <c r="D62" s="526"/>
      <c r="E62" s="526"/>
      <c r="F62" s="526"/>
      <c r="G62" s="526"/>
      <c r="H62" s="527" t="e">
        <f t="shared" si="3"/>
        <v>#DIV/0!</v>
      </c>
    </row>
    <row r="63" spans="1:8" hidden="1" x14ac:dyDescent="0.25">
      <c r="A63" s="525" t="s">
        <v>320</v>
      </c>
      <c r="B63" s="526"/>
      <c r="C63" s="526"/>
      <c r="D63" s="526"/>
      <c r="E63" s="526"/>
      <c r="F63" s="526"/>
      <c r="G63" s="526"/>
      <c r="H63" s="527" t="e">
        <f t="shared" si="3"/>
        <v>#DIV/0!</v>
      </c>
    </row>
    <row r="64" spans="1:8" hidden="1" x14ac:dyDescent="0.25">
      <c r="A64" s="525" t="s">
        <v>321</v>
      </c>
      <c r="B64" s="526"/>
      <c r="C64" s="526"/>
      <c r="D64" s="526"/>
      <c r="E64" s="526"/>
      <c r="F64" s="526"/>
      <c r="G64" s="526"/>
      <c r="H64" s="527" t="e">
        <f t="shared" si="3"/>
        <v>#DIV/0!</v>
      </c>
    </row>
    <row r="65" spans="1:14" hidden="1" x14ac:dyDescent="0.25">
      <c r="A65" s="525" t="s">
        <v>322</v>
      </c>
      <c r="B65" s="526"/>
      <c r="C65" s="526"/>
      <c r="D65" s="526"/>
      <c r="E65" s="526"/>
      <c r="F65" s="526"/>
      <c r="G65" s="526"/>
      <c r="H65" s="527" t="e">
        <f t="shared" si="3"/>
        <v>#DIV/0!</v>
      </c>
    </row>
    <row r="66" spans="1:14" ht="15.75" hidden="1" thickBot="1" x14ac:dyDescent="0.3">
      <c r="A66" s="528" t="s">
        <v>323</v>
      </c>
      <c r="B66" s="529"/>
      <c r="C66" s="529"/>
      <c r="D66" s="529"/>
      <c r="E66" s="529"/>
      <c r="F66" s="529"/>
      <c r="G66" s="529"/>
      <c r="H66" s="527" t="e">
        <f t="shared" si="3"/>
        <v>#DIV/0!</v>
      </c>
    </row>
    <row r="67" spans="1:14" ht="15.75" thickBot="1" x14ac:dyDescent="0.3"/>
    <row r="68" spans="1:14" ht="20.25" x14ac:dyDescent="0.25">
      <c r="A68" s="949" t="s">
        <v>327</v>
      </c>
      <c r="B68" s="949"/>
      <c r="C68" s="949"/>
      <c r="D68" s="949"/>
      <c r="E68" s="949"/>
      <c r="F68" s="949"/>
      <c r="G68" s="949"/>
      <c r="H68" s="949"/>
      <c r="I68" s="949"/>
      <c r="J68" s="949"/>
      <c r="K68" s="949"/>
      <c r="L68" s="949"/>
      <c r="M68" s="949"/>
      <c r="N68" s="949"/>
    </row>
    <row r="69" spans="1:14" ht="25.5" x14ac:dyDescent="0.25">
      <c r="A69" s="511" t="s">
        <v>26</v>
      </c>
      <c r="B69" s="512" t="s">
        <v>328</v>
      </c>
      <c r="C69" s="512" t="s">
        <v>329</v>
      </c>
      <c r="D69" s="512" t="s">
        <v>330</v>
      </c>
      <c r="E69" s="512" t="s">
        <v>331</v>
      </c>
      <c r="F69" s="512" t="s">
        <v>332</v>
      </c>
      <c r="G69" s="512" t="s">
        <v>333</v>
      </c>
      <c r="H69" s="512" t="s">
        <v>334</v>
      </c>
      <c r="I69" s="512" t="s">
        <v>335</v>
      </c>
      <c r="J69" s="530" t="s">
        <v>336</v>
      </c>
      <c r="K69" s="512" t="s">
        <v>337</v>
      </c>
      <c r="L69" s="512" t="s">
        <v>338</v>
      </c>
      <c r="M69" s="512" t="s">
        <v>339</v>
      </c>
      <c r="N69" s="513" t="s">
        <v>340</v>
      </c>
    </row>
    <row r="70" spans="1:14" ht="105" x14ac:dyDescent="0.25">
      <c r="A70" s="950" t="s">
        <v>311</v>
      </c>
      <c r="B70" s="531" t="s">
        <v>341</v>
      </c>
      <c r="C70" s="532" t="s">
        <v>342</v>
      </c>
      <c r="D70" s="532" t="s">
        <v>343</v>
      </c>
      <c r="E70" s="521" t="s">
        <v>87</v>
      </c>
      <c r="F70" s="533">
        <v>100</v>
      </c>
      <c r="G70" s="533">
        <v>5</v>
      </c>
      <c r="H70" s="533">
        <v>1</v>
      </c>
      <c r="I70" s="533">
        <v>1</v>
      </c>
      <c r="J70" s="534">
        <f t="shared" ref="J70:J93" si="4">I70/H70</f>
        <v>1</v>
      </c>
      <c r="K70" s="535"/>
      <c r="L70" s="535"/>
      <c r="M70" s="536"/>
      <c r="N70" s="537" t="s">
        <v>203</v>
      </c>
    </row>
    <row r="71" spans="1:14" ht="105" x14ac:dyDescent="0.25">
      <c r="A71" s="950"/>
      <c r="B71" s="531" t="s">
        <v>344</v>
      </c>
      <c r="C71" s="532" t="s">
        <v>345</v>
      </c>
      <c r="D71" s="532" t="s">
        <v>346</v>
      </c>
      <c r="E71" s="521" t="s">
        <v>87</v>
      </c>
      <c r="F71" s="533">
        <v>100</v>
      </c>
      <c r="G71" s="533">
        <v>5</v>
      </c>
      <c r="H71" s="533">
        <v>1</v>
      </c>
      <c r="I71" s="533">
        <v>0</v>
      </c>
      <c r="J71" s="534">
        <f t="shared" si="4"/>
        <v>0</v>
      </c>
      <c r="K71" s="535"/>
      <c r="L71" s="535"/>
      <c r="M71" s="536"/>
      <c r="N71" s="537" t="s">
        <v>347</v>
      </c>
    </row>
    <row r="72" spans="1:14" ht="105" x14ac:dyDescent="0.25">
      <c r="A72" s="950" t="s">
        <v>313</v>
      </c>
      <c r="B72" s="531" t="s">
        <v>341</v>
      </c>
      <c r="C72" s="532" t="s">
        <v>342</v>
      </c>
      <c r="D72" s="532" t="s">
        <v>343</v>
      </c>
      <c r="E72" s="521" t="s">
        <v>87</v>
      </c>
      <c r="F72" s="533">
        <v>100</v>
      </c>
      <c r="G72" s="533">
        <v>5</v>
      </c>
      <c r="H72" s="533">
        <v>1</v>
      </c>
      <c r="I72" s="533">
        <v>1</v>
      </c>
      <c r="J72" s="534">
        <f t="shared" si="4"/>
        <v>1</v>
      </c>
      <c r="K72" s="535"/>
      <c r="L72" s="535"/>
      <c r="M72" s="536"/>
      <c r="N72" s="537" t="s">
        <v>203</v>
      </c>
    </row>
    <row r="73" spans="1:14" ht="105" x14ac:dyDescent="0.25">
      <c r="A73" s="950"/>
      <c r="B73" s="531" t="s">
        <v>344</v>
      </c>
      <c r="C73" s="532" t="s">
        <v>345</v>
      </c>
      <c r="D73" s="532" t="s">
        <v>346</v>
      </c>
      <c r="E73" s="521" t="s">
        <v>87</v>
      </c>
      <c r="F73" s="533">
        <v>100</v>
      </c>
      <c r="G73" s="533">
        <v>5</v>
      </c>
      <c r="H73" s="533">
        <v>1</v>
      </c>
      <c r="I73" s="533">
        <v>0</v>
      </c>
      <c r="J73" s="534">
        <f t="shared" si="4"/>
        <v>0</v>
      </c>
      <c r="K73" s="535"/>
      <c r="L73" s="535"/>
      <c r="M73" s="536"/>
      <c r="N73" s="537" t="s">
        <v>347</v>
      </c>
    </row>
    <row r="74" spans="1:14" ht="105" x14ac:dyDescent="0.25">
      <c r="A74" s="950" t="s">
        <v>314</v>
      </c>
      <c r="B74" s="531" t="s">
        <v>341</v>
      </c>
      <c r="C74" s="532" t="s">
        <v>342</v>
      </c>
      <c r="D74" s="532" t="s">
        <v>343</v>
      </c>
      <c r="E74" s="521" t="s">
        <v>87</v>
      </c>
      <c r="F74" s="533">
        <v>100</v>
      </c>
      <c r="G74" s="533">
        <v>5</v>
      </c>
      <c r="H74" s="533">
        <v>1</v>
      </c>
      <c r="I74" s="533">
        <v>1</v>
      </c>
      <c r="J74" s="534">
        <f t="shared" si="4"/>
        <v>1</v>
      </c>
      <c r="K74" s="535"/>
      <c r="L74" s="535"/>
      <c r="M74" s="536"/>
      <c r="N74" s="537" t="s">
        <v>203</v>
      </c>
    </row>
    <row r="75" spans="1:14" ht="105" x14ac:dyDescent="0.25">
      <c r="A75" s="950"/>
      <c r="B75" s="531" t="s">
        <v>344</v>
      </c>
      <c r="C75" s="532" t="s">
        <v>345</v>
      </c>
      <c r="D75" s="532" t="s">
        <v>346</v>
      </c>
      <c r="E75" s="521" t="s">
        <v>87</v>
      </c>
      <c r="F75" s="533">
        <v>100</v>
      </c>
      <c r="G75" s="533">
        <v>5</v>
      </c>
      <c r="H75" s="533">
        <v>1</v>
      </c>
      <c r="I75" s="533">
        <v>0</v>
      </c>
      <c r="J75" s="534">
        <f t="shared" si="4"/>
        <v>0</v>
      </c>
      <c r="K75" s="535"/>
      <c r="L75" s="535"/>
      <c r="M75" s="536"/>
      <c r="N75" s="537" t="s">
        <v>347</v>
      </c>
    </row>
    <row r="76" spans="1:14" ht="105" x14ac:dyDescent="0.25">
      <c r="A76" s="950" t="s">
        <v>315</v>
      </c>
      <c r="B76" s="531" t="s">
        <v>341</v>
      </c>
      <c r="C76" s="532" t="s">
        <v>342</v>
      </c>
      <c r="D76" s="532" t="s">
        <v>343</v>
      </c>
      <c r="E76" s="521" t="s">
        <v>87</v>
      </c>
      <c r="F76" s="533">
        <v>100</v>
      </c>
      <c r="G76" s="533">
        <v>5</v>
      </c>
      <c r="H76" s="533">
        <v>1</v>
      </c>
      <c r="I76" s="533">
        <v>1</v>
      </c>
      <c r="J76" s="534">
        <f t="shared" si="4"/>
        <v>1</v>
      </c>
      <c r="K76" s="535"/>
      <c r="L76" s="535"/>
      <c r="M76" s="536"/>
      <c r="N76" s="537" t="s">
        <v>203</v>
      </c>
    </row>
    <row r="77" spans="1:14" ht="105" x14ac:dyDescent="0.25">
      <c r="A77" s="950"/>
      <c r="B77" s="531" t="s">
        <v>344</v>
      </c>
      <c r="C77" s="532" t="s">
        <v>345</v>
      </c>
      <c r="D77" s="532" t="s">
        <v>346</v>
      </c>
      <c r="E77" s="521" t="s">
        <v>87</v>
      </c>
      <c r="F77" s="533">
        <v>100</v>
      </c>
      <c r="G77" s="533">
        <v>5</v>
      </c>
      <c r="H77" s="533">
        <v>1</v>
      </c>
      <c r="I77" s="533">
        <v>0</v>
      </c>
      <c r="J77" s="534">
        <f t="shared" si="4"/>
        <v>0</v>
      </c>
      <c r="K77" s="535"/>
      <c r="L77" s="535"/>
      <c r="M77" s="536"/>
      <c r="N77" s="537" t="s">
        <v>347</v>
      </c>
    </row>
    <row r="78" spans="1:14" ht="105" x14ac:dyDescent="0.25">
      <c r="A78" s="950" t="s">
        <v>316</v>
      </c>
      <c r="B78" s="531" t="s">
        <v>341</v>
      </c>
      <c r="C78" s="532" t="s">
        <v>342</v>
      </c>
      <c r="D78" s="532" t="s">
        <v>343</v>
      </c>
      <c r="E78" s="521" t="s">
        <v>87</v>
      </c>
      <c r="F78" s="533">
        <v>100</v>
      </c>
      <c r="G78" s="533">
        <v>5</v>
      </c>
      <c r="H78" s="533">
        <v>1</v>
      </c>
      <c r="I78" s="533">
        <v>1</v>
      </c>
      <c r="J78" s="534">
        <f t="shared" si="4"/>
        <v>1</v>
      </c>
      <c r="K78" s="535"/>
      <c r="L78" s="535"/>
      <c r="M78" s="536"/>
      <c r="N78" s="537" t="s">
        <v>203</v>
      </c>
    </row>
    <row r="79" spans="1:14" ht="105" x14ac:dyDescent="0.25">
      <c r="A79" s="950"/>
      <c r="B79" s="531" t="s">
        <v>344</v>
      </c>
      <c r="C79" s="532" t="s">
        <v>345</v>
      </c>
      <c r="D79" s="532" t="s">
        <v>346</v>
      </c>
      <c r="E79" s="521" t="s">
        <v>87</v>
      </c>
      <c r="F79" s="533">
        <v>100</v>
      </c>
      <c r="G79" s="533">
        <v>5</v>
      </c>
      <c r="H79" s="533">
        <v>1</v>
      </c>
      <c r="I79" s="533">
        <v>0</v>
      </c>
      <c r="J79" s="534">
        <f t="shared" si="4"/>
        <v>0</v>
      </c>
      <c r="K79" s="535"/>
      <c r="L79" s="535"/>
      <c r="M79" s="536"/>
      <c r="N79" s="537" t="s">
        <v>347</v>
      </c>
    </row>
    <row r="80" spans="1:14" ht="105" x14ac:dyDescent="0.25">
      <c r="A80" s="950" t="s">
        <v>317</v>
      </c>
      <c r="B80" s="531" t="s">
        <v>341</v>
      </c>
      <c r="C80" s="532" t="s">
        <v>342</v>
      </c>
      <c r="D80" s="532" t="s">
        <v>343</v>
      </c>
      <c r="E80" s="521" t="s">
        <v>87</v>
      </c>
      <c r="F80" s="533">
        <v>100</v>
      </c>
      <c r="G80" s="533">
        <v>5</v>
      </c>
      <c r="H80" s="533">
        <v>1</v>
      </c>
      <c r="I80" s="533">
        <v>1</v>
      </c>
      <c r="J80" s="534">
        <f t="shared" si="4"/>
        <v>1</v>
      </c>
      <c r="K80" s="593"/>
      <c r="L80" s="593"/>
      <c r="M80" s="536"/>
      <c r="N80" s="537" t="s">
        <v>203</v>
      </c>
    </row>
    <row r="81" spans="1:14" ht="105" x14ac:dyDescent="0.25">
      <c r="A81" s="950"/>
      <c r="B81" s="531" t="s">
        <v>344</v>
      </c>
      <c r="C81" s="532" t="s">
        <v>345</v>
      </c>
      <c r="D81" s="532" t="s">
        <v>346</v>
      </c>
      <c r="E81" s="521" t="s">
        <v>87</v>
      </c>
      <c r="F81" s="533">
        <v>100</v>
      </c>
      <c r="G81" s="533">
        <v>5</v>
      </c>
      <c r="H81" s="533">
        <v>1</v>
      </c>
      <c r="I81" s="533">
        <v>0</v>
      </c>
      <c r="J81" s="534">
        <f t="shared" si="4"/>
        <v>0</v>
      </c>
      <c r="K81" s="593"/>
      <c r="L81" s="593"/>
      <c r="M81" s="536"/>
      <c r="N81" s="537" t="s">
        <v>347</v>
      </c>
    </row>
    <row r="82" spans="1:14" ht="105" x14ac:dyDescent="0.25">
      <c r="A82" s="950" t="s">
        <v>318</v>
      </c>
      <c r="B82" s="531" t="s">
        <v>341</v>
      </c>
      <c r="C82" s="532" t="s">
        <v>342</v>
      </c>
      <c r="D82" s="532" t="s">
        <v>343</v>
      </c>
      <c r="E82" s="521" t="s">
        <v>87</v>
      </c>
      <c r="F82" s="533">
        <v>100</v>
      </c>
      <c r="G82" s="533">
        <v>5</v>
      </c>
      <c r="H82" s="533">
        <v>1</v>
      </c>
      <c r="I82" s="533">
        <v>1</v>
      </c>
      <c r="J82" s="534">
        <f t="shared" si="4"/>
        <v>1</v>
      </c>
      <c r="K82" s="535"/>
      <c r="L82" s="535"/>
      <c r="M82" s="536"/>
      <c r="N82" s="537" t="s">
        <v>203</v>
      </c>
    </row>
    <row r="83" spans="1:14" ht="105" x14ac:dyDescent="0.25">
      <c r="A83" s="950"/>
      <c r="B83" s="531" t="s">
        <v>344</v>
      </c>
      <c r="C83" s="532" t="s">
        <v>345</v>
      </c>
      <c r="D83" s="532" t="s">
        <v>346</v>
      </c>
      <c r="E83" s="521" t="s">
        <v>87</v>
      </c>
      <c r="F83" s="533">
        <v>100</v>
      </c>
      <c r="G83" s="533">
        <v>5</v>
      </c>
      <c r="H83" s="533">
        <v>1</v>
      </c>
      <c r="I83" s="533">
        <v>0</v>
      </c>
      <c r="J83" s="534">
        <f t="shared" si="4"/>
        <v>0</v>
      </c>
      <c r="K83" s="535"/>
      <c r="L83" s="535"/>
      <c r="M83" s="536"/>
      <c r="N83" s="537" t="s">
        <v>347</v>
      </c>
    </row>
    <row r="84" spans="1:14" ht="105" x14ac:dyDescent="0.25">
      <c r="A84" s="950" t="s">
        <v>319</v>
      </c>
      <c r="B84" s="531" t="s">
        <v>341</v>
      </c>
      <c r="C84" s="532" t="s">
        <v>342</v>
      </c>
      <c r="D84" s="532" t="s">
        <v>343</v>
      </c>
      <c r="E84" s="521" t="s">
        <v>87</v>
      </c>
      <c r="F84" s="533">
        <v>100</v>
      </c>
      <c r="G84" s="533">
        <v>5</v>
      </c>
      <c r="H84" s="533">
        <v>1</v>
      </c>
      <c r="I84" s="533">
        <v>1</v>
      </c>
      <c r="J84" s="534">
        <f t="shared" si="4"/>
        <v>1</v>
      </c>
      <c r="K84" s="535"/>
      <c r="L84" s="535"/>
      <c r="M84" s="536"/>
      <c r="N84" s="538" t="s">
        <v>203</v>
      </c>
    </row>
    <row r="85" spans="1:14" ht="105" x14ac:dyDescent="0.25">
      <c r="A85" s="950"/>
      <c r="B85" s="531" t="s">
        <v>344</v>
      </c>
      <c r="C85" s="532" t="s">
        <v>345</v>
      </c>
      <c r="D85" s="532" t="s">
        <v>346</v>
      </c>
      <c r="E85" s="521" t="s">
        <v>87</v>
      </c>
      <c r="F85" s="533">
        <v>100</v>
      </c>
      <c r="G85" s="533">
        <v>5</v>
      </c>
      <c r="H85" s="533">
        <v>1</v>
      </c>
      <c r="I85" s="533">
        <v>0</v>
      </c>
      <c r="J85" s="539">
        <f t="shared" si="4"/>
        <v>0</v>
      </c>
      <c r="K85" s="535"/>
      <c r="L85" s="535"/>
      <c r="M85" s="536"/>
      <c r="N85" s="538" t="s">
        <v>347</v>
      </c>
    </row>
    <row r="86" spans="1:14" ht="105" x14ac:dyDescent="0.25">
      <c r="A86" s="950" t="s">
        <v>320</v>
      </c>
      <c r="B86" s="531" t="s">
        <v>341</v>
      </c>
      <c r="C86" s="532" t="s">
        <v>342</v>
      </c>
      <c r="D86" s="532" t="s">
        <v>343</v>
      </c>
      <c r="E86" s="521" t="s">
        <v>87</v>
      </c>
      <c r="F86" s="533">
        <v>100</v>
      </c>
      <c r="G86" s="533">
        <v>5</v>
      </c>
      <c r="H86" s="533">
        <v>1</v>
      </c>
      <c r="I86" s="533">
        <v>1</v>
      </c>
      <c r="J86" s="539">
        <f t="shared" si="4"/>
        <v>1</v>
      </c>
      <c r="K86" s="535"/>
      <c r="L86" s="535"/>
      <c r="M86" s="536"/>
      <c r="N86" s="538" t="s">
        <v>203</v>
      </c>
    </row>
    <row r="87" spans="1:14" ht="105" x14ac:dyDescent="0.25">
      <c r="A87" s="950"/>
      <c r="B87" s="531" t="s">
        <v>344</v>
      </c>
      <c r="C87" s="532" t="s">
        <v>345</v>
      </c>
      <c r="D87" s="532" t="s">
        <v>346</v>
      </c>
      <c r="E87" s="521" t="s">
        <v>87</v>
      </c>
      <c r="F87" s="533">
        <v>100</v>
      </c>
      <c r="G87" s="533">
        <v>5</v>
      </c>
      <c r="H87" s="533">
        <v>1</v>
      </c>
      <c r="I87" s="533">
        <v>0</v>
      </c>
      <c r="J87" s="539">
        <f t="shared" si="4"/>
        <v>0</v>
      </c>
      <c r="K87" s="535"/>
      <c r="L87" s="535"/>
      <c r="M87" s="536"/>
      <c r="N87" s="538" t="s">
        <v>347</v>
      </c>
    </row>
    <row r="88" spans="1:14" ht="105" x14ac:dyDescent="0.25">
      <c r="A88" s="950" t="s">
        <v>321</v>
      </c>
      <c r="B88" s="531" t="s">
        <v>341</v>
      </c>
      <c r="C88" s="532" t="s">
        <v>342</v>
      </c>
      <c r="D88" s="532" t="s">
        <v>343</v>
      </c>
      <c r="E88" s="521" t="s">
        <v>87</v>
      </c>
      <c r="F88" s="533">
        <v>100</v>
      </c>
      <c r="G88" s="533">
        <v>5</v>
      </c>
      <c r="H88" s="533">
        <v>1</v>
      </c>
      <c r="I88" s="533">
        <v>1</v>
      </c>
      <c r="J88" s="534">
        <f t="shared" si="4"/>
        <v>1</v>
      </c>
      <c r="K88" s="535"/>
      <c r="L88" s="535"/>
      <c r="M88" s="536"/>
      <c r="N88" s="538" t="s">
        <v>203</v>
      </c>
    </row>
    <row r="89" spans="1:14" ht="105" x14ac:dyDescent="0.25">
      <c r="A89" s="950"/>
      <c r="B89" s="531" t="s">
        <v>344</v>
      </c>
      <c r="C89" s="532" t="s">
        <v>345</v>
      </c>
      <c r="D89" s="532" t="s">
        <v>346</v>
      </c>
      <c r="E89" s="521" t="s">
        <v>87</v>
      </c>
      <c r="F89" s="533">
        <v>100</v>
      </c>
      <c r="G89" s="533">
        <v>5</v>
      </c>
      <c r="H89" s="533">
        <v>1</v>
      </c>
      <c r="I89" s="533">
        <v>0</v>
      </c>
      <c r="J89" s="534">
        <f t="shared" si="4"/>
        <v>0</v>
      </c>
      <c r="K89" s="535"/>
      <c r="L89" s="535"/>
      <c r="M89" s="536"/>
      <c r="N89" s="538" t="s">
        <v>347</v>
      </c>
    </row>
    <row r="90" spans="1:14" ht="105" x14ac:dyDescent="0.25">
      <c r="A90" s="950" t="s">
        <v>322</v>
      </c>
      <c r="B90" s="540" t="s">
        <v>341</v>
      </c>
      <c r="C90" s="540" t="s">
        <v>342</v>
      </c>
      <c r="D90" s="531" t="s">
        <v>343</v>
      </c>
      <c r="E90" s="521" t="s">
        <v>87</v>
      </c>
      <c r="F90" s="533">
        <v>100</v>
      </c>
      <c r="G90" s="533">
        <v>5</v>
      </c>
      <c r="H90" s="533">
        <v>1</v>
      </c>
      <c r="I90" s="533">
        <v>1</v>
      </c>
      <c r="J90" s="534">
        <f t="shared" si="4"/>
        <v>1</v>
      </c>
      <c r="K90" s="535"/>
      <c r="L90" s="535"/>
      <c r="M90" s="536"/>
      <c r="N90" s="803" t="s">
        <v>203</v>
      </c>
    </row>
    <row r="91" spans="1:14" ht="105" x14ac:dyDescent="0.25">
      <c r="A91" s="950"/>
      <c r="B91" s="541" t="s">
        <v>344</v>
      </c>
      <c r="C91" s="541" t="s">
        <v>345</v>
      </c>
      <c r="D91" s="542" t="s">
        <v>346</v>
      </c>
      <c r="E91" s="543" t="s">
        <v>87</v>
      </c>
      <c r="F91" s="544">
        <v>100</v>
      </c>
      <c r="G91" s="544">
        <v>5</v>
      </c>
      <c r="H91" s="544">
        <v>1</v>
      </c>
      <c r="I91" s="533">
        <v>0</v>
      </c>
      <c r="J91" s="534">
        <f t="shared" si="4"/>
        <v>0</v>
      </c>
      <c r="K91" s="545"/>
      <c r="L91" s="545"/>
      <c r="M91" s="536"/>
      <c r="N91" s="804" t="s">
        <v>347</v>
      </c>
    </row>
    <row r="92" spans="1:14" ht="105.75" thickBot="1" x14ac:dyDescent="0.3">
      <c r="A92" s="951" t="s">
        <v>323</v>
      </c>
      <c r="B92" s="541" t="s">
        <v>341</v>
      </c>
      <c r="C92" s="541" t="s">
        <v>342</v>
      </c>
      <c r="D92" s="542" t="s">
        <v>343</v>
      </c>
      <c r="E92" s="543" t="s">
        <v>87</v>
      </c>
      <c r="F92" s="544">
        <v>100</v>
      </c>
      <c r="G92" s="544">
        <v>5</v>
      </c>
      <c r="H92" s="544">
        <v>1</v>
      </c>
      <c r="I92" s="533">
        <v>1</v>
      </c>
      <c r="J92" s="534">
        <f t="shared" si="4"/>
        <v>1</v>
      </c>
      <c r="K92" s="545"/>
      <c r="L92" s="545"/>
      <c r="M92" s="536"/>
      <c r="N92" s="803" t="s">
        <v>203</v>
      </c>
    </row>
    <row r="93" spans="1:14" ht="105.75" thickBot="1" x14ac:dyDescent="0.3">
      <c r="A93" s="951"/>
      <c r="B93" s="546" t="s">
        <v>344</v>
      </c>
      <c r="C93" s="546" t="s">
        <v>345</v>
      </c>
      <c r="D93" s="547" t="s">
        <v>346</v>
      </c>
      <c r="E93" s="524" t="s">
        <v>87</v>
      </c>
      <c r="F93" s="548">
        <v>100</v>
      </c>
      <c r="G93" s="548">
        <v>5</v>
      </c>
      <c r="H93" s="548">
        <v>1</v>
      </c>
      <c r="I93" s="548">
        <v>1</v>
      </c>
      <c r="J93" s="549">
        <f t="shared" si="4"/>
        <v>1</v>
      </c>
      <c r="K93" s="550"/>
      <c r="L93" s="550"/>
      <c r="M93" s="551"/>
      <c r="N93" s="1003" t="s">
        <v>721</v>
      </c>
    </row>
    <row r="95" spans="1:14" ht="15.75" thickBot="1" x14ac:dyDescent="0.3"/>
    <row r="96" spans="1:14" ht="20.25" x14ac:dyDescent="0.25">
      <c r="A96" s="949" t="s">
        <v>348</v>
      </c>
      <c r="B96" s="949"/>
      <c r="C96" s="949"/>
      <c r="D96" s="949"/>
      <c r="E96" s="949"/>
      <c r="F96" s="949"/>
      <c r="G96" s="949"/>
      <c r="H96" s="949"/>
      <c r="I96" s="949"/>
      <c r="J96" s="949"/>
      <c r="K96" s="949"/>
      <c r="L96" s="949"/>
      <c r="M96" s="949"/>
      <c r="N96" s="949"/>
    </row>
    <row r="97" spans="1:14" ht="25.5" x14ac:dyDescent="0.25">
      <c r="A97" s="511" t="s">
        <v>27</v>
      </c>
      <c r="B97" s="512" t="s">
        <v>328</v>
      </c>
      <c r="C97" s="512" t="s">
        <v>329</v>
      </c>
      <c r="D97" s="512" t="s">
        <v>330</v>
      </c>
      <c r="E97" s="512" t="s">
        <v>331</v>
      </c>
      <c r="F97" s="512" t="s">
        <v>349</v>
      </c>
      <c r="G97" s="512" t="s">
        <v>333</v>
      </c>
      <c r="H97" s="512" t="s">
        <v>350</v>
      </c>
      <c r="I97" s="512" t="s">
        <v>351</v>
      </c>
      <c r="J97" s="530" t="s">
        <v>352</v>
      </c>
      <c r="K97" s="512" t="s">
        <v>337</v>
      </c>
      <c r="L97" s="512" t="s">
        <v>338</v>
      </c>
      <c r="M97" s="512" t="s">
        <v>339</v>
      </c>
      <c r="N97" s="513" t="s">
        <v>340</v>
      </c>
    </row>
    <row r="98" spans="1:14" hidden="1" x14ac:dyDescent="0.25">
      <c r="A98" s="525" t="s">
        <v>311</v>
      </c>
      <c r="B98" s="526"/>
      <c r="C98" s="526"/>
      <c r="D98" s="526"/>
      <c r="E98" s="526"/>
      <c r="F98" s="526"/>
      <c r="G98" s="526"/>
      <c r="H98" s="526"/>
      <c r="I98" s="526"/>
      <c r="J98" s="526" t="e">
        <f t="shared" ref="J98:J109" si="5">I98/H98</f>
        <v>#DIV/0!</v>
      </c>
      <c r="K98" s="526"/>
      <c r="L98" s="526"/>
      <c r="M98" s="526" t="e">
        <f t="shared" ref="M98:M109" si="6">L98/K98</f>
        <v>#DIV/0!</v>
      </c>
      <c r="N98" s="527"/>
    </row>
    <row r="99" spans="1:14" hidden="1" x14ac:dyDescent="0.25">
      <c r="A99" s="525" t="s">
        <v>313</v>
      </c>
      <c r="B99" s="526"/>
      <c r="C99" s="526"/>
      <c r="D99" s="526"/>
      <c r="E99" s="526"/>
      <c r="F99" s="526"/>
      <c r="G99" s="526"/>
      <c r="H99" s="526"/>
      <c r="I99" s="526"/>
      <c r="J99" s="526" t="e">
        <f t="shared" si="5"/>
        <v>#DIV/0!</v>
      </c>
      <c r="K99" s="526"/>
      <c r="L99" s="526"/>
      <c r="M99" s="526" t="e">
        <f t="shared" si="6"/>
        <v>#DIV/0!</v>
      </c>
      <c r="N99" s="527"/>
    </row>
    <row r="100" spans="1:14" hidden="1" x14ac:dyDescent="0.25">
      <c r="A100" s="525" t="s">
        <v>314</v>
      </c>
      <c r="B100" s="526"/>
      <c r="C100" s="526"/>
      <c r="D100" s="526"/>
      <c r="E100" s="526"/>
      <c r="F100" s="526"/>
      <c r="G100" s="526"/>
      <c r="H100" s="526"/>
      <c r="I100" s="526"/>
      <c r="J100" s="526" t="e">
        <f t="shared" si="5"/>
        <v>#DIV/0!</v>
      </c>
      <c r="K100" s="526"/>
      <c r="L100" s="526"/>
      <c r="M100" s="526" t="e">
        <f t="shared" si="6"/>
        <v>#DIV/0!</v>
      </c>
      <c r="N100" s="527"/>
    </row>
    <row r="101" spans="1:14" hidden="1" x14ac:dyDescent="0.25">
      <c r="A101" s="525" t="s">
        <v>315</v>
      </c>
      <c r="B101" s="526"/>
      <c r="C101" s="526"/>
      <c r="D101" s="526"/>
      <c r="E101" s="526"/>
      <c r="F101" s="526"/>
      <c r="G101" s="526"/>
      <c r="H101" s="526"/>
      <c r="I101" s="526"/>
      <c r="J101" s="526" t="e">
        <f t="shared" si="5"/>
        <v>#DIV/0!</v>
      </c>
      <c r="K101" s="526"/>
      <c r="L101" s="526"/>
      <c r="M101" s="526" t="e">
        <f t="shared" si="6"/>
        <v>#DIV/0!</v>
      </c>
      <c r="N101" s="527"/>
    </row>
    <row r="102" spans="1:14" hidden="1" x14ac:dyDescent="0.25">
      <c r="A102" s="525" t="s">
        <v>316</v>
      </c>
      <c r="B102" s="526"/>
      <c r="C102" s="526"/>
      <c r="D102" s="526"/>
      <c r="E102" s="526"/>
      <c r="F102" s="526"/>
      <c r="G102" s="526"/>
      <c r="H102" s="526"/>
      <c r="I102" s="526"/>
      <c r="J102" s="526" t="e">
        <f t="shared" si="5"/>
        <v>#DIV/0!</v>
      </c>
      <c r="K102" s="526"/>
      <c r="L102" s="526"/>
      <c r="M102" s="526" t="e">
        <f t="shared" si="6"/>
        <v>#DIV/0!</v>
      </c>
      <c r="N102" s="527"/>
    </row>
    <row r="103" spans="1:14" hidden="1" x14ac:dyDescent="0.25">
      <c r="A103" s="525" t="s">
        <v>317</v>
      </c>
      <c r="B103" s="526"/>
      <c r="C103" s="526"/>
      <c r="D103" s="526"/>
      <c r="E103" s="526"/>
      <c r="F103" s="526"/>
      <c r="G103" s="526"/>
      <c r="H103" s="526"/>
      <c r="I103" s="526"/>
      <c r="J103" s="526" t="e">
        <f t="shared" si="5"/>
        <v>#DIV/0!</v>
      </c>
      <c r="K103" s="526"/>
      <c r="L103" s="526"/>
      <c r="M103" s="526" t="e">
        <f t="shared" si="6"/>
        <v>#DIV/0!</v>
      </c>
      <c r="N103" s="527"/>
    </row>
    <row r="104" spans="1:14" hidden="1" x14ac:dyDescent="0.25">
      <c r="A104" s="525" t="s">
        <v>318</v>
      </c>
      <c r="B104" s="526"/>
      <c r="C104" s="526"/>
      <c r="D104" s="526"/>
      <c r="E104" s="526"/>
      <c r="F104" s="526"/>
      <c r="G104" s="526"/>
      <c r="H104" s="526"/>
      <c r="I104" s="526"/>
      <c r="J104" s="526" t="e">
        <f t="shared" si="5"/>
        <v>#DIV/0!</v>
      </c>
      <c r="K104" s="526"/>
      <c r="L104" s="526"/>
      <c r="M104" s="526" t="e">
        <f t="shared" si="6"/>
        <v>#DIV/0!</v>
      </c>
      <c r="N104" s="527"/>
    </row>
    <row r="105" spans="1:14" hidden="1" x14ac:dyDescent="0.25">
      <c r="A105" s="525" t="s">
        <v>319</v>
      </c>
      <c r="B105" s="526"/>
      <c r="C105" s="526"/>
      <c r="D105" s="526"/>
      <c r="E105" s="526"/>
      <c r="F105" s="526"/>
      <c r="G105" s="526"/>
      <c r="H105" s="526"/>
      <c r="I105" s="526"/>
      <c r="J105" s="526" t="e">
        <f t="shared" si="5"/>
        <v>#DIV/0!</v>
      </c>
      <c r="K105" s="526"/>
      <c r="L105" s="526"/>
      <c r="M105" s="526" t="e">
        <f t="shared" si="6"/>
        <v>#DIV/0!</v>
      </c>
      <c r="N105" s="527"/>
    </row>
    <row r="106" spans="1:14" hidden="1" x14ac:dyDescent="0.25">
      <c r="A106" s="525" t="s">
        <v>320</v>
      </c>
      <c r="B106" s="526"/>
      <c r="C106" s="526"/>
      <c r="D106" s="526"/>
      <c r="E106" s="526"/>
      <c r="F106" s="526"/>
      <c r="G106" s="526"/>
      <c r="H106" s="526"/>
      <c r="I106" s="526"/>
      <c r="J106" s="526" t="e">
        <f t="shared" si="5"/>
        <v>#DIV/0!</v>
      </c>
      <c r="K106" s="526"/>
      <c r="L106" s="526"/>
      <c r="M106" s="526" t="e">
        <f t="shared" si="6"/>
        <v>#DIV/0!</v>
      </c>
      <c r="N106" s="527"/>
    </row>
    <row r="107" spans="1:14" hidden="1" x14ac:dyDescent="0.25">
      <c r="A107" s="525" t="s">
        <v>321</v>
      </c>
      <c r="B107" s="526"/>
      <c r="C107" s="526"/>
      <c r="D107" s="526"/>
      <c r="E107" s="526"/>
      <c r="F107" s="526"/>
      <c r="G107" s="526"/>
      <c r="H107" s="526"/>
      <c r="I107" s="526"/>
      <c r="J107" s="526" t="e">
        <f t="shared" si="5"/>
        <v>#DIV/0!</v>
      </c>
      <c r="K107" s="526"/>
      <c r="L107" s="526"/>
      <c r="M107" s="526" t="e">
        <f t="shared" si="6"/>
        <v>#DIV/0!</v>
      </c>
      <c r="N107" s="527"/>
    </row>
    <row r="108" spans="1:14" hidden="1" x14ac:dyDescent="0.25">
      <c r="A108" s="525" t="s">
        <v>322</v>
      </c>
      <c r="B108" s="526"/>
      <c r="C108" s="526"/>
      <c r="D108" s="526"/>
      <c r="E108" s="526"/>
      <c r="F108" s="526"/>
      <c r="G108" s="526"/>
      <c r="H108" s="526"/>
      <c r="I108" s="526"/>
      <c r="J108" s="526" t="e">
        <f t="shared" si="5"/>
        <v>#DIV/0!</v>
      </c>
      <c r="K108" s="526"/>
      <c r="L108" s="526"/>
      <c r="M108" s="526" t="e">
        <f t="shared" si="6"/>
        <v>#DIV/0!</v>
      </c>
      <c r="N108" s="527"/>
    </row>
    <row r="109" spans="1:14" ht="15.75" hidden="1" thickBot="1" x14ac:dyDescent="0.3">
      <c r="A109" s="528" t="s">
        <v>323</v>
      </c>
      <c r="B109" s="529"/>
      <c r="C109" s="529"/>
      <c r="D109" s="529"/>
      <c r="E109" s="529"/>
      <c r="F109" s="529"/>
      <c r="G109" s="529"/>
      <c r="H109" s="529"/>
      <c r="I109" s="529"/>
      <c r="J109" s="529" t="e">
        <f t="shared" si="5"/>
        <v>#DIV/0!</v>
      </c>
      <c r="K109" s="529"/>
      <c r="L109" s="529"/>
      <c r="M109" s="529" t="e">
        <f t="shared" si="6"/>
        <v>#DIV/0!</v>
      </c>
      <c r="N109" s="552"/>
    </row>
    <row r="110" spans="1:14" ht="15.75" thickBot="1" x14ac:dyDescent="0.3"/>
    <row r="111" spans="1:14" ht="20.25" x14ac:dyDescent="0.25">
      <c r="A111" s="949" t="s">
        <v>353</v>
      </c>
      <c r="B111" s="949"/>
      <c r="C111" s="949"/>
      <c r="D111" s="949"/>
      <c r="E111" s="949"/>
      <c r="F111" s="949"/>
      <c r="G111" s="949"/>
      <c r="H111" s="949"/>
      <c r="I111" s="949"/>
      <c r="J111" s="949"/>
      <c r="K111" s="949"/>
      <c r="L111" s="949"/>
      <c r="M111" s="949"/>
      <c r="N111" s="949"/>
    </row>
    <row r="112" spans="1:14" ht="25.5" x14ac:dyDescent="0.25">
      <c r="A112" s="511" t="s">
        <v>28</v>
      </c>
      <c r="B112" s="512" t="s">
        <v>328</v>
      </c>
      <c r="C112" s="512" t="s">
        <v>329</v>
      </c>
      <c r="D112" s="512" t="s">
        <v>330</v>
      </c>
      <c r="E112" s="512" t="s">
        <v>331</v>
      </c>
      <c r="F112" s="512" t="s">
        <v>354</v>
      </c>
      <c r="G112" s="512" t="s">
        <v>333</v>
      </c>
      <c r="H112" s="512" t="s">
        <v>355</v>
      </c>
      <c r="I112" s="512" t="s">
        <v>356</v>
      </c>
      <c r="J112" s="530" t="s">
        <v>357</v>
      </c>
      <c r="K112" s="512" t="s">
        <v>337</v>
      </c>
      <c r="L112" s="512" t="s">
        <v>338</v>
      </c>
      <c r="M112" s="512" t="s">
        <v>339</v>
      </c>
      <c r="N112" s="513" t="s">
        <v>340</v>
      </c>
    </row>
    <row r="113" spans="1:14" hidden="1" x14ac:dyDescent="0.25">
      <c r="A113" s="525" t="s">
        <v>311</v>
      </c>
      <c r="B113" s="526"/>
      <c r="C113" s="526"/>
      <c r="D113" s="526"/>
      <c r="E113" s="526"/>
      <c r="F113" s="526"/>
      <c r="G113" s="526"/>
      <c r="H113" s="526"/>
      <c r="I113" s="526"/>
      <c r="J113" s="526" t="e">
        <f t="shared" ref="J113:J124" si="7">I113/H113</f>
        <v>#DIV/0!</v>
      </c>
      <c r="K113" s="526"/>
      <c r="L113" s="526"/>
      <c r="M113" s="526" t="e">
        <f t="shared" ref="M113:M124" si="8">L113/K113</f>
        <v>#DIV/0!</v>
      </c>
      <c r="N113" s="527"/>
    </row>
    <row r="114" spans="1:14" hidden="1" x14ac:dyDescent="0.25">
      <c r="A114" s="525" t="s">
        <v>313</v>
      </c>
      <c r="B114" s="526"/>
      <c r="C114" s="526"/>
      <c r="D114" s="526"/>
      <c r="E114" s="526"/>
      <c r="F114" s="526"/>
      <c r="G114" s="526"/>
      <c r="H114" s="526"/>
      <c r="I114" s="526"/>
      <c r="J114" s="526" t="e">
        <f t="shared" si="7"/>
        <v>#DIV/0!</v>
      </c>
      <c r="K114" s="526"/>
      <c r="L114" s="526"/>
      <c r="M114" s="526" t="e">
        <f t="shared" si="8"/>
        <v>#DIV/0!</v>
      </c>
      <c r="N114" s="527"/>
    </row>
    <row r="115" spans="1:14" hidden="1" x14ac:dyDescent="0.25">
      <c r="A115" s="525" t="s">
        <v>314</v>
      </c>
      <c r="B115" s="526"/>
      <c r="C115" s="526"/>
      <c r="D115" s="526"/>
      <c r="E115" s="526"/>
      <c r="F115" s="526"/>
      <c r="G115" s="526"/>
      <c r="H115" s="526"/>
      <c r="I115" s="526"/>
      <c r="J115" s="526" t="e">
        <f t="shared" si="7"/>
        <v>#DIV/0!</v>
      </c>
      <c r="K115" s="526"/>
      <c r="L115" s="526"/>
      <c r="M115" s="526" t="e">
        <f t="shared" si="8"/>
        <v>#DIV/0!</v>
      </c>
      <c r="N115" s="527"/>
    </row>
    <row r="116" spans="1:14" hidden="1" x14ac:dyDescent="0.25">
      <c r="A116" s="525" t="s">
        <v>315</v>
      </c>
      <c r="B116" s="526"/>
      <c r="C116" s="526"/>
      <c r="D116" s="526"/>
      <c r="E116" s="526"/>
      <c r="F116" s="526"/>
      <c r="G116" s="526"/>
      <c r="H116" s="526"/>
      <c r="I116" s="526"/>
      <c r="J116" s="526" t="e">
        <f t="shared" si="7"/>
        <v>#DIV/0!</v>
      </c>
      <c r="K116" s="526"/>
      <c r="L116" s="526"/>
      <c r="M116" s="526" t="e">
        <f t="shared" si="8"/>
        <v>#DIV/0!</v>
      </c>
      <c r="N116" s="527"/>
    </row>
    <row r="117" spans="1:14" hidden="1" x14ac:dyDescent="0.25">
      <c r="A117" s="525" t="s">
        <v>316</v>
      </c>
      <c r="B117" s="526"/>
      <c r="C117" s="526"/>
      <c r="D117" s="526"/>
      <c r="E117" s="526"/>
      <c r="F117" s="526"/>
      <c r="G117" s="526"/>
      <c r="H117" s="526"/>
      <c r="I117" s="526"/>
      <c r="J117" s="526" t="e">
        <f t="shared" si="7"/>
        <v>#DIV/0!</v>
      </c>
      <c r="K117" s="526"/>
      <c r="L117" s="526"/>
      <c r="M117" s="526" t="e">
        <f t="shared" si="8"/>
        <v>#DIV/0!</v>
      </c>
      <c r="N117" s="527"/>
    </row>
    <row r="118" spans="1:14" hidden="1" x14ac:dyDescent="0.25">
      <c r="A118" s="525" t="s">
        <v>317</v>
      </c>
      <c r="B118" s="526"/>
      <c r="C118" s="526"/>
      <c r="D118" s="526"/>
      <c r="E118" s="526"/>
      <c r="F118" s="526"/>
      <c r="G118" s="526"/>
      <c r="H118" s="526"/>
      <c r="I118" s="526"/>
      <c r="J118" s="526" t="e">
        <f t="shared" si="7"/>
        <v>#DIV/0!</v>
      </c>
      <c r="K118" s="526"/>
      <c r="L118" s="526"/>
      <c r="M118" s="526" t="e">
        <f t="shared" si="8"/>
        <v>#DIV/0!</v>
      </c>
      <c r="N118" s="527"/>
    </row>
    <row r="119" spans="1:14" hidden="1" x14ac:dyDescent="0.25">
      <c r="A119" s="525" t="s">
        <v>318</v>
      </c>
      <c r="B119" s="526"/>
      <c r="C119" s="526"/>
      <c r="D119" s="526"/>
      <c r="E119" s="526"/>
      <c r="F119" s="526"/>
      <c r="G119" s="526"/>
      <c r="H119" s="526"/>
      <c r="I119" s="526"/>
      <c r="J119" s="526" t="e">
        <f t="shared" si="7"/>
        <v>#DIV/0!</v>
      </c>
      <c r="K119" s="526"/>
      <c r="L119" s="526"/>
      <c r="M119" s="526" t="e">
        <f t="shared" si="8"/>
        <v>#DIV/0!</v>
      </c>
      <c r="N119" s="527"/>
    </row>
    <row r="120" spans="1:14" hidden="1" x14ac:dyDescent="0.25">
      <c r="A120" s="525" t="s">
        <v>319</v>
      </c>
      <c r="B120" s="526"/>
      <c r="C120" s="526"/>
      <c r="D120" s="526"/>
      <c r="E120" s="526"/>
      <c r="F120" s="526"/>
      <c r="G120" s="526"/>
      <c r="H120" s="526"/>
      <c r="I120" s="526"/>
      <c r="J120" s="526" t="e">
        <f t="shared" si="7"/>
        <v>#DIV/0!</v>
      </c>
      <c r="K120" s="526"/>
      <c r="L120" s="526"/>
      <c r="M120" s="526" t="e">
        <f t="shared" si="8"/>
        <v>#DIV/0!</v>
      </c>
      <c r="N120" s="527"/>
    </row>
    <row r="121" spans="1:14" hidden="1" x14ac:dyDescent="0.25">
      <c r="A121" s="525" t="s">
        <v>320</v>
      </c>
      <c r="B121" s="526"/>
      <c r="C121" s="526"/>
      <c r="D121" s="526"/>
      <c r="E121" s="526"/>
      <c r="F121" s="526"/>
      <c r="G121" s="526"/>
      <c r="H121" s="526"/>
      <c r="I121" s="526"/>
      <c r="J121" s="526" t="e">
        <f t="shared" si="7"/>
        <v>#DIV/0!</v>
      </c>
      <c r="K121" s="526"/>
      <c r="L121" s="526"/>
      <c r="M121" s="526" t="e">
        <f t="shared" si="8"/>
        <v>#DIV/0!</v>
      </c>
      <c r="N121" s="527"/>
    </row>
    <row r="122" spans="1:14" hidden="1" x14ac:dyDescent="0.25">
      <c r="A122" s="525" t="s">
        <v>321</v>
      </c>
      <c r="B122" s="526"/>
      <c r="C122" s="526"/>
      <c r="D122" s="526"/>
      <c r="E122" s="526"/>
      <c r="F122" s="526"/>
      <c r="G122" s="526"/>
      <c r="H122" s="526"/>
      <c r="I122" s="526"/>
      <c r="J122" s="526" t="e">
        <f t="shared" si="7"/>
        <v>#DIV/0!</v>
      </c>
      <c r="K122" s="526"/>
      <c r="L122" s="526"/>
      <c r="M122" s="526" t="e">
        <f t="shared" si="8"/>
        <v>#DIV/0!</v>
      </c>
      <c r="N122" s="527"/>
    </row>
    <row r="123" spans="1:14" hidden="1" x14ac:dyDescent="0.25">
      <c r="A123" s="525" t="s">
        <v>322</v>
      </c>
      <c r="B123" s="526"/>
      <c r="C123" s="526"/>
      <c r="D123" s="526"/>
      <c r="E123" s="526"/>
      <c r="F123" s="526"/>
      <c r="G123" s="526"/>
      <c r="H123" s="526"/>
      <c r="I123" s="526"/>
      <c r="J123" s="526" t="e">
        <f t="shared" si="7"/>
        <v>#DIV/0!</v>
      </c>
      <c r="K123" s="526"/>
      <c r="L123" s="526"/>
      <c r="M123" s="526" t="e">
        <f t="shared" si="8"/>
        <v>#DIV/0!</v>
      </c>
      <c r="N123" s="527"/>
    </row>
    <row r="124" spans="1:14" ht="15.75" hidden="1" thickBot="1" x14ac:dyDescent="0.3">
      <c r="A124" s="528" t="s">
        <v>323</v>
      </c>
      <c r="B124" s="529"/>
      <c r="C124" s="529"/>
      <c r="D124" s="529"/>
      <c r="E124" s="529"/>
      <c r="F124" s="529"/>
      <c r="G124" s="529"/>
      <c r="H124" s="529"/>
      <c r="I124" s="529"/>
      <c r="J124" s="529" t="e">
        <f t="shared" si="7"/>
        <v>#DIV/0!</v>
      </c>
      <c r="K124" s="529"/>
      <c r="L124" s="529"/>
      <c r="M124" s="529" t="e">
        <f t="shared" si="8"/>
        <v>#DIV/0!</v>
      </c>
      <c r="N124" s="552"/>
    </row>
    <row r="125" spans="1:14" ht="15.75" thickBot="1" x14ac:dyDescent="0.3"/>
    <row r="126" spans="1:14" ht="20.25" x14ac:dyDescent="0.25">
      <c r="A126" s="949" t="s">
        <v>358</v>
      </c>
      <c r="B126" s="949"/>
      <c r="C126" s="949"/>
      <c r="D126" s="949"/>
      <c r="E126" s="949"/>
      <c r="F126" s="949"/>
      <c r="G126" s="949"/>
      <c r="H126" s="949"/>
      <c r="I126" s="949"/>
      <c r="J126" s="949"/>
      <c r="K126" s="949"/>
      <c r="L126" s="949"/>
      <c r="M126" s="949"/>
      <c r="N126" s="949"/>
    </row>
    <row r="127" spans="1:14" ht="25.5" x14ac:dyDescent="0.25">
      <c r="A127" s="511" t="s">
        <v>29</v>
      </c>
      <c r="B127" s="512" t="s">
        <v>328</v>
      </c>
      <c r="C127" s="512" t="s">
        <v>329</v>
      </c>
      <c r="D127" s="512" t="s">
        <v>330</v>
      </c>
      <c r="E127" s="512" t="s">
        <v>331</v>
      </c>
      <c r="F127" s="512" t="s">
        <v>359</v>
      </c>
      <c r="G127" s="512" t="s">
        <v>333</v>
      </c>
      <c r="H127" s="512" t="s">
        <v>360</v>
      </c>
      <c r="I127" s="512" t="s">
        <v>361</v>
      </c>
      <c r="J127" s="530" t="s">
        <v>362</v>
      </c>
      <c r="K127" s="512" t="s">
        <v>337</v>
      </c>
      <c r="L127" s="512" t="s">
        <v>338</v>
      </c>
      <c r="M127" s="512" t="s">
        <v>339</v>
      </c>
      <c r="N127" s="513" t="s">
        <v>340</v>
      </c>
    </row>
    <row r="128" spans="1:14" hidden="1" x14ac:dyDescent="0.25">
      <c r="A128" s="525" t="s">
        <v>311</v>
      </c>
      <c r="B128" s="526"/>
      <c r="C128" s="526"/>
      <c r="D128" s="526"/>
      <c r="E128" s="526"/>
      <c r="F128" s="526"/>
      <c r="G128" s="526"/>
      <c r="H128" s="526"/>
      <c r="I128" s="526"/>
      <c r="J128" s="526" t="e">
        <f t="shared" ref="J128:J139" si="9">I128/H128</f>
        <v>#DIV/0!</v>
      </c>
      <c r="K128" s="526"/>
      <c r="L128" s="526"/>
      <c r="M128" s="526" t="e">
        <f t="shared" ref="M128:M139" si="10">L128/K128</f>
        <v>#DIV/0!</v>
      </c>
      <c r="N128" s="527"/>
    </row>
    <row r="129" spans="1:14" hidden="1" x14ac:dyDescent="0.25">
      <c r="A129" s="525" t="s">
        <v>313</v>
      </c>
      <c r="B129" s="526"/>
      <c r="C129" s="526"/>
      <c r="D129" s="526"/>
      <c r="E129" s="526"/>
      <c r="F129" s="526"/>
      <c r="G129" s="526"/>
      <c r="H129" s="526"/>
      <c r="I129" s="526"/>
      <c r="J129" s="526" t="e">
        <f t="shared" si="9"/>
        <v>#DIV/0!</v>
      </c>
      <c r="K129" s="526"/>
      <c r="L129" s="526"/>
      <c r="M129" s="526" t="e">
        <f t="shared" si="10"/>
        <v>#DIV/0!</v>
      </c>
      <c r="N129" s="527"/>
    </row>
    <row r="130" spans="1:14" hidden="1" x14ac:dyDescent="0.25">
      <c r="A130" s="525" t="s">
        <v>314</v>
      </c>
      <c r="B130" s="526"/>
      <c r="C130" s="526"/>
      <c r="D130" s="526"/>
      <c r="E130" s="526"/>
      <c r="F130" s="526"/>
      <c r="G130" s="526"/>
      <c r="H130" s="526"/>
      <c r="I130" s="526"/>
      <c r="J130" s="526" t="e">
        <f t="shared" si="9"/>
        <v>#DIV/0!</v>
      </c>
      <c r="K130" s="526"/>
      <c r="L130" s="526"/>
      <c r="M130" s="526" t="e">
        <f t="shared" si="10"/>
        <v>#DIV/0!</v>
      </c>
      <c r="N130" s="527"/>
    </row>
    <row r="131" spans="1:14" hidden="1" x14ac:dyDescent="0.25">
      <c r="A131" s="525" t="s">
        <v>315</v>
      </c>
      <c r="B131" s="526"/>
      <c r="C131" s="526"/>
      <c r="D131" s="526"/>
      <c r="E131" s="526"/>
      <c r="F131" s="526"/>
      <c r="G131" s="526"/>
      <c r="H131" s="526"/>
      <c r="I131" s="526"/>
      <c r="J131" s="526" t="e">
        <f t="shared" si="9"/>
        <v>#DIV/0!</v>
      </c>
      <c r="K131" s="526"/>
      <c r="L131" s="526"/>
      <c r="M131" s="526" t="e">
        <f t="shared" si="10"/>
        <v>#DIV/0!</v>
      </c>
      <c r="N131" s="527"/>
    </row>
    <row r="132" spans="1:14" hidden="1" x14ac:dyDescent="0.25">
      <c r="A132" s="525" t="s">
        <v>316</v>
      </c>
      <c r="B132" s="526"/>
      <c r="C132" s="526"/>
      <c r="D132" s="526"/>
      <c r="E132" s="526"/>
      <c r="F132" s="526"/>
      <c r="G132" s="526"/>
      <c r="H132" s="526"/>
      <c r="I132" s="526"/>
      <c r="J132" s="526" t="e">
        <f t="shared" si="9"/>
        <v>#DIV/0!</v>
      </c>
      <c r="K132" s="526"/>
      <c r="L132" s="526"/>
      <c r="M132" s="526" t="e">
        <f t="shared" si="10"/>
        <v>#DIV/0!</v>
      </c>
      <c r="N132" s="527"/>
    </row>
    <row r="133" spans="1:14" hidden="1" x14ac:dyDescent="0.25">
      <c r="A133" s="525" t="s">
        <v>317</v>
      </c>
      <c r="B133" s="526"/>
      <c r="C133" s="526"/>
      <c r="D133" s="526"/>
      <c r="E133" s="526"/>
      <c r="F133" s="526"/>
      <c r="G133" s="526"/>
      <c r="H133" s="526"/>
      <c r="I133" s="526"/>
      <c r="J133" s="526" t="e">
        <f t="shared" si="9"/>
        <v>#DIV/0!</v>
      </c>
      <c r="K133" s="526"/>
      <c r="L133" s="526"/>
      <c r="M133" s="526" t="e">
        <f t="shared" si="10"/>
        <v>#DIV/0!</v>
      </c>
      <c r="N133" s="527"/>
    </row>
    <row r="134" spans="1:14" hidden="1" x14ac:dyDescent="0.25">
      <c r="A134" s="525" t="s">
        <v>318</v>
      </c>
      <c r="B134" s="526"/>
      <c r="C134" s="526"/>
      <c r="D134" s="526"/>
      <c r="E134" s="526"/>
      <c r="F134" s="526"/>
      <c r="G134" s="526"/>
      <c r="H134" s="526"/>
      <c r="I134" s="526"/>
      <c r="J134" s="526" t="e">
        <f t="shared" si="9"/>
        <v>#DIV/0!</v>
      </c>
      <c r="K134" s="526"/>
      <c r="L134" s="526"/>
      <c r="M134" s="526" t="e">
        <f t="shared" si="10"/>
        <v>#DIV/0!</v>
      </c>
      <c r="N134" s="527"/>
    </row>
    <row r="135" spans="1:14" hidden="1" x14ac:dyDescent="0.25">
      <c r="A135" s="525" t="s">
        <v>319</v>
      </c>
      <c r="B135" s="526"/>
      <c r="C135" s="526"/>
      <c r="D135" s="526"/>
      <c r="E135" s="526"/>
      <c r="F135" s="526"/>
      <c r="G135" s="526"/>
      <c r="H135" s="526"/>
      <c r="I135" s="526"/>
      <c r="J135" s="526" t="e">
        <f t="shared" si="9"/>
        <v>#DIV/0!</v>
      </c>
      <c r="K135" s="526"/>
      <c r="L135" s="526"/>
      <c r="M135" s="526" t="e">
        <f t="shared" si="10"/>
        <v>#DIV/0!</v>
      </c>
      <c r="N135" s="527"/>
    </row>
    <row r="136" spans="1:14" hidden="1" x14ac:dyDescent="0.25">
      <c r="A136" s="525" t="s">
        <v>320</v>
      </c>
      <c r="B136" s="526"/>
      <c r="C136" s="526"/>
      <c r="D136" s="526"/>
      <c r="E136" s="526"/>
      <c r="F136" s="526"/>
      <c r="G136" s="526"/>
      <c r="H136" s="526"/>
      <c r="I136" s="526"/>
      <c r="J136" s="526" t="e">
        <f t="shared" si="9"/>
        <v>#DIV/0!</v>
      </c>
      <c r="K136" s="526"/>
      <c r="L136" s="526"/>
      <c r="M136" s="526" t="e">
        <f t="shared" si="10"/>
        <v>#DIV/0!</v>
      </c>
      <c r="N136" s="527"/>
    </row>
    <row r="137" spans="1:14" hidden="1" x14ac:dyDescent="0.25">
      <c r="A137" s="525" t="s">
        <v>321</v>
      </c>
      <c r="B137" s="526"/>
      <c r="C137" s="526"/>
      <c r="D137" s="526"/>
      <c r="E137" s="526"/>
      <c r="F137" s="526"/>
      <c r="G137" s="526"/>
      <c r="H137" s="526"/>
      <c r="I137" s="526"/>
      <c r="J137" s="526" t="e">
        <f t="shared" si="9"/>
        <v>#DIV/0!</v>
      </c>
      <c r="K137" s="526"/>
      <c r="L137" s="526"/>
      <c r="M137" s="526" t="e">
        <f t="shared" si="10"/>
        <v>#DIV/0!</v>
      </c>
      <c r="N137" s="527"/>
    </row>
    <row r="138" spans="1:14" hidden="1" x14ac:dyDescent="0.25">
      <c r="A138" s="525" t="s">
        <v>322</v>
      </c>
      <c r="B138" s="526"/>
      <c r="C138" s="526"/>
      <c r="D138" s="526"/>
      <c r="E138" s="526"/>
      <c r="F138" s="526"/>
      <c r="G138" s="526"/>
      <c r="H138" s="526"/>
      <c r="I138" s="526"/>
      <c r="J138" s="526" t="e">
        <f t="shared" si="9"/>
        <v>#DIV/0!</v>
      </c>
      <c r="K138" s="526"/>
      <c r="L138" s="526"/>
      <c r="M138" s="526" t="e">
        <f t="shared" si="10"/>
        <v>#DIV/0!</v>
      </c>
      <c r="N138" s="527"/>
    </row>
    <row r="139" spans="1:14" ht="15.75" hidden="1" thickBot="1" x14ac:dyDescent="0.3">
      <c r="A139" s="528" t="s">
        <v>323</v>
      </c>
      <c r="B139" s="529"/>
      <c r="C139" s="529"/>
      <c r="D139" s="529"/>
      <c r="E139" s="529"/>
      <c r="F139" s="529"/>
      <c r="G139" s="529"/>
      <c r="H139" s="529"/>
      <c r="I139" s="529"/>
      <c r="J139" s="529" t="e">
        <f t="shared" si="9"/>
        <v>#DIV/0!</v>
      </c>
      <c r="K139" s="529"/>
      <c r="L139" s="529"/>
      <c r="M139" s="529" t="e">
        <f t="shared" si="10"/>
        <v>#DIV/0!</v>
      </c>
      <c r="N139" s="552"/>
    </row>
    <row r="141" spans="1:14" ht="15.75" thickBot="1" x14ac:dyDescent="0.3"/>
    <row r="142" spans="1:14" ht="20.25" x14ac:dyDescent="0.3">
      <c r="A142" s="952" t="s">
        <v>363</v>
      </c>
      <c r="B142" s="952"/>
      <c r="C142" s="952"/>
      <c r="D142" s="952"/>
      <c r="E142" s="952"/>
      <c r="F142" s="952"/>
      <c r="G142" s="952"/>
    </row>
    <row r="143" spans="1:14" ht="39" thickBot="1" x14ac:dyDescent="0.3">
      <c r="A143" s="511" t="s">
        <v>26</v>
      </c>
      <c r="B143" s="553" t="s">
        <v>328</v>
      </c>
      <c r="C143" s="553" t="s">
        <v>329</v>
      </c>
      <c r="D143" s="553" t="s">
        <v>364</v>
      </c>
      <c r="E143" s="553" t="s">
        <v>365</v>
      </c>
      <c r="F143" s="553" t="s">
        <v>366</v>
      </c>
      <c r="G143" s="554" t="s">
        <v>367</v>
      </c>
    </row>
    <row r="144" spans="1:14" ht="143.25" thickBot="1" x14ac:dyDescent="0.3">
      <c r="A144" s="953" t="s">
        <v>311</v>
      </c>
      <c r="B144" s="954" t="s">
        <v>341</v>
      </c>
      <c r="C144" s="955" t="s">
        <v>342</v>
      </c>
      <c r="D144" s="555" t="s">
        <v>368</v>
      </c>
      <c r="E144" s="556">
        <v>1585211000</v>
      </c>
      <c r="F144" s="557">
        <v>0</v>
      </c>
      <c r="G144" s="558" t="s">
        <v>369</v>
      </c>
    </row>
    <row r="145" spans="1:7" ht="171.75" thickBot="1" x14ac:dyDescent="0.3">
      <c r="A145" s="953"/>
      <c r="B145" s="954"/>
      <c r="C145" s="955"/>
      <c r="D145" s="555" t="s">
        <v>370</v>
      </c>
      <c r="E145" s="556">
        <v>881587000</v>
      </c>
      <c r="F145" s="557">
        <v>0</v>
      </c>
      <c r="G145" s="558" t="s">
        <v>369</v>
      </c>
    </row>
    <row r="146" spans="1:7" ht="171" x14ac:dyDescent="0.25">
      <c r="A146" s="953"/>
      <c r="B146" s="954"/>
      <c r="C146" s="955"/>
      <c r="D146" s="559" t="s">
        <v>371</v>
      </c>
      <c r="E146" s="556">
        <v>1647133000</v>
      </c>
      <c r="F146" s="557">
        <v>0</v>
      </c>
      <c r="G146" s="558" t="s">
        <v>369</v>
      </c>
    </row>
    <row r="147" spans="1:7" ht="185.25" x14ac:dyDescent="0.25">
      <c r="A147" s="953"/>
      <c r="B147" s="961" t="s">
        <v>344</v>
      </c>
      <c r="C147" s="962" t="s">
        <v>345</v>
      </c>
      <c r="D147" s="555" t="s">
        <v>372</v>
      </c>
      <c r="E147" s="556">
        <v>2651371000</v>
      </c>
      <c r="F147" s="557">
        <v>0</v>
      </c>
      <c r="G147" s="558" t="s">
        <v>369</v>
      </c>
    </row>
    <row r="148" spans="1:7" ht="114" x14ac:dyDescent="0.25">
      <c r="A148" s="953"/>
      <c r="B148" s="961"/>
      <c r="C148" s="962"/>
      <c r="D148" s="555" t="s">
        <v>373</v>
      </c>
      <c r="E148" s="556">
        <v>204662000</v>
      </c>
      <c r="F148" s="557">
        <v>0</v>
      </c>
      <c r="G148" s="558" t="s">
        <v>369</v>
      </c>
    </row>
    <row r="149" spans="1:7" ht="142.5" x14ac:dyDescent="0.25">
      <c r="A149" s="953" t="s">
        <v>313</v>
      </c>
      <c r="B149" s="961" t="s">
        <v>341</v>
      </c>
      <c r="C149" s="962" t="s">
        <v>342</v>
      </c>
      <c r="D149" s="555" t="s">
        <v>368</v>
      </c>
      <c r="E149" s="556">
        <v>1585211000</v>
      </c>
      <c r="F149" s="557">
        <v>0</v>
      </c>
      <c r="G149" s="558" t="s">
        <v>374</v>
      </c>
    </row>
    <row r="150" spans="1:7" ht="171" x14ac:dyDescent="0.25">
      <c r="A150" s="953"/>
      <c r="B150" s="961"/>
      <c r="C150" s="962"/>
      <c r="D150" s="555" t="s">
        <v>370</v>
      </c>
      <c r="E150" s="556">
        <v>881587000</v>
      </c>
      <c r="F150" s="556">
        <v>824100</v>
      </c>
      <c r="G150" s="558" t="s">
        <v>375</v>
      </c>
    </row>
    <row r="151" spans="1:7" ht="171" x14ac:dyDescent="0.25">
      <c r="A151" s="953"/>
      <c r="B151" s="961"/>
      <c r="C151" s="962"/>
      <c r="D151" s="559" t="s">
        <v>371</v>
      </c>
      <c r="E151" s="556">
        <v>1647133000</v>
      </c>
      <c r="F151" s="556">
        <v>0</v>
      </c>
      <c r="G151" s="558" t="s">
        <v>376</v>
      </c>
    </row>
    <row r="152" spans="1:7" ht="185.25" x14ac:dyDescent="0.25">
      <c r="A152" s="953"/>
      <c r="B152" s="961" t="s">
        <v>344</v>
      </c>
      <c r="C152" s="962" t="s">
        <v>345</v>
      </c>
      <c r="D152" s="555" t="s">
        <v>372</v>
      </c>
      <c r="E152" s="556">
        <v>2651371000</v>
      </c>
      <c r="F152" s="557">
        <v>0</v>
      </c>
      <c r="G152" s="558" t="s">
        <v>377</v>
      </c>
    </row>
    <row r="153" spans="1:7" ht="114" x14ac:dyDescent="0.25">
      <c r="A153" s="953"/>
      <c r="B153" s="961"/>
      <c r="C153" s="962"/>
      <c r="D153" s="555" t="s">
        <v>373</v>
      </c>
      <c r="E153" s="556">
        <v>204662000</v>
      </c>
      <c r="F153" s="557">
        <v>0</v>
      </c>
      <c r="G153" s="558" t="s">
        <v>378</v>
      </c>
    </row>
    <row r="154" spans="1:7" ht="142.5" x14ac:dyDescent="0.25">
      <c r="A154" s="953" t="s">
        <v>314</v>
      </c>
      <c r="B154" s="961" t="s">
        <v>341</v>
      </c>
      <c r="C154" s="962" t="s">
        <v>342</v>
      </c>
      <c r="D154" s="555" t="s">
        <v>368</v>
      </c>
      <c r="E154" s="556">
        <v>1585211000</v>
      </c>
      <c r="F154" s="556">
        <v>32719366</v>
      </c>
      <c r="G154" s="558" t="s">
        <v>374</v>
      </c>
    </row>
    <row r="155" spans="1:7" ht="171" x14ac:dyDescent="0.25">
      <c r="A155" s="953"/>
      <c r="B155" s="961"/>
      <c r="C155" s="962"/>
      <c r="D155" s="555" t="s">
        <v>370</v>
      </c>
      <c r="E155" s="556">
        <v>881587000</v>
      </c>
      <c r="F155" s="556">
        <v>3479033</v>
      </c>
      <c r="G155" s="558" t="s">
        <v>375</v>
      </c>
    </row>
    <row r="156" spans="1:7" ht="171" x14ac:dyDescent="0.25">
      <c r="A156" s="953"/>
      <c r="B156" s="961"/>
      <c r="C156" s="962"/>
      <c r="D156" s="559" t="s">
        <v>371</v>
      </c>
      <c r="E156" s="556">
        <v>1647133000</v>
      </c>
      <c r="F156" s="556">
        <v>21782566</v>
      </c>
      <c r="G156" s="558" t="s">
        <v>376</v>
      </c>
    </row>
    <row r="157" spans="1:7" ht="185.25" x14ac:dyDescent="0.25">
      <c r="A157" s="953"/>
      <c r="B157" s="961" t="s">
        <v>344</v>
      </c>
      <c r="C157" s="962" t="s">
        <v>345</v>
      </c>
      <c r="D157" s="555" t="s">
        <v>372</v>
      </c>
      <c r="E157" s="556">
        <v>2651371000</v>
      </c>
      <c r="F157" s="556">
        <v>2635800</v>
      </c>
      <c r="G157" s="558" t="s">
        <v>377</v>
      </c>
    </row>
    <row r="158" spans="1:7" ht="114" x14ac:dyDescent="0.25">
      <c r="A158" s="953"/>
      <c r="B158" s="961"/>
      <c r="C158" s="962"/>
      <c r="D158" s="555" t="s">
        <v>373</v>
      </c>
      <c r="E158" s="556">
        <v>204662000</v>
      </c>
      <c r="F158" s="557">
        <v>0</v>
      </c>
      <c r="G158" s="558" t="s">
        <v>378</v>
      </c>
    </row>
    <row r="159" spans="1:7" ht="142.5" x14ac:dyDescent="0.25">
      <c r="A159" s="953" t="s">
        <v>315</v>
      </c>
      <c r="B159" s="961" t="s">
        <v>341</v>
      </c>
      <c r="C159" s="962" t="s">
        <v>342</v>
      </c>
      <c r="D159" s="555" t="s">
        <v>368</v>
      </c>
      <c r="E159" s="556">
        <v>1585211000</v>
      </c>
      <c r="F159" s="556">
        <v>137337233</v>
      </c>
      <c r="G159" s="558" t="s">
        <v>374</v>
      </c>
    </row>
    <row r="160" spans="1:7" ht="171" x14ac:dyDescent="0.25">
      <c r="A160" s="953"/>
      <c r="B160" s="961"/>
      <c r="C160" s="962"/>
      <c r="D160" s="555" t="s">
        <v>370</v>
      </c>
      <c r="E160" s="556">
        <v>881587000</v>
      </c>
      <c r="F160" s="556">
        <v>56359465</v>
      </c>
      <c r="G160" s="558" t="s">
        <v>375</v>
      </c>
    </row>
    <row r="161" spans="1:7" ht="171" x14ac:dyDescent="0.25">
      <c r="A161" s="953"/>
      <c r="B161" s="961"/>
      <c r="C161" s="962"/>
      <c r="D161" s="559" t="s">
        <v>371</v>
      </c>
      <c r="E161" s="556">
        <v>1647133000</v>
      </c>
      <c r="F161" s="556">
        <v>120103399</v>
      </c>
      <c r="G161" s="558" t="s">
        <v>376</v>
      </c>
    </row>
    <row r="162" spans="1:7" ht="185.25" x14ac:dyDescent="0.25">
      <c r="A162" s="953"/>
      <c r="B162" s="961" t="s">
        <v>344</v>
      </c>
      <c r="C162" s="962" t="s">
        <v>345</v>
      </c>
      <c r="D162" s="555" t="s">
        <v>372</v>
      </c>
      <c r="E162" s="556">
        <v>2651371000</v>
      </c>
      <c r="F162" s="556">
        <v>37221866</v>
      </c>
      <c r="G162" s="558" t="s">
        <v>377</v>
      </c>
    </row>
    <row r="163" spans="1:7" ht="114" x14ac:dyDescent="0.25">
      <c r="A163" s="953"/>
      <c r="B163" s="961"/>
      <c r="C163" s="962"/>
      <c r="D163" s="555" t="s">
        <v>373</v>
      </c>
      <c r="E163" s="562">
        <v>204662000</v>
      </c>
      <c r="F163" s="562">
        <v>7313366</v>
      </c>
      <c r="G163" s="781" t="s">
        <v>378</v>
      </c>
    </row>
    <row r="164" spans="1:7" ht="142.5" x14ac:dyDescent="0.25">
      <c r="A164" s="953" t="s">
        <v>316</v>
      </c>
      <c r="B164" s="961" t="s">
        <v>341</v>
      </c>
      <c r="C164" s="962" t="s">
        <v>342</v>
      </c>
      <c r="D164" s="560" t="s">
        <v>368</v>
      </c>
      <c r="E164" s="556">
        <v>1585211000</v>
      </c>
      <c r="F164" s="782">
        <v>306152866</v>
      </c>
      <c r="G164" s="783" t="s">
        <v>374</v>
      </c>
    </row>
    <row r="165" spans="1:7" ht="171" x14ac:dyDescent="0.25">
      <c r="A165" s="953"/>
      <c r="B165" s="961"/>
      <c r="C165" s="962"/>
      <c r="D165" s="560" t="s">
        <v>370</v>
      </c>
      <c r="E165" s="556">
        <v>881587000</v>
      </c>
      <c r="F165" s="782">
        <v>117231099</v>
      </c>
      <c r="G165" s="783" t="s">
        <v>375</v>
      </c>
    </row>
    <row r="166" spans="1:7" ht="171" x14ac:dyDescent="0.25">
      <c r="A166" s="953"/>
      <c r="B166" s="961"/>
      <c r="C166" s="962"/>
      <c r="D166" s="561" t="s">
        <v>371</v>
      </c>
      <c r="E166" s="556">
        <v>1647133000</v>
      </c>
      <c r="F166" s="782">
        <v>272278432</v>
      </c>
      <c r="G166" s="783" t="s">
        <v>376</v>
      </c>
    </row>
    <row r="167" spans="1:7" ht="185.25" x14ac:dyDescent="0.25">
      <c r="A167" s="953"/>
      <c r="B167" s="961" t="s">
        <v>344</v>
      </c>
      <c r="C167" s="962" t="s">
        <v>345</v>
      </c>
      <c r="D167" s="560" t="s">
        <v>372</v>
      </c>
      <c r="E167" s="556">
        <v>2651371000</v>
      </c>
      <c r="F167" s="782">
        <v>99454900</v>
      </c>
      <c r="G167" s="783" t="s">
        <v>377</v>
      </c>
    </row>
    <row r="168" spans="1:7" ht="114" x14ac:dyDescent="0.25">
      <c r="A168" s="953"/>
      <c r="B168" s="961"/>
      <c r="C168" s="962"/>
      <c r="D168" s="560" t="s">
        <v>373</v>
      </c>
      <c r="E168" s="562">
        <v>204662000</v>
      </c>
      <c r="F168" s="782">
        <v>24789033</v>
      </c>
      <c r="G168" s="783" t="s">
        <v>378</v>
      </c>
    </row>
    <row r="169" spans="1:7" ht="142.5" x14ac:dyDescent="0.25">
      <c r="A169" s="953" t="s">
        <v>317</v>
      </c>
      <c r="B169" s="961" t="s">
        <v>341</v>
      </c>
      <c r="C169" s="962" t="s">
        <v>342</v>
      </c>
      <c r="D169" s="560" t="s">
        <v>368</v>
      </c>
      <c r="E169" s="784">
        <v>1585211000</v>
      </c>
      <c r="F169" s="784">
        <v>470061333</v>
      </c>
      <c r="G169" s="785" t="s">
        <v>374</v>
      </c>
    </row>
    <row r="170" spans="1:7" ht="171" x14ac:dyDescent="0.25">
      <c r="A170" s="953"/>
      <c r="B170" s="961"/>
      <c r="C170" s="962"/>
      <c r="D170" s="555" t="s">
        <v>370</v>
      </c>
      <c r="E170" s="556">
        <v>881587000</v>
      </c>
      <c r="F170" s="556">
        <v>198375199</v>
      </c>
      <c r="G170" s="558" t="s">
        <v>375</v>
      </c>
    </row>
    <row r="171" spans="1:7" ht="171" x14ac:dyDescent="0.25">
      <c r="A171" s="953"/>
      <c r="B171" s="961"/>
      <c r="C171" s="962"/>
      <c r="D171" s="559" t="s">
        <v>371</v>
      </c>
      <c r="E171" s="556">
        <v>1647133000</v>
      </c>
      <c r="F171" s="556">
        <v>429093932</v>
      </c>
      <c r="G171" s="558" t="s">
        <v>376</v>
      </c>
    </row>
    <row r="172" spans="1:7" ht="185.25" x14ac:dyDescent="0.25">
      <c r="A172" s="953"/>
      <c r="B172" s="961" t="s">
        <v>344</v>
      </c>
      <c r="C172" s="962" t="s">
        <v>345</v>
      </c>
      <c r="D172" s="555" t="s">
        <v>372</v>
      </c>
      <c r="E172" s="556">
        <v>2651371000</v>
      </c>
      <c r="F172" s="556">
        <v>178936300</v>
      </c>
      <c r="G172" s="558" t="s">
        <v>377</v>
      </c>
    </row>
    <row r="173" spans="1:7" ht="114" x14ac:dyDescent="0.25">
      <c r="A173" s="953"/>
      <c r="B173" s="961"/>
      <c r="C173" s="962"/>
      <c r="D173" s="555" t="s">
        <v>373</v>
      </c>
      <c r="E173" s="556">
        <v>204662000</v>
      </c>
      <c r="F173" s="556">
        <v>43262033</v>
      </c>
      <c r="G173" s="558" t="s">
        <v>378</v>
      </c>
    </row>
    <row r="174" spans="1:7" ht="142.5" x14ac:dyDescent="0.25">
      <c r="A174" s="953" t="s">
        <v>318</v>
      </c>
      <c r="B174" s="961" t="s">
        <v>341</v>
      </c>
      <c r="C174" s="962" t="s">
        <v>342</v>
      </c>
      <c r="D174" s="555" t="s">
        <v>368</v>
      </c>
      <c r="E174" s="556">
        <v>1585211000</v>
      </c>
      <c r="F174" s="556">
        <v>633918333</v>
      </c>
      <c r="G174" s="558" t="s">
        <v>374</v>
      </c>
    </row>
    <row r="175" spans="1:7" ht="171" x14ac:dyDescent="0.25">
      <c r="A175" s="953"/>
      <c r="B175" s="961"/>
      <c r="C175" s="962"/>
      <c r="D175" s="555" t="s">
        <v>370</v>
      </c>
      <c r="E175" s="556">
        <v>881587000</v>
      </c>
      <c r="F175" s="556">
        <v>268178599</v>
      </c>
      <c r="G175" s="558" t="s">
        <v>375</v>
      </c>
    </row>
    <row r="176" spans="1:7" ht="171" x14ac:dyDescent="0.25">
      <c r="A176" s="953"/>
      <c r="B176" s="961"/>
      <c r="C176" s="962"/>
      <c r="D176" s="559" t="s">
        <v>371</v>
      </c>
      <c r="E176" s="556">
        <v>1647133000</v>
      </c>
      <c r="F176" s="556">
        <v>584930799</v>
      </c>
      <c r="G176" s="558" t="s">
        <v>376</v>
      </c>
    </row>
    <row r="177" spans="1:7" ht="185.25" x14ac:dyDescent="0.25">
      <c r="A177" s="953"/>
      <c r="B177" s="961" t="s">
        <v>344</v>
      </c>
      <c r="C177" s="962" t="s">
        <v>345</v>
      </c>
      <c r="D177" s="555" t="s">
        <v>372</v>
      </c>
      <c r="E177" s="556">
        <v>2651371000</v>
      </c>
      <c r="F177" s="556">
        <v>265182733</v>
      </c>
      <c r="G177" s="558" t="s">
        <v>529</v>
      </c>
    </row>
    <row r="178" spans="1:7" ht="114" x14ac:dyDescent="0.25">
      <c r="A178" s="953"/>
      <c r="B178" s="961"/>
      <c r="C178" s="962"/>
      <c r="D178" s="555" t="s">
        <v>373</v>
      </c>
      <c r="E178" s="556">
        <v>204662000</v>
      </c>
      <c r="F178" s="556">
        <v>61735033</v>
      </c>
      <c r="G178" s="558" t="s">
        <v>378</v>
      </c>
    </row>
    <row r="179" spans="1:7" ht="142.5" x14ac:dyDescent="0.25">
      <c r="A179" s="950" t="s">
        <v>319</v>
      </c>
      <c r="B179" s="961" t="s">
        <v>341</v>
      </c>
      <c r="C179" s="962" t="s">
        <v>342</v>
      </c>
      <c r="D179" s="555" t="s">
        <v>368</v>
      </c>
      <c r="E179" s="563">
        <v>1585211000</v>
      </c>
      <c r="F179" s="563">
        <v>795660333</v>
      </c>
      <c r="G179" s="558" t="s">
        <v>374</v>
      </c>
    </row>
    <row r="180" spans="1:7" ht="171" x14ac:dyDescent="0.25">
      <c r="A180" s="950"/>
      <c r="B180" s="961"/>
      <c r="C180" s="962"/>
      <c r="D180" s="555" t="s">
        <v>370</v>
      </c>
      <c r="E180" s="563">
        <v>881587000</v>
      </c>
      <c r="F180" s="563">
        <v>357347450</v>
      </c>
      <c r="G180" s="558" t="s">
        <v>375</v>
      </c>
    </row>
    <row r="181" spans="1:7" ht="171" x14ac:dyDescent="0.25">
      <c r="A181" s="950"/>
      <c r="B181" s="961"/>
      <c r="C181" s="962"/>
      <c r="D181" s="559" t="s">
        <v>371</v>
      </c>
      <c r="E181" s="563">
        <v>1647133000</v>
      </c>
      <c r="F181" s="563">
        <v>772986150</v>
      </c>
      <c r="G181" s="558" t="s">
        <v>376</v>
      </c>
    </row>
    <row r="182" spans="1:7" ht="185.25" x14ac:dyDescent="0.25">
      <c r="A182" s="950"/>
      <c r="B182" s="961" t="s">
        <v>344</v>
      </c>
      <c r="C182" s="962" t="s">
        <v>345</v>
      </c>
      <c r="D182" s="555" t="s">
        <v>372</v>
      </c>
      <c r="E182" s="563">
        <v>2651371000</v>
      </c>
      <c r="F182" s="563">
        <v>353169284</v>
      </c>
      <c r="G182" s="558" t="s">
        <v>529</v>
      </c>
    </row>
    <row r="183" spans="1:7" ht="114" x14ac:dyDescent="0.25">
      <c r="A183" s="950"/>
      <c r="B183" s="961"/>
      <c r="C183" s="962"/>
      <c r="D183" s="567" t="s">
        <v>373</v>
      </c>
      <c r="E183" s="563">
        <v>204662000</v>
      </c>
      <c r="F183" s="563">
        <v>82513633</v>
      </c>
      <c r="G183" s="558" t="s">
        <v>378</v>
      </c>
    </row>
    <row r="184" spans="1:7" ht="142.5" x14ac:dyDescent="0.25">
      <c r="A184" s="950" t="s">
        <v>320</v>
      </c>
      <c r="B184" s="961" t="s">
        <v>341</v>
      </c>
      <c r="C184" s="962" t="s">
        <v>342</v>
      </c>
      <c r="D184" s="555" t="s">
        <v>368</v>
      </c>
      <c r="E184" s="563">
        <v>1585211000</v>
      </c>
      <c r="F184" s="569">
        <v>979533333</v>
      </c>
      <c r="G184" s="558" t="s">
        <v>374</v>
      </c>
    </row>
    <row r="185" spans="1:7" ht="171" x14ac:dyDescent="0.25">
      <c r="A185" s="950"/>
      <c r="B185" s="961"/>
      <c r="C185" s="962"/>
      <c r="D185" s="555" t="s">
        <v>370</v>
      </c>
      <c r="E185" s="563">
        <v>881587000</v>
      </c>
      <c r="F185" s="569">
        <v>439605656</v>
      </c>
      <c r="G185" s="558" t="s">
        <v>375</v>
      </c>
    </row>
    <row r="186" spans="1:7" ht="171" x14ac:dyDescent="0.25">
      <c r="A186" s="950"/>
      <c r="B186" s="961"/>
      <c r="C186" s="962"/>
      <c r="D186" s="559" t="s">
        <v>371</v>
      </c>
      <c r="E186" s="566">
        <v>1647133000</v>
      </c>
      <c r="F186" s="569">
        <v>961467242</v>
      </c>
      <c r="G186" s="558" t="s">
        <v>376</v>
      </c>
    </row>
    <row r="187" spans="1:7" ht="185.25" x14ac:dyDescent="0.25">
      <c r="A187" s="950"/>
      <c r="B187" s="961" t="s">
        <v>344</v>
      </c>
      <c r="C187" s="962" t="s">
        <v>345</v>
      </c>
      <c r="D187" s="555" t="s">
        <v>372</v>
      </c>
      <c r="E187" s="563">
        <v>2651371000</v>
      </c>
      <c r="F187" s="569">
        <v>438997590</v>
      </c>
      <c r="G187" s="558" t="s">
        <v>529</v>
      </c>
    </row>
    <row r="188" spans="1:7" ht="114" x14ac:dyDescent="0.25">
      <c r="A188" s="950"/>
      <c r="B188" s="961"/>
      <c r="C188" s="962"/>
      <c r="D188" s="567" t="s">
        <v>373</v>
      </c>
      <c r="E188" s="568">
        <v>204662000</v>
      </c>
      <c r="F188" s="569">
        <v>105309633</v>
      </c>
      <c r="G188" s="558" t="s">
        <v>378</v>
      </c>
    </row>
    <row r="189" spans="1:7" ht="142.5" x14ac:dyDescent="0.25">
      <c r="A189" s="950" t="s">
        <v>321</v>
      </c>
      <c r="B189" s="961" t="s">
        <v>341</v>
      </c>
      <c r="C189" s="962" t="s">
        <v>342</v>
      </c>
      <c r="D189" s="555" t="s">
        <v>368</v>
      </c>
      <c r="E189" s="563">
        <v>1585211000</v>
      </c>
      <c r="F189" s="569">
        <v>1154682333</v>
      </c>
      <c r="G189" s="558" t="s">
        <v>374</v>
      </c>
    </row>
    <row r="190" spans="1:7" ht="171" x14ac:dyDescent="0.25">
      <c r="A190" s="950"/>
      <c r="B190" s="961"/>
      <c r="C190" s="962"/>
      <c r="D190" s="555" t="s">
        <v>370</v>
      </c>
      <c r="E190" s="563">
        <v>881587000</v>
      </c>
      <c r="F190" s="569">
        <v>544711302</v>
      </c>
      <c r="G190" s="558" t="s">
        <v>375</v>
      </c>
    </row>
    <row r="191" spans="1:7" ht="171" x14ac:dyDescent="0.25">
      <c r="A191" s="950"/>
      <c r="B191" s="961"/>
      <c r="C191" s="962"/>
      <c r="D191" s="559" t="s">
        <v>371</v>
      </c>
      <c r="E191" s="566">
        <v>1647133000</v>
      </c>
      <c r="F191" s="569">
        <v>1190991936</v>
      </c>
      <c r="G191" s="558" t="s">
        <v>376</v>
      </c>
    </row>
    <row r="192" spans="1:7" ht="185.25" x14ac:dyDescent="0.25">
      <c r="A192" s="950"/>
      <c r="B192" s="961" t="s">
        <v>344</v>
      </c>
      <c r="C192" s="962" t="s">
        <v>345</v>
      </c>
      <c r="D192" s="555" t="s">
        <v>372</v>
      </c>
      <c r="E192" s="563">
        <v>2651371000</v>
      </c>
      <c r="F192" s="569">
        <v>525774003</v>
      </c>
      <c r="G192" s="558" t="s">
        <v>529</v>
      </c>
    </row>
    <row r="193" spans="1:7" ht="114" x14ac:dyDescent="0.25">
      <c r="A193" s="950"/>
      <c r="B193" s="961"/>
      <c r="C193" s="962"/>
      <c r="D193" s="567" t="s">
        <v>373</v>
      </c>
      <c r="E193" s="568">
        <v>204662000</v>
      </c>
      <c r="F193" s="569">
        <v>128105633</v>
      </c>
      <c r="G193" s="558" t="s">
        <v>378</v>
      </c>
    </row>
    <row r="194" spans="1:7" ht="142.5" x14ac:dyDescent="0.25">
      <c r="A194" s="950" t="s">
        <v>322</v>
      </c>
      <c r="B194" s="961" t="s">
        <v>341</v>
      </c>
      <c r="C194" s="962" t="s">
        <v>342</v>
      </c>
      <c r="D194" s="555" t="s">
        <v>368</v>
      </c>
      <c r="E194" s="563">
        <v>1585211000</v>
      </c>
      <c r="F194" s="563">
        <v>1329831333</v>
      </c>
      <c r="G194" s="565" t="s">
        <v>374</v>
      </c>
    </row>
    <row r="195" spans="1:7" ht="171" x14ac:dyDescent="0.25">
      <c r="A195" s="950"/>
      <c r="B195" s="961"/>
      <c r="C195" s="962"/>
      <c r="D195" s="555" t="s">
        <v>370</v>
      </c>
      <c r="E195" s="563">
        <v>881587000</v>
      </c>
      <c r="F195" s="563">
        <v>646540328</v>
      </c>
      <c r="G195" s="565" t="s">
        <v>375</v>
      </c>
    </row>
    <row r="196" spans="1:7" ht="171" x14ac:dyDescent="0.25">
      <c r="A196" s="950"/>
      <c r="B196" s="961"/>
      <c r="C196" s="962"/>
      <c r="D196" s="559" t="s">
        <v>371</v>
      </c>
      <c r="E196" s="566">
        <v>1647133000</v>
      </c>
      <c r="F196" s="563">
        <v>1400958072</v>
      </c>
      <c r="G196" s="571" t="s">
        <v>376</v>
      </c>
    </row>
    <row r="197" spans="1:7" ht="185.25" x14ac:dyDescent="0.25">
      <c r="A197" s="950"/>
      <c r="B197" s="961" t="s">
        <v>344</v>
      </c>
      <c r="C197" s="962" t="s">
        <v>345</v>
      </c>
      <c r="D197" s="555" t="s">
        <v>372</v>
      </c>
      <c r="E197" s="563">
        <v>2651371000</v>
      </c>
      <c r="F197" s="563">
        <v>1031936804</v>
      </c>
      <c r="G197" s="571" t="s">
        <v>536</v>
      </c>
    </row>
    <row r="198" spans="1:7" ht="114" x14ac:dyDescent="0.25">
      <c r="A198" s="950"/>
      <c r="B198" s="961"/>
      <c r="C198" s="962"/>
      <c r="D198" s="567" t="s">
        <v>373</v>
      </c>
      <c r="E198" s="568">
        <v>204662000</v>
      </c>
      <c r="F198" s="563">
        <v>150901633</v>
      </c>
      <c r="G198" s="565" t="s">
        <v>378</v>
      </c>
    </row>
    <row r="199" spans="1:7" ht="142.5" x14ac:dyDescent="0.25">
      <c r="A199" s="950" t="s">
        <v>323</v>
      </c>
      <c r="B199" s="961" t="s">
        <v>341</v>
      </c>
      <c r="C199" s="962" t="s">
        <v>342</v>
      </c>
      <c r="D199" s="555" t="s">
        <v>368</v>
      </c>
      <c r="E199" s="563">
        <v>1650484302</v>
      </c>
      <c r="F199" s="563">
        <v>1583722499</v>
      </c>
      <c r="G199" s="565" t="s">
        <v>374</v>
      </c>
    </row>
    <row r="200" spans="1:7" ht="171" x14ac:dyDescent="0.25">
      <c r="A200" s="950"/>
      <c r="B200" s="961"/>
      <c r="C200" s="962"/>
      <c r="D200" s="555" t="s">
        <v>370</v>
      </c>
      <c r="E200" s="563">
        <v>956528000</v>
      </c>
      <c r="F200" s="563">
        <v>813244790</v>
      </c>
      <c r="G200" s="565" t="s">
        <v>375</v>
      </c>
    </row>
    <row r="201" spans="1:7" ht="171" x14ac:dyDescent="0.25">
      <c r="A201" s="950"/>
      <c r="B201" s="961"/>
      <c r="C201" s="962"/>
      <c r="D201" s="559" t="s">
        <v>371</v>
      </c>
      <c r="E201" s="563">
        <v>1985589466</v>
      </c>
      <c r="F201" s="563">
        <v>1692065903</v>
      </c>
      <c r="G201" s="571" t="s">
        <v>376</v>
      </c>
    </row>
    <row r="202" spans="1:7" ht="185.25" x14ac:dyDescent="0.25">
      <c r="A202" s="950"/>
      <c r="B202" s="961" t="s">
        <v>344</v>
      </c>
      <c r="C202" s="962" t="s">
        <v>345</v>
      </c>
      <c r="D202" s="555" t="s">
        <v>372</v>
      </c>
      <c r="E202" s="563">
        <v>2401606046</v>
      </c>
      <c r="F202" s="563">
        <v>1535452038</v>
      </c>
      <c r="G202" s="571" t="s">
        <v>536</v>
      </c>
    </row>
    <row r="203" spans="1:7" ht="114" x14ac:dyDescent="0.25">
      <c r="A203" s="950"/>
      <c r="B203" s="961"/>
      <c r="C203" s="962"/>
      <c r="D203" s="567" t="s">
        <v>373</v>
      </c>
      <c r="E203" s="563">
        <v>204662000</v>
      </c>
      <c r="F203" s="563">
        <v>177533633</v>
      </c>
      <c r="G203" s="565" t="s">
        <v>378</v>
      </c>
    </row>
    <row r="204" spans="1:7" ht="15.75" thickBot="1" x14ac:dyDescent="0.3"/>
    <row r="205" spans="1:7" ht="20.25" x14ac:dyDescent="0.3">
      <c r="A205" s="952" t="s">
        <v>363</v>
      </c>
      <c r="B205" s="952"/>
      <c r="C205" s="952"/>
      <c r="D205" s="952"/>
      <c r="E205" s="952"/>
      <c r="F205" s="952"/>
      <c r="G205" s="952"/>
    </row>
    <row r="206" spans="1:7" ht="39" thickBot="1" x14ac:dyDescent="0.3">
      <c r="A206" s="511" t="s">
        <v>26</v>
      </c>
      <c r="B206" s="553" t="s">
        <v>328</v>
      </c>
      <c r="C206" s="553" t="s">
        <v>329</v>
      </c>
      <c r="D206" s="553" t="s">
        <v>364</v>
      </c>
      <c r="E206" s="553" t="s">
        <v>365</v>
      </c>
      <c r="F206" s="553" t="s">
        <v>366</v>
      </c>
      <c r="G206" s="554" t="s">
        <v>367</v>
      </c>
    </row>
    <row r="207" spans="1:7" x14ac:dyDescent="0.25">
      <c r="A207" s="525" t="s">
        <v>311</v>
      </c>
      <c r="B207" s="526"/>
      <c r="C207" s="526"/>
      <c r="D207" s="526"/>
      <c r="E207" s="526"/>
      <c r="F207" s="526"/>
      <c r="G207" s="527"/>
    </row>
    <row r="208" spans="1:7" hidden="1" x14ac:dyDescent="0.25">
      <c r="A208" s="525" t="s">
        <v>313</v>
      </c>
      <c r="B208" s="526"/>
      <c r="C208" s="526"/>
      <c r="D208" s="526"/>
      <c r="E208" s="526"/>
      <c r="F208" s="526"/>
      <c r="G208" s="527"/>
    </row>
    <row r="209" spans="1:7" hidden="1" x14ac:dyDescent="0.25">
      <c r="A209" s="525" t="s">
        <v>314</v>
      </c>
      <c r="B209" s="526"/>
      <c r="C209" s="526"/>
      <c r="D209" s="526"/>
      <c r="E209" s="526"/>
      <c r="F209" s="526"/>
      <c r="G209" s="527"/>
    </row>
    <row r="210" spans="1:7" hidden="1" x14ac:dyDescent="0.25">
      <c r="A210" s="525" t="s">
        <v>315</v>
      </c>
      <c r="B210" s="526"/>
      <c r="C210" s="526"/>
      <c r="D210" s="526"/>
      <c r="E210" s="526"/>
      <c r="F210" s="526"/>
      <c r="G210" s="527"/>
    </row>
    <row r="211" spans="1:7" hidden="1" x14ac:dyDescent="0.25">
      <c r="A211" s="525" t="s">
        <v>316</v>
      </c>
      <c r="B211" s="526"/>
      <c r="C211" s="526"/>
      <c r="D211" s="526"/>
      <c r="E211" s="526"/>
      <c r="F211" s="526"/>
      <c r="G211" s="527"/>
    </row>
    <row r="212" spans="1:7" hidden="1" x14ac:dyDescent="0.25">
      <c r="A212" s="525" t="s">
        <v>317</v>
      </c>
      <c r="B212" s="526"/>
      <c r="C212" s="526"/>
      <c r="D212" s="526"/>
      <c r="E212" s="526"/>
      <c r="F212" s="526"/>
      <c r="G212" s="527"/>
    </row>
    <row r="213" spans="1:7" hidden="1" x14ac:dyDescent="0.25">
      <c r="A213" s="572" t="s">
        <v>318</v>
      </c>
      <c r="B213" s="573"/>
      <c r="C213" s="573"/>
      <c r="D213" s="573"/>
      <c r="E213" s="573"/>
      <c r="F213" s="573"/>
      <c r="G213" s="574"/>
    </row>
    <row r="214" spans="1:7" hidden="1" x14ac:dyDescent="0.25">
      <c r="A214" s="525" t="s">
        <v>319</v>
      </c>
      <c r="B214" s="526"/>
      <c r="C214" s="526"/>
      <c r="D214" s="526"/>
      <c r="E214" s="526"/>
      <c r="F214" s="526"/>
      <c r="G214" s="527"/>
    </row>
    <row r="215" spans="1:7" hidden="1" x14ac:dyDescent="0.25">
      <c r="A215" s="525" t="s">
        <v>320</v>
      </c>
      <c r="B215" s="526"/>
      <c r="C215" s="526"/>
      <c r="D215" s="526"/>
      <c r="E215" s="526"/>
      <c r="F215" s="526"/>
      <c r="G215" s="527"/>
    </row>
    <row r="216" spans="1:7" hidden="1" x14ac:dyDescent="0.25">
      <c r="A216" s="525" t="s">
        <v>321</v>
      </c>
      <c r="B216" s="526"/>
      <c r="C216" s="526"/>
      <c r="D216" s="526"/>
      <c r="E216" s="526"/>
      <c r="F216" s="526"/>
      <c r="G216" s="527"/>
    </row>
    <row r="217" spans="1:7" hidden="1" x14ac:dyDescent="0.25">
      <c r="A217" s="525" t="s">
        <v>322</v>
      </c>
      <c r="B217" s="526"/>
      <c r="C217" s="526"/>
      <c r="D217" s="526"/>
      <c r="E217" s="526"/>
      <c r="F217" s="526"/>
      <c r="G217" s="527"/>
    </row>
    <row r="218" spans="1:7" ht="15.75" hidden="1" thickBot="1" x14ac:dyDescent="0.3">
      <c r="A218" s="528" t="s">
        <v>323</v>
      </c>
      <c r="B218" s="529"/>
      <c r="C218" s="529"/>
      <c r="D218" s="529"/>
      <c r="E218" s="529"/>
      <c r="F218" s="529"/>
      <c r="G218" s="552"/>
    </row>
    <row r="219" spans="1:7" ht="15.75" thickBot="1" x14ac:dyDescent="0.3">
      <c r="A219" s="575"/>
      <c r="G219" s="576"/>
    </row>
    <row r="220" spans="1:7" ht="20.25" x14ac:dyDescent="0.3">
      <c r="A220" s="952" t="s">
        <v>379</v>
      </c>
      <c r="B220" s="952"/>
      <c r="C220" s="952"/>
      <c r="D220" s="952"/>
      <c r="E220" s="952"/>
      <c r="F220" s="952"/>
      <c r="G220" s="952"/>
    </row>
    <row r="221" spans="1:7" ht="39" thickBot="1" x14ac:dyDescent="0.3">
      <c r="A221" s="511" t="s">
        <v>27</v>
      </c>
      <c r="B221" s="553" t="s">
        <v>328</v>
      </c>
      <c r="C221" s="553" t="s">
        <v>329</v>
      </c>
      <c r="D221" s="553" t="s">
        <v>364</v>
      </c>
      <c r="E221" s="553" t="s">
        <v>380</v>
      </c>
      <c r="F221" s="553" t="s">
        <v>381</v>
      </c>
      <c r="G221" s="554" t="s">
        <v>367</v>
      </c>
    </row>
    <row r="222" spans="1:7" x14ac:dyDescent="0.25">
      <c r="A222" s="525" t="s">
        <v>311</v>
      </c>
      <c r="B222" s="526"/>
      <c r="C222" s="526"/>
      <c r="D222" s="526"/>
      <c r="E222" s="526"/>
      <c r="F222" s="526"/>
      <c r="G222" s="527"/>
    </row>
    <row r="223" spans="1:7" hidden="1" x14ac:dyDescent="0.25">
      <c r="A223" s="525" t="s">
        <v>313</v>
      </c>
      <c r="B223" s="526"/>
      <c r="C223" s="526"/>
      <c r="D223" s="526"/>
      <c r="E223" s="526"/>
      <c r="F223" s="526"/>
      <c r="G223" s="527"/>
    </row>
    <row r="224" spans="1:7" hidden="1" x14ac:dyDescent="0.25">
      <c r="A224" s="525" t="s">
        <v>314</v>
      </c>
      <c r="B224" s="526"/>
      <c r="C224" s="526"/>
      <c r="D224" s="526"/>
      <c r="E224" s="526"/>
      <c r="F224" s="526"/>
      <c r="G224" s="527"/>
    </row>
    <row r="225" spans="1:7" hidden="1" x14ac:dyDescent="0.25">
      <c r="A225" s="525" t="s">
        <v>315</v>
      </c>
      <c r="B225" s="526"/>
      <c r="C225" s="526"/>
      <c r="D225" s="526"/>
      <c r="E225" s="526"/>
      <c r="F225" s="526"/>
      <c r="G225" s="527"/>
    </row>
    <row r="226" spans="1:7" hidden="1" x14ac:dyDescent="0.25">
      <c r="A226" s="525" t="s">
        <v>316</v>
      </c>
      <c r="B226" s="526"/>
      <c r="C226" s="526"/>
      <c r="D226" s="526"/>
      <c r="E226" s="526"/>
      <c r="F226" s="526"/>
      <c r="G226" s="527"/>
    </row>
    <row r="227" spans="1:7" hidden="1" x14ac:dyDescent="0.25">
      <c r="A227" s="525" t="s">
        <v>317</v>
      </c>
      <c r="B227" s="526"/>
      <c r="C227" s="526"/>
      <c r="D227" s="526"/>
      <c r="E227" s="526"/>
      <c r="F227" s="526"/>
      <c r="G227" s="527"/>
    </row>
    <row r="228" spans="1:7" hidden="1" x14ac:dyDescent="0.25">
      <c r="A228" s="572" t="s">
        <v>318</v>
      </c>
      <c r="B228" s="573"/>
      <c r="C228" s="573"/>
      <c r="D228" s="573"/>
      <c r="E228" s="573"/>
      <c r="F228" s="573"/>
      <c r="G228" s="574"/>
    </row>
    <row r="229" spans="1:7" hidden="1" x14ac:dyDescent="0.25">
      <c r="A229" s="525" t="s">
        <v>319</v>
      </c>
      <c r="B229" s="526"/>
      <c r="C229" s="526"/>
      <c r="D229" s="526"/>
      <c r="E229" s="526"/>
      <c r="F229" s="526"/>
      <c r="G229" s="527"/>
    </row>
    <row r="230" spans="1:7" hidden="1" x14ac:dyDescent="0.25">
      <c r="A230" s="525" t="s">
        <v>320</v>
      </c>
      <c r="B230" s="526"/>
      <c r="C230" s="526"/>
      <c r="D230" s="526"/>
      <c r="E230" s="526"/>
      <c r="F230" s="526"/>
      <c r="G230" s="527"/>
    </row>
    <row r="231" spans="1:7" hidden="1" x14ac:dyDescent="0.25">
      <c r="A231" s="525" t="s">
        <v>321</v>
      </c>
      <c r="B231" s="526"/>
      <c r="C231" s="526"/>
      <c r="D231" s="526"/>
      <c r="E231" s="526"/>
      <c r="F231" s="526"/>
      <c r="G231" s="527"/>
    </row>
    <row r="232" spans="1:7" hidden="1" x14ac:dyDescent="0.25">
      <c r="A232" s="525" t="s">
        <v>322</v>
      </c>
      <c r="B232" s="526"/>
      <c r="C232" s="526"/>
      <c r="D232" s="526"/>
      <c r="E232" s="526"/>
      <c r="F232" s="526"/>
      <c r="G232" s="527"/>
    </row>
    <row r="233" spans="1:7" ht="15.75" hidden="1" thickBot="1" x14ac:dyDescent="0.3">
      <c r="A233" s="528" t="s">
        <v>323</v>
      </c>
      <c r="B233" s="529"/>
      <c r="C233" s="529"/>
      <c r="D233" s="529"/>
      <c r="E233" s="529"/>
      <c r="F233" s="529"/>
      <c r="G233" s="552"/>
    </row>
    <row r="234" spans="1:7" ht="15.75" thickBot="1" x14ac:dyDescent="0.3">
      <c r="A234" s="575"/>
      <c r="G234" s="576"/>
    </row>
    <row r="235" spans="1:7" ht="20.25" x14ac:dyDescent="0.3">
      <c r="A235" s="952" t="s">
        <v>382</v>
      </c>
      <c r="B235" s="952"/>
      <c r="C235" s="952"/>
      <c r="D235" s="952"/>
      <c r="E235" s="952"/>
      <c r="F235" s="952"/>
      <c r="G235" s="952"/>
    </row>
    <row r="236" spans="1:7" ht="39" thickBot="1" x14ac:dyDescent="0.3">
      <c r="A236" s="511" t="s">
        <v>28</v>
      </c>
      <c r="B236" s="553" t="s">
        <v>328</v>
      </c>
      <c r="C236" s="553" t="s">
        <v>329</v>
      </c>
      <c r="D236" s="553" t="s">
        <v>364</v>
      </c>
      <c r="E236" s="553" t="s">
        <v>383</v>
      </c>
      <c r="F236" s="553" t="s">
        <v>384</v>
      </c>
      <c r="G236" s="554" t="s">
        <v>367</v>
      </c>
    </row>
    <row r="237" spans="1:7" x14ac:dyDescent="0.25">
      <c r="A237" s="525" t="s">
        <v>311</v>
      </c>
      <c r="B237" s="526"/>
      <c r="C237" s="526"/>
      <c r="D237" s="526"/>
      <c r="E237" s="526"/>
      <c r="F237" s="526"/>
      <c r="G237" s="527"/>
    </row>
    <row r="238" spans="1:7" hidden="1" x14ac:dyDescent="0.25">
      <c r="A238" s="525" t="s">
        <v>313</v>
      </c>
      <c r="B238" s="526"/>
      <c r="C238" s="526"/>
      <c r="D238" s="526"/>
      <c r="E238" s="526"/>
      <c r="F238" s="526"/>
      <c r="G238" s="527"/>
    </row>
    <row r="239" spans="1:7" hidden="1" x14ac:dyDescent="0.25">
      <c r="A239" s="525" t="s">
        <v>314</v>
      </c>
      <c r="B239" s="526"/>
      <c r="C239" s="526"/>
      <c r="D239" s="526"/>
      <c r="E239" s="526"/>
      <c r="F239" s="526"/>
      <c r="G239" s="527"/>
    </row>
    <row r="240" spans="1:7" hidden="1" x14ac:dyDescent="0.25">
      <c r="A240" s="525" t="s">
        <v>315</v>
      </c>
      <c r="B240" s="526"/>
      <c r="C240" s="526"/>
      <c r="D240" s="526"/>
      <c r="E240" s="526"/>
      <c r="F240" s="526"/>
      <c r="G240" s="527"/>
    </row>
    <row r="241" spans="1:7" hidden="1" x14ac:dyDescent="0.25">
      <c r="A241" s="525" t="s">
        <v>316</v>
      </c>
      <c r="B241" s="526"/>
      <c r="C241" s="526"/>
      <c r="D241" s="526"/>
      <c r="E241" s="526"/>
      <c r="F241" s="526"/>
      <c r="G241" s="527"/>
    </row>
    <row r="242" spans="1:7" hidden="1" x14ac:dyDescent="0.25">
      <c r="A242" s="525" t="s">
        <v>317</v>
      </c>
      <c r="B242" s="526"/>
      <c r="C242" s="526"/>
      <c r="D242" s="526"/>
      <c r="E242" s="526"/>
      <c r="F242" s="526"/>
      <c r="G242" s="527"/>
    </row>
    <row r="243" spans="1:7" hidden="1" x14ac:dyDescent="0.25">
      <c r="A243" s="572" t="s">
        <v>318</v>
      </c>
      <c r="B243" s="573"/>
      <c r="C243" s="573"/>
      <c r="D243" s="573"/>
      <c r="E243" s="573"/>
      <c r="F243" s="573"/>
      <c r="G243" s="574"/>
    </row>
    <row r="244" spans="1:7" hidden="1" x14ac:dyDescent="0.25">
      <c r="A244" s="525" t="s">
        <v>319</v>
      </c>
      <c r="B244" s="526"/>
      <c r="C244" s="526"/>
      <c r="D244" s="526"/>
      <c r="E244" s="526"/>
      <c r="F244" s="526"/>
      <c r="G244" s="527"/>
    </row>
    <row r="245" spans="1:7" hidden="1" x14ac:dyDescent="0.25">
      <c r="A245" s="525" t="s">
        <v>320</v>
      </c>
      <c r="B245" s="526"/>
      <c r="C245" s="526"/>
      <c r="D245" s="526"/>
      <c r="E245" s="526"/>
      <c r="F245" s="526"/>
      <c r="G245" s="527"/>
    </row>
    <row r="246" spans="1:7" hidden="1" x14ac:dyDescent="0.25">
      <c r="A246" s="525" t="s">
        <v>321</v>
      </c>
      <c r="B246" s="526"/>
      <c r="C246" s="526"/>
      <c r="D246" s="526"/>
      <c r="E246" s="526"/>
      <c r="F246" s="526"/>
      <c r="G246" s="527"/>
    </row>
    <row r="247" spans="1:7" hidden="1" x14ac:dyDescent="0.25">
      <c r="A247" s="525" t="s">
        <v>322</v>
      </c>
      <c r="B247" s="526"/>
      <c r="C247" s="526"/>
      <c r="D247" s="526"/>
      <c r="E247" s="526"/>
      <c r="F247" s="526"/>
      <c r="G247" s="527"/>
    </row>
    <row r="248" spans="1:7" ht="15.75" hidden="1" thickBot="1" x14ac:dyDescent="0.3">
      <c r="A248" s="528" t="s">
        <v>323</v>
      </c>
      <c r="B248" s="529"/>
      <c r="C248" s="529"/>
      <c r="D248" s="529"/>
      <c r="E248" s="529"/>
      <c r="F248" s="529"/>
      <c r="G248" s="552"/>
    </row>
    <row r="249" spans="1:7" ht="15.75" thickBot="1" x14ac:dyDescent="0.3">
      <c r="A249" s="575"/>
      <c r="G249" s="576"/>
    </row>
    <row r="250" spans="1:7" ht="20.25" x14ac:dyDescent="0.3">
      <c r="A250" s="952" t="s">
        <v>385</v>
      </c>
      <c r="B250" s="952"/>
      <c r="C250" s="952"/>
      <c r="D250" s="952"/>
      <c r="E250" s="952"/>
      <c r="F250" s="952"/>
      <c r="G250" s="952"/>
    </row>
    <row r="251" spans="1:7" ht="39" thickBot="1" x14ac:dyDescent="0.3">
      <c r="A251" s="511" t="s">
        <v>29</v>
      </c>
      <c r="B251" s="553" t="s">
        <v>328</v>
      </c>
      <c r="C251" s="553" t="s">
        <v>329</v>
      </c>
      <c r="D251" s="553" t="s">
        <v>364</v>
      </c>
      <c r="E251" s="553" t="s">
        <v>386</v>
      </c>
      <c r="F251" s="553" t="s">
        <v>387</v>
      </c>
      <c r="G251" s="554" t="s">
        <v>367</v>
      </c>
    </row>
    <row r="252" spans="1:7" x14ac:dyDescent="0.25">
      <c r="A252" s="525" t="s">
        <v>311</v>
      </c>
      <c r="B252" s="526"/>
      <c r="C252" s="526"/>
      <c r="D252" s="526"/>
      <c r="E252" s="526"/>
      <c r="F252" s="526"/>
      <c r="G252" s="527"/>
    </row>
    <row r="253" spans="1:7" x14ac:dyDescent="0.25">
      <c r="A253" s="525" t="s">
        <v>313</v>
      </c>
      <c r="B253" s="526"/>
      <c r="C253" s="526"/>
      <c r="D253" s="526"/>
      <c r="E253" s="526"/>
      <c r="F253" s="526"/>
      <c r="G253" s="527"/>
    </row>
    <row r="254" spans="1:7" x14ac:dyDescent="0.25">
      <c r="A254" s="525" t="s">
        <v>314</v>
      </c>
      <c r="B254" s="526"/>
      <c r="C254" s="526"/>
      <c r="D254" s="526"/>
      <c r="E254" s="526"/>
      <c r="F254" s="526"/>
      <c r="G254" s="527"/>
    </row>
    <row r="255" spans="1:7" x14ac:dyDescent="0.25">
      <c r="A255" s="525" t="s">
        <v>315</v>
      </c>
      <c r="B255" s="526"/>
      <c r="C255" s="526"/>
      <c r="D255" s="526"/>
      <c r="E255" s="526"/>
      <c r="F255" s="526"/>
      <c r="G255" s="527"/>
    </row>
    <row r="256" spans="1:7" x14ac:dyDescent="0.25">
      <c r="A256" s="525" t="s">
        <v>316</v>
      </c>
      <c r="B256" s="526"/>
      <c r="C256" s="526"/>
      <c r="D256" s="526"/>
      <c r="E256" s="526"/>
      <c r="F256" s="526"/>
      <c r="G256" s="527"/>
    </row>
    <row r="257" spans="1:8" x14ac:dyDescent="0.25">
      <c r="A257" s="525" t="s">
        <v>317</v>
      </c>
      <c r="B257" s="526"/>
      <c r="C257" s="526"/>
      <c r="D257" s="526"/>
      <c r="E257" s="526"/>
      <c r="F257" s="526"/>
      <c r="G257" s="527"/>
    </row>
    <row r="258" spans="1:8" x14ac:dyDescent="0.25">
      <c r="A258" s="572" t="s">
        <v>318</v>
      </c>
      <c r="B258" s="573"/>
      <c r="C258" s="573"/>
      <c r="D258" s="573"/>
      <c r="E258" s="573"/>
      <c r="F258" s="573"/>
      <c r="G258" s="574"/>
    </row>
    <row r="259" spans="1:8" x14ac:dyDescent="0.25">
      <c r="A259" s="525" t="s">
        <v>319</v>
      </c>
      <c r="B259" s="526"/>
      <c r="C259" s="526"/>
      <c r="D259" s="526"/>
      <c r="E259" s="526"/>
      <c r="F259" s="526"/>
      <c r="G259" s="527"/>
    </row>
    <row r="260" spans="1:8" x14ac:dyDescent="0.25">
      <c r="A260" s="525" t="s">
        <v>320</v>
      </c>
      <c r="B260" s="526"/>
      <c r="C260" s="526"/>
      <c r="D260" s="526"/>
      <c r="E260" s="526"/>
      <c r="F260" s="526"/>
      <c r="G260" s="527"/>
    </row>
    <row r="261" spans="1:8" x14ac:dyDescent="0.25">
      <c r="A261" s="525" t="s">
        <v>321</v>
      </c>
      <c r="B261" s="526"/>
      <c r="C261" s="526"/>
      <c r="D261" s="526"/>
      <c r="E261" s="526"/>
      <c r="F261" s="526"/>
      <c r="G261" s="527"/>
    </row>
    <row r="262" spans="1:8" x14ac:dyDescent="0.25">
      <c r="A262" s="525" t="s">
        <v>322</v>
      </c>
      <c r="B262" s="526"/>
      <c r="C262" s="526"/>
      <c r="D262" s="526"/>
      <c r="E262" s="526"/>
      <c r="F262" s="526"/>
      <c r="G262" s="527"/>
    </row>
    <row r="263" spans="1:8" ht="15.75" thickBot="1" x14ac:dyDescent="0.3">
      <c r="A263" s="528" t="s">
        <v>323</v>
      </c>
      <c r="B263" s="529"/>
      <c r="C263" s="529"/>
      <c r="D263" s="529"/>
      <c r="E263" s="529"/>
      <c r="F263" s="529"/>
      <c r="G263" s="552"/>
    </row>
    <row r="264" spans="1:8" ht="15.75" thickBot="1" x14ac:dyDescent="0.3"/>
    <row r="265" spans="1:8" ht="20.25" x14ac:dyDescent="0.3">
      <c r="A265" s="952" t="s">
        <v>388</v>
      </c>
      <c r="B265" s="952"/>
      <c r="C265" s="952"/>
      <c r="D265" s="952"/>
      <c r="E265" s="952"/>
      <c r="F265" s="952"/>
      <c r="G265" s="952"/>
      <c r="H265" s="952"/>
    </row>
    <row r="266" spans="1:8" ht="30" x14ac:dyDescent="0.25">
      <c r="A266" s="511" t="s">
        <v>26</v>
      </c>
      <c r="B266" s="512" t="s">
        <v>389</v>
      </c>
      <c r="C266" s="577" t="s">
        <v>331</v>
      </c>
      <c r="D266" s="577" t="s">
        <v>332</v>
      </c>
      <c r="E266" s="577" t="s">
        <v>390</v>
      </c>
      <c r="F266" s="577" t="s">
        <v>391</v>
      </c>
      <c r="G266" s="577" t="s">
        <v>392</v>
      </c>
      <c r="H266" s="513" t="s">
        <v>367</v>
      </c>
    </row>
    <row r="267" spans="1:8" ht="29.25" x14ac:dyDescent="0.25">
      <c r="A267" s="578" t="s">
        <v>311</v>
      </c>
      <c r="B267" s="579" t="s">
        <v>393</v>
      </c>
      <c r="C267" s="579" t="s">
        <v>94</v>
      </c>
      <c r="D267" s="564">
        <v>100</v>
      </c>
      <c r="E267" s="564">
        <v>30</v>
      </c>
      <c r="F267" s="564">
        <v>26.95</v>
      </c>
      <c r="G267" s="580">
        <f>F267/E267</f>
        <v>0.89833333333333332</v>
      </c>
      <c r="H267" s="570" t="s">
        <v>394</v>
      </c>
    </row>
    <row r="268" spans="1:8" ht="28.5" x14ac:dyDescent="0.25">
      <c r="A268" s="581" t="s">
        <v>313</v>
      </c>
      <c r="B268" s="579" t="s">
        <v>393</v>
      </c>
      <c r="C268" s="579" t="s">
        <v>94</v>
      </c>
      <c r="D268" s="582">
        <v>100</v>
      </c>
      <c r="E268" s="564">
        <v>30</v>
      </c>
      <c r="F268" s="582">
        <v>26.95</v>
      </c>
      <c r="G268" s="580">
        <v>0.89833333333333332</v>
      </c>
      <c r="H268" s="565" t="s">
        <v>394</v>
      </c>
    </row>
    <row r="269" spans="1:8" ht="28.5" x14ac:dyDescent="0.25">
      <c r="A269" s="581" t="s">
        <v>314</v>
      </c>
      <c r="B269" s="579" t="s">
        <v>393</v>
      </c>
      <c r="C269" s="579" t="s">
        <v>94</v>
      </c>
      <c r="D269" s="582">
        <v>100</v>
      </c>
      <c r="E269" s="564">
        <v>30</v>
      </c>
      <c r="F269" s="582">
        <v>26.95</v>
      </c>
      <c r="G269" s="580">
        <v>0.89833333333333332</v>
      </c>
      <c r="H269" s="565" t="s">
        <v>394</v>
      </c>
    </row>
    <row r="270" spans="1:8" ht="28.5" x14ac:dyDescent="0.25">
      <c r="A270" s="583" t="s">
        <v>315</v>
      </c>
      <c r="B270" s="579" t="s">
        <v>393</v>
      </c>
      <c r="C270" s="579" t="s">
        <v>94</v>
      </c>
      <c r="D270" s="582">
        <v>100</v>
      </c>
      <c r="E270" s="564">
        <v>30</v>
      </c>
      <c r="F270" s="582">
        <v>26.95</v>
      </c>
      <c r="G270" s="580">
        <v>0.89833333333333332</v>
      </c>
      <c r="H270" s="565" t="s">
        <v>394</v>
      </c>
    </row>
    <row r="271" spans="1:8" ht="29.25" x14ac:dyDescent="0.25">
      <c r="A271" s="581" t="s">
        <v>316</v>
      </c>
      <c r="B271" s="579" t="s">
        <v>393</v>
      </c>
      <c r="C271" s="579" t="s">
        <v>94</v>
      </c>
      <c r="D271" s="582">
        <v>100</v>
      </c>
      <c r="E271" s="564">
        <v>30</v>
      </c>
      <c r="F271" s="582">
        <v>26.95</v>
      </c>
      <c r="G271" s="592">
        <v>0.89833333333333332</v>
      </c>
      <c r="H271" s="570" t="s">
        <v>394</v>
      </c>
    </row>
    <row r="272" spans="1:8" ht="29.25" x14ac:dyDescent="0.25">
      <c r="A272" s="581" t="s">
        <v>317</v>
      </c>
      <c r="B272" s="579" t="s">
        <v>393</v>
      </c>
      <c r="C272" s="579" t="s">
        <v>94</v>
      </c>
      <c r="D272" s="582">
        <v>100</v>
      </c>
      <c r="E272" s="564">
        <v>30</v>
      </c>
      <c r="F272" s="582">
        <v>26.95</v>
      </c>
      <c r="G272" s="580">
        <v>0.89833333333333332</v>
      </c>
      <c r="H272" s="570" t="s">
        <v>394</v>
      </c>
    </row>
    <row r="273" spans="1:8" ht="29.25" x14ac:dyDescent="0.25">
      <c r="A273" s="578" t="s">
        <v>318</v>
      </c>
      <c r="B273" s="579" t="s">
        <v>393</v>
      </c>
      <c r="C273" s="579" t="s">
        <v>94</v>
      </c>
      <c r="D273" s="564">
        <v>100</v>
      </c>
      <c r="E273" s="564">
        <v>30</v>
      </c>
      <c r="F273" s="582">
        <v>26.95</v>
      </c>
      <c r="G273" s="580">
        <v>0.89833333333333332</v>
      </c>
      <c r="H273" s="570" t="s">
        <v>394</v>
      </c>
    </row>
    <row r="274" spans="1:8" ht="29.25" x14ac:dyDescent="0.25">
      <c r="A274" s="581" t="s">
        <v>319</v>
      </c>
      <c r="B274" s="579" t="s">
        <v>393</v>
      </c>
      <c r="C274" s="579" t="s">
        <v>94</v>
      </c>
      <c r="D274" s="582">
        <v>100</v>
      </c>
      <c r="E274" s="564">
        <v>30</v>
      </c>
      <c r="F274" s="582">
        <v>26.95</v>
      </c>
      <c r="G274" s="580">
        <v>0.89833333333333332</v>
      </c>
      <c r="H274" s="570" t="s">
        <v>394</v>
      </c>
    </row>
    <row r="275" spans="1:8" ht="29.25" x14ac:dyDescent="0.25">
      <c r="A275" s="581" t="s">
        <v>320</v>
      </c>
      <c r="B275" s="579" t="s">
        <v>393</v>
      </c>
      <c r="C275" s="579" t="s">
        <v>94</v>
      </c>
      <c r="D275" s="582">
        <v>100</v>
      </c>
      <c r="E275" s="564">
        <v>30</v>
      </c>
      <c r="F275" s="582">
        <v>26.95</v>
      </c>
      <c r="G275" s="580">
        <v>0.89833333333333332</v>
      </c>
      <c r="H275" s="570" t="s">
        <v>394</v>
      </c>
    </row>
    <row r="276" spans="1:8" ht="29.25" x14ac:dyDescent="0.25">
      <c r="A276" s="583" t="s">
        <v>321</v>
      </c>
      <c r="B276" s="579" t="s">
        <v>393</v>
      </c>
      <c r="C276" s="579" t="s">
        <v>94</v>
      </c>
      <c r="D276" s="582">
        <v>100</v>
      </c>
      <c r="E276" s="564">
        <v>30</v>
      </c>
      <c r="F276" s="582">
        <v>26.95</v>
      </c>
      <c r="G276" s="580">
        <v>0.89833333333333332</v>
      </c>
      <c r="H276" s="570" t="s">
        <v>394</v>
      </c>
    </row>
    <row r="277" spans="1:8" ht="29.25" x14ac:dyDescent="0.25">
      <c r="A277" s="581" t="s">
        <v>322</v>
      </c>
      <c r="B277" s="579" t="s">
        <v>393</v>
      </c>
      <c r="C277" s="579" t="s">
        <v>94</v>
      </c>
      <c r="D277" s="582">
        <v>100</v>
      </c>
      <c r="E277" s="564">
        <v>30</v>
      </c>
      <c r="F277" s="582">
        <v>26.95</v>
      </c>
      <c r="G277" s="580">
        <v>0.89833333333333332</v>
      </c>
      <c r="H277" s="570" t="s">
        <v>394</v>
      </c>
    </row>
    <row r="278" spans="1:8" ht="72.75" thickBot="1" x14ac:dyDescent="0.3">
      <c r="A278" s="584" t="s">
        <v>323</v>
      </c>
      <c r="B278" s="585" t="s">
        <v>393</v>
      </c>
      <c r="C278" s="585" t="s">
        <v>94</v>
      </c>
      <c r="D278" s="586">
        <v>100</v>
      </c>
      <c r="E278" s="586">
        <v>30</v>
      </c>
      <c r="F278" s="582">
        <v>26.95</v>
      </c>
      <c r="G278" s="580">
        <v>0.89833333333333332</v>
      </c>
      <c r="H278" s="570" t="s">
        <v>720</v>
      </c>
    </row>
    <row r="279" spans="1:8" ht="15.75" thickBot="1" x14ac:dyDescent="0.3"/>
    <row r="280" spans="1:8" ht="20.25" x14ac:dyDescent="0.3">
      <c r="A280" s="952" t="s">
        <v>388</v>
      </c>
      <c r="B280" s="952"/>
      <c r="C280" s="952"/>
      <c r="D280" s="952"/>
      <c r="E280" s="952"/>
      <c r="F280" s="952"/>
      <c r="G280" s="952"/>
      <c r="H280" s="952"/>
    </row>
    <row r="281" spans="1:8" ht="30" x14ac:dyDescent="0.25">
      <c r="A281" s="511" t="s">
        <v>26</v>
      </c>
      <c r="B281" s="512" t="s">
        <v>389</v>
      </c>
      <c r="C281" s="577" t="s">
        <v>331</v>
      </c>
      <c r="D281" s="577" t="s">
        <v>332</v>
      </c>
      <c r="E281" s="577" t="s">
        <v>390</v>
      </c>
      <c r="F281" s="577" t="s">
        <v>391</v>
      </c>
      <c r="G281" s="577" t="s">
        <v>392</v>
      </c>
      <c r="H281" s="513" t="s">
        <v>367</v>
      </c>
    </row>
    <row r="282" spans="1:8" x14ac:dyDescent="0.25">
      <c r="A282" s="525" t="s">
        <v>311</v>
      </c>
      <c r="B282" s="526"/>
      <c r="C282" s="526"/>
      <c r="D282" s="526"/>
      <c r="E282" s="526"/>
      <c r="F282" s="526"/>
      <c r="G282" s="526" t="e">
        <f t="shared" ref="G282:G293" si="11">F282/E282</f>
        <v>#DIV/0!</v>
      </c>
      <c r="H282" s="527"/>
    </row>
    <row r="283" spans="1:8" x14ac:dyDescent="0.25">
      <c r="A283" s="525" t="s">
        <v>313</v>
      </c>
      <c r="B283" s="526"/>
      <c r="C283" s="526"/>
      <c r="D283" s="526"/>
      <c r="E283" s="526"/>
      <c r="F283" s="526"/>
      <c r="G283" s="526" t="e">
        <f t="shared" si="11"/>
        <v>#DIV/0!</v>
      </c>
      <c r="H283" s="527"/>
    </row>
    <row r="284" spans="1:8" x14ac:dyDescent="0.25">
      <c r="A284" s="525" t="s">
        <v>314</v>
      </c>
      <c r="B284" s="526"/>
      <c r="C284" s="526"/>
      <c r="D284" s="526"/>
      <c r="E284" s="526"/>
      <c r="F284" s="526"/>
      <c r="G284" s="526" t="e">
        <f t="shared" si="11"/>
        <v>#DIV/0!</v>
      </c>
      <c r="H284" s="527"/>
    </row>
    <row r="285" spans="1:8" x14ac:dyDescent="0.25">
      <c r="A285" s="525" t="s">
        <v>315</v>
      </c>
      <c r="B285" s="526"/>
      <c r="C285" s="526"/>
      <c r="D285" s="526"/>
      <c r="E285" s="526"/>
      <c r="F285" s="526"/>
      <c r="G285" s="526" t="e">
        <f t="shared" si="11"/>
        <v>#DIV/0!</v>
      </c>
      <c r="H285" s="527"/>
    </row>
    <row r="286" spans="1:8" x14ac:dyDescent="0.25">
      <c r="A286" s="525" t="s">
        <v>316</v>
      </c>
      <c r="B286" s="526"/>
      <c r="C286" s="526"/>
      <c r="D286" s="526"/>
      <c r="E286" s="526"/>
      <c r="F286" s="526"/>
      <c r="G286" s="526" t="e">
        <f t="shared" si="11"/>
        <v>#DIV/0!</v>
      </c>
      <c r="H286" s="527"/>
    </row>
    <row r="287" spans="1:8" x14ac:dyDescent="0.25">
      <c r="A287" s="525" t="s">
        <v>317</v>
      </c>
      <c r="B287" s="526"/>
      <c r="C287" s="526"/>
      <c r="D287" s="526"/>
      <c r="E287" s="526"/>
      <c r="F287" s="526"/>
      <c r="G287" s="526" t="e">
        <f t="shared" si="11"/>
        <v>#DIV/0!</v>
      </c>
      <c r="H287" s="527"/>
    </row>
    <row r="288" spans="1:8" x14ac:dyDescent="0.25">
      <c r="A288" s="525" t="s">
        <v>318</v>
      </c>
      <c r="B288" s="526"/>
      <c r="C288" s="526"/>
      <c r="D288" s="526"/>
      <c r="E288" s="526"/>
      <c r="F288" s="526"/>
      <c r="G288" s="526" t="e">
        <f t="shared" si="11"/>
        <v>#DIV/0!</v>
      </c>
      <c r="H288" s="527"/>
    </row>
    <row r="289" spans="1:8" x14ac:dyDescent="0.25">
      <c r="A289" s="525" t="s">
        <v>319</v>
      </c>
      <c r="B289" s="526"/>
      <c r="C289" s="526"/>
      <c r="D289" s="526"/>
      <c r="E289" s="526"/>
      <c r="F289" s="526"/>
      <c r="G289" s="526" t="e">
        <f t="shared" si="11"/>
        <v>#DIV/0!</v>
      </c>
      <c r="H289" s="527"/>
    </row>
    <row r="290" spans="1:8" x14ac:dyDescent="0.25">
      <c r="A290" s="525" t="s">
        <v>320</v>
      </c>
      <c r="B290" s="526"/>
      <c r="C290" s="526"/>
      <c r="D290" s="526"/>
      <c r="E290" s="526"/>
      <c r="F290" s="526"/>
      <c r="G290" s="526" t="e">
        <f t="shared" si="11"/>
        <v>#DIV/0!</v>
      </c>
      <c r="H290" s="527"/>
    </row>
    <row r="291" spans="1:8" x14ac:dyDescent="0.25">
      <c r="A291" s="525" t="s">
        <v>321</v>
      </c>
      <c r="B291" s="526"/>
      <c r="C291" s="526"/>
      <c r="D291" s="526"/>
      <c r="E291" s="526"/>
      <c r="F291" s="526"/>
      <c r="G291" s="526" t="e">
        <f t="shared" si="11"/>
        <v>#DIV/0!</v>
      </c>
      <c r="H291" s="527"/>
    </row>
    <row r="292" spans="1:8" x14ac:dyDescent="0.25">
      <c r="A292" s="525" t="s">
        <v>322</v>
      </c>
      <c r="B292" s="526"/>
      <c r="C292" s="526"/>
      <c r="D292" s="526"/>
      <c r="E292" s="526"/>
      <c r="F292" s="526"/>
      <c r="G292" s="526" t="e">
        <f t="shared" si="11"/>
        <v>#DIV/0!</v>
      </c>
      <c r="H292" s="527"/>
    </row>
    <row r="293" spans="1:8" ht="15.75" thickBot="1" x14ac:dyDescent="0.3">
      <c r="A293" s="528" t="s">
        <v>323</v>
      </c>
      <c r="B293" s="529"/>
      <c r="C293" s="529"/>
      <c r="D293" s="529"/>
      <c r="E293" s="529"/>
      <c r="F293" s="529"/>
      <c r="G293" s="529" t="e">
        <f t="shared" si="11"/>
        <v>#DIV/0!</v>
      </c>
      <c r="H293" s="552"/>
    </row>
    <row r="294" spans="1:8" ht="15.75" thickBot="1" x14ac:dyDescent="0.3"/>
    <row r="295" spans="1:8" ht="20.25" x14ac:dyDescent="0.3">
      <c r="A295" s="952" t="s">
        <v>395</v>
      </c>
      <c r="B295" s="952"/>
      <c r="C295" s="952"/>
      <c r="D295" s="952"/>
      <c r="E295" s="952"/>
      <c r="F295" s="952"/>
      <c r="G295" s="952"/>
      <c r="H295" s="952"/>
    </row>
    <row r="296" spans="1:8" ht="30" x14ac:dyDescent="0.25">
      <c r="A296" s="511" t="s">
        <v>27</v>
      </c>
      <c r="B296" s="512" t="s">
        <v>389</v>
      </c>
      <c r="C296" s="577" t="s">
        <v>331</v>
      </c>
      <c r="D296" s="577" t="s">
        <v>349</v>
      </c>
      <c r="E296" s="577" t="s">
        <v>396</v>
      </c>
      <c r="F296" s="577" t="s">
        <v>397</v>
      </c>
      <c r="G296" s="577" t="s">
        <v>398</v>
      </c>
      <c r="H296" s="513" t="s">
        <v>367</v>
      </c>
    </row>
    <row r="297" spans="1:8" x14ac:dyDescent="0.25">
      <c r="A297" s="525" t="s">
        <v>311</v>
      </c>
      <c r="B297" s="526"/>
      <c r="C297" s="526"/>
      <c r="D297" s="526"/>
      <c r="E297" s="526"/>
      <c r="F297" s="526"/>
      <c r="G297" s="526" t="e">
        <f t="shared" ref="G297:G308" si="12">F297/E297</f>
        <v>#DIV/0!</v>
      </c>
      <c r="H297" s="527"/>
    </row>
    <row r="298" spans="1:8" x14ac:dyDescent="0.25">
      <c r="A298" s="525" t="s">
        <v>313</v>
      </c>
      <c r="B298" s="526"/>
      <c r="C298" s="526"/>
      <c r="D298" s="526"/>
      <c r="E298" s="526"/>
      <c r="F298" s="526"/>
      <c r="G298" s="526" t="e">
        <f t="shared" si="12"/>
        <v>#DIV/0!</v>
      </c>
      <c r="H298" s="527"/>
    </row>
    <row r="299" spans="1:8" x14ac:dyDescent="0.25">
      <c r="A299" s="525" t="s">
        <v>314</v>
      </c>
      <c r="B299" s="526"/>
      <c r="C299" s="526"/>
      <c r="D299" s="526"/>
      <c r="E299" s="526"/>
      <c r="F299" s="526"/>
      <c r="G299" s="526" t="e">
        <f t="shared" si="12"/>
        <v>#DIV/0!</v>
      </c>
      <c r="H299" s="527"/>
    </row>
    <row r="300" spans="1:8" x14ac:dyDescent="0.25">
      <c r="A300" s="525" t="s">
        <v>315</v>
      </c>
      <c r="B300" s="526"/>
      <c r="C300" s="526"/>
      <c r="D300" s="526"/>
      <c r="E300" s="526"/>
      <c r="F300" s="526"/>
      <c r="G300" s="526" t="e">
        <f t="shared" si="12"/>
        <v>#DIV/0!</v>
      </c>
      <c r="H300" s="527"/>
    </row>
    <row r="301" spans="1:8" x14ac:dyDescent="0.25">
      <c r="A301" s="525" t="s">
        <v>316</v>
      </c>
      <c r="B301" s="526"/>
      <c r="C301" s="526"/>
      <c r="D301" s="526"/>
      <c r="E301" s="526"/>
      <c r="F301" s="526"/>
      <c r="G301" s="526" t="e">
        <f t="shared" si="12"/>
        <v>#DIV/0!</v>
      </c>
      <c r="H301" s="527"/>
    </row>
    <row r="302" spans="1:8" x14ac:dyDescent="0.25">
      <c r="A302" s="525" t="s">
        <v>317</v>
      </c>
      <c r="B302" s="526"/>
      <c r="C302" s="526"/>
      <c r="D302" s="526"/>
      <c r="E302" s="526"/>
      <c r="F302" s="526"/>
      <c r="G302" s="526" t="e">
        <f t="shared" si="12"/>
        <v>#DIV/0!</v>
      </c>
      <c r="H302" s="527"/>
    </row>
    <row r="303" spans="1:8" x14ac:dyDescent="0.25">
      <c r="A303" s="525" t="s">
        <v>318</v>
      </c>
      <c r="B303" s="526"/>
      <c r="C303" s="526"/>
      <c r="D303" s="526"/>
      <c r="E303" s="526"/>
      <c r="F303" s="526"/>
      <c r="G303" s="526" t="e">
        <f t="shared" si="12"/>
        <v>#DIV/0!</v>
      </c>
      <c r="H303" s="527"/>
    </row>
    <row r="304" spans="1:8" x14ac:dyDescent="0.25">
      <c r="A304" s="525" t="s">
        <v>319</v>
      </c>
      <c r="B304" s="526"/>
      <c r="C304" s="526"/>
      <c r="D304" s="526"/>
      <c r="E304" s="526"/>
      <c r="F304" s="526"/>
      <c r="G304" s="526" t="e">
        <f t="shared" si="12"/>
        <v>#DIV/0!</v>
      </c>
      <c r="H304" s="527"/>
    </row>
    <row r="305" spans="1:8" x14ac:dyDescent="0.25">
      <c r="A305" s="525" t="s">
        <v>320</v>
      </c>
      <c r="B305" s="526"/>
      <c r="C305" s="526"/>
      <c r="D305" s="526"/>
      <c r="E305" s="526"/>
      <c r="F305" s="526"/>
      <c r="G305" s="526" t="e">
        <f t="shared" si="12"/>
        <v>#DIV/0!</v>
      </c>
      <c r="H305" s="527"/>
    </row>
    <row r="306" spans="1:8" x14ac:dyDescent="0.25">
      <c r="A306" s="525" t="s">
        <v>321</v>
      </c>
      <c r="B306" s="526"/>
      <c r="C306" s="526"/>
      <c r="D306" s="526"/>
      <c r="E306" s="526"/>
      <c r="F306" s="526"/>
      <c r="G306" s="526" t="e">
        <f t="shared" si="12"/>
        <v>#DIV/0!</v>
      </c>
      <c r="H306" s="527"/>
    </row>
    <row r="307" spans="1:8" x14ac:dyDescent="0.25">
      <c r="A307" s="525" t="s">
        <v>322</v>
      </c>
      <c r="B307" s="526"/>
      <c r="C307" s="526"/>
      <c r="D307" s="526"/>
      <c r="E307" s="526"/>
      <c r="F307" s="526"/>
      <c r="G307" s="526" t="e">
        <f t="shared" si="12"/>
        <v>#DIV/0!</v>
      </c>
      <c r="H307" s="527"/>
    </row>
    <row r="308" spans="1:8" ht="15.75" thickBot="1" x14ac:dyDescent="0.3">
      <c r="A308" s="528" t="s">
        <v>323</v>
      </c>
      <c r="B308" s="529"/>
      <c r="C308" s="529"/>
      <c r="D308" s="529"/>
      <c r="E308" s="529"/>
      <c r="F308" s="529"/>
      <c r="G308" s="529" t="e">
        <f t="shared" si="12"/>
        <v>#DIV/0!</v>
      </c>
      <c r="H308" s="552"/>
    </row>
    <row r="309" spans="1:8" ht="15.75" thickBot="1" x14ac:dyDescent="0.3"/>
    <row r="310" spans="1:8" ht="20.25" x14ac:dyDescent="0.3">
      <c r="A310" s="952" t="s">
        <v>399</v>
      </c>
      <c r="B310" s="952"/>
      <c r="C310" s="952"/>
      <c r="D310" s="952"/>
      <c r="E310" s="952"/>
      <c r="F310" s="952"/>
      <c r="G310" s="952"/>
      <c r="H310" s="952"/>
    </row>
    <row r="311" spans="1:8" ht="30" x14ac:dyDescent="0.25">
      <c r="A311" s="511" t="s">
        <v>28</v>
      </c>
      <c r="B311" s="512" t="s">
        <v>389</v>
      </c>
      <c r="C311" s="577" t="s">
        <v>331</v>
      </c>
      <c r="D311" s="577" t="s">
        <v>354</v>
      </c>
      <c r="E311" s="577" t="s">
        <v>400</v>
      </c>
      <c r="F311" s="577" t="s">
        <v>401</v>
      </c>
      <c r="G311" s="577" t="s">
        <v>402</v>
      </c>
      <c r="H311" s="513" t="s">
        <v>367</v>
      </c>
    </row>
    <row r="312" spans="1:8" x14ac:dyDescent="0.25">
      <c r="A312" s="525" t="s">
        <v>311</v>
      </c>
      <c r="B312" s="526"/>
      <c r="C312" s="526"/>
      <c r="D312" s="526"/>
      <c r="E312" s="526"/>
      <c r="F312" s="526"/>
      <c r="G312" s="526" t="e">
        <f t="shared" ref="G312:G323" si="13">F312/E312</f>
        <v>#DIV/0!</v>
      </c>
      <c r="H312" s="527"/>
    </row>
    <row r="313" spans="1:8" x14ac:dyDescent="0.25">
      <c r="A313" s="525" t="s">
        <v>313</v>
      </c>
      <c r="B313" s="526"/>
      <c r="C313" s="526"/>
      <c r="D313" s="526"/>
      <c r="E313" s="526"/>
      <c r="F313" s="526"/>
      <c r="G313" s="526" t="e">
        <f t="shared" si="13"/>
        <v>#DIV/0!</v>
      </c>
      <c r="H313" s="527"/>
    </row>
    <row r="314" spans="1:8" x14ac:dyDescent="0.25">
      <c r="A314" s="525" t="s">
        <v>314</v>
      </c>
      <c r="B314" s="526"/>
      <c r="C314" s="526"/>
      <c r="D314" s="526"/>
      <c r="E314" s="526"/>
      <c r="F314" s="526"/>
      <c r="G314" s="526" t="e">
        <f t="shared" si="13"/>
        <v>#DIV/0!</v>
      </c>
      <c r="H314" s="527"/>
    </row>
    <row r="315" spans="1:8" x14ac:dyDescent="0.25">
      <c r="A315" s="525" t="s">
        <v>315</v>
      </c>
      <c r="B315" s="526"/>
      <c r="C315" s="526"/>
      <c r="D315" s="526"/>
      <c r="E315" s="526"/>
      <c r="F315" s="526"/>
      <c r="G315" s="526" t="e">
        <f t="shared" si="13"/>
        <v>#DIV/0!</v>
      </c>
      <c r="H315" s="527"/>
    </row>
    <row r="316" spans="1:8" x14ac:dyDescent="0.25">
      <c r="A316" s="525" t="s">
        <v>316</v>
      </c>
      <c r="B316" s="526"/>
      <c r="C316" s="526"/>
      <c r="D316" s="526"/>
      <c r="E316" s="526"/>
      <c r="F316" s="526"/>
      <c r="G316" s="526" t="e">
        <f t="shared" si="13"/>
        <v>#DIV/0!</v>
      </c>
      <c r="H316" s="527"/>
    </row>
    <row r="317" spans="1:8" x14ac:dyDescent="0.25">
      <c r="A317" s="525" t="s">
        <v>317</v>
      </c>
      <c r="B317" s="526"/>
      <c r="C317" s="526"/>
      <c r="D317" s="526"/>
      <c r="E317" s="526"/>
      <c r="F317" s="526"/>
      <c r="G317" s="526" t="e">
        <f t="shared" si="13"/>
        <v>#DIV/0!</v>
      </c>
      <c r="H317" s="527"/>
    </row>
    <row r="318" spans="1:8" x14ac:dyDescent="0.25">
      <c r="A318" s="525" t="s">
        <v>318</v>
      </c>
      <c r="B318" s="526"/>
      <c r="C318" s="526"/>
      <c r="D318" s="526"/>
      <c r="E318" s="526"/>
      <c r="F318" s="526"/>
      <c r="G318" s="526" t="e">
        <f t="shared" si="13"/>
        <v>#DIV/0!</v>
      </c>
      <c r="H318" s="527"/>
    </row>
    <row r="319" spans="1:8" x14ac:dyDescent="0.25">
      <c r="A319" s="525" t="s">
        <v>319</v>
      </c>
      <c r="B319" s="526"/>
      <c r="C319" s="526"/>
      <c r="D319" s="526"/>
      <c r="E319" s="526"/>
      <c r="F319" s="526"/>
      <c r="G319" s="526" t="e">
        <f t="shared" si="13"/>
        <v>#DIV/0!</v>
      </c>
      <c r="H319" s="527"/>
    </row>
    <row r="320" spans="1:8" x14ac:dyDescent="0.25">
      <c r="A320" s="525" t="s">
        <v>320</v>
      </c>
      <c r="B320" s="526"/>
      <c r="C320" s="526"/>
      <c r="D320" s="526"/>
      <c r="E320" s="526"/>
      <c r="F320" s="526"/>
      <c r="G320" s="526" t="e">
        <f t="shared" si="13"/>
        <v>#DIV/0!</v>
      </c>
      <c r="H320" s="527"/>
    </row>
    <row r="321" spans="1:8" x14ac:dyDescent="0.25">
      <c r="A321" s="525" t="s">
        <v>321</v>
      </c>
      <c r="B321" s="526"/>
      <c r="C321" s="526"/>
      <c r="D321" s="526"/>
      <c r="E321" s="526"/>
      <c r="F321" s="526"/>
      <c r="G321" s="526" t="e">
        <f t="shared" si="13"/>
        <v>#DIV/0!</v>
      </c>
      <c r="H321" s="527"/>
    </row>
    <row r="322" spans="1:8" x14ac:dyDescent="0.25">
      <c r="A322" s="525" t="s">
        <v>322</v>
      </c>
      <c r="B322" s="526"/>
      <c r="C322" s="526"/>
      <c r="D322" s="526"/>
      <c r="E322" s="526"/>
      <c r="F322" s="526"/>
      <c r="G322" s="526" t="e">
        <f t="shared" si="13"/>
        <v>#DIV/0!</v>
      </c>
      <c r="H322" s="527"/>
    </row>
    <row r="323" spans="1:8" ht="15.75" thickBot="1" x14ac:dyDescent="0.3">
      <c r="A323" s="528" t="s">
        <v>323</v>
      </c>
      <c r="B323" s="529"/>
      <c r="C323" s="529"/>
      <c r="D323" s="529"/>
      <c r="E323" s="529"/>
      <c r="F323" s="529"/>
      <c r="G323" s="529" t="e">
        <f t="shared" si="13"/>
        <v>#DIV/0!</v>
      </c>
      <c r="H323" s="552"/>
    </row>
    <row r="325" spans="1:8" ht="20.25" hidden="1" customHeight="1" x14ac:dyDescent="0.3">
      <c r="A325" s="952" t="s">
        <v>403</v>
      </c>
      <c r="B325" s="952"/>
      <c r="C325" s="952"/>
      <c r="D325" s="952"/>
      <c r="E325" s="952"/>
      <c r="F325" s="952"/>
      <c r="G325" s="952"/>
      <c r="H325" s="952"/>
    </row>
    <row r="326" spans="1:8" ht="63.75" hidden="1" customHeight="1" x14ac:dyDescent="0.25">
      <c r="A326" s="511" t="s">
        <v>29</v>
      </c>
      <c r="B326" s="512" t="s">
        <v>389</v>
      </c>
      <c r="C326" s="577" t="s">
        <v>331</v>
      </c>
      <c r="D326" s="577" t="s">
        <v>359</v>
      </c>
      <c r="E326" s="577" t="s">
        <v>404</v>
      </c>
      <c r="F326" s="577" t="s">
        <v>405</v>
      </c>
      <c r="G326" s="577" t="s">
        <v>406</v>
      </c>
      <c r="H326" s="513" t="s">
        <v>367</v>
      </c>
    </row>
    <row r="327" spans="1:8" ht="15" hidden="1" customHeight="1" x14ac:dyDescent="0.25">
      <c r="A327" s="525" t="s">
        <v>311</v>
      </c>
      <c r="B327" s="526"/>
      <c r="C327" s="526"/>
      <c r="D327" s="526"/>
      <c r="E327" s="526"/>
      <c r="F327" s="526"/>
      <c r="G327" s="526" t="e">
        <f t="shared" ref="G327:G338" si="14">F327/E327</f>
        <v>#DIV/0!</v>
      </c>
      <c r="H327" s="527"/>
    </row>
    <row r="328" spans="1:8" ht="15" hidden="1" customHeight="1" x14ac:dyDescent="0.25">
      <c r="A328" s="525" t="s">
        <v>313</v>
      </c>
      <c r="B328" s="526"/>
      <c r="C328" s="526"/>
      <c r="D328" s="526"/>
      <c r="E328" s="526"/>
      <c r="F328" s="526"/>
      <c r="G328" s="526" t="e">
        <f t="shared" si="14"/>
        <v>#DIV/0!</v>
      </c>
      <c r="H328" s="527"/>
    </row>
    <row r="329" spans="1:8" ht="15" hidden="1" customHeight="1" x14ac:dyDescent="0.25">
      <c r="A329" s="525" t="s">
        <v>314</v>
      </c>
      <c r="B329" s="526"/>
      <c r="C329" s="526"/>
      <c r="D329" s="526"/>
      <c r="E329" s="526"/>
      <c r="F329" s="526"/>
      <c r="G329" s="526" t="e">
        <f t="shared" si="14"/>
        <v>#DIV/0!</v>
      </c>
      <c r="H329" s="527"/>
    </row>
    <row r="330" spans="1:8" ht="15" hidden="1" customHeight="1" x14ac:dyDescent="0.25">
      <c r="A330" s="525" t="s">
        <v>315</v>
      </c>
      <c r="B330" s="526"/>
      <c r="C330" s="526"/>
      <c r="D330" s="526"/>
      <c r="E330" s="526"/>
      <c r="F330" s="526"/>
      <c r="G330" s="526" t="e">
        <f t="shared" si="14"/>
        <v>#DIV/0!</v>
      </c>
      <c r="H330" s="527"/>
    </row>
    <row r="331" spans="1:8" hidden="1" x14ac:dyDescent="0.25">
      <c r="A331" s="525" t="s">
        <v>316</v>
      </c>
      <c r="B331" s="526"/>
      <c r="C331" s="526"/>
      <c r="D331" s="526"/>
      <c r="E331" s="526"/>
      <c r="F331" s="526"/>
      <c r="G331" s="526" t="e">
        <f t="shared" si="14"/>
        <v>#DIV/0!</v>
      </c>
      <c r="H331" s="527"/>
    </row>
    <row r="332" spans="1:8" hidden="1" x14ac:dyDescent="0.25">
      <c r="A332" s="525" t="s">
        <v>317</v>
      </c>
      <c r="B332" s="526"/>
      <c r="C332" s="526"/>
      <c r="D332" s="526"/>
      <c r="E332" s="526"/>
      <c r="F332" s="526"/>
      <c r="G332" s="526" t="e">
        <f t="shared" si="14"/>
        <v>#DIV/0!</v>
      </c>
      <c r="H332" s="527"/>
    </row>
    <row r="333" spans="1:8" hidden="1" x14ac:dyDescent="0.25">
      <c r="A333" s="525" t="s">
        <v>318</v>
      </c>
      <c r="B333" s="526"/>
      <c r="C333" s="526"/>
      <c r="D333" s="526"/>
      <c r="E333" s="526"/>
      <c r="F333" s="526"/>
      <c r="G333" s="526" t="e">
        <f t="shared" si="14"/>
        <v>#DIV/0!</v>
      </c>
      <c r="H333" s="527"/>
    </row>
    <row r="334" spans="1:8" hidden="1" x14ac:dyDescent="0.25">
      <c r="A334" s="525" t="s">
        <v>319</v>
      </c>
      <c r="B334" s="526"/>
      <c r="C334" s="526"/>
      <c r="D334" s="526"/>
      <c r="E334" s="526"/>
      <c r="F334" s="526"/>
      <c r="G334" s="526" t="e">
        <f t="shared" si="14"/>
        <v>#DIV/0!</v>
      </c>
      <c r="H334" s="527"/>
    </row>
    <row r="335" spans="1:8" hidden="1" x14ac:dyDescent="0.25">
      <c r="A335" s="525" t="s">
        <v>320</v>
      </c>
      <c r="B335" s="526"/>
      <c r="C335" s="526"/>
      <c r="D335" s="526"/>
      <c r="E335" s="526"/>
      <c r="F335" s="526"/>
      <c r="G335" s="526" t="e">
        <f t="shared" si="14"/>
        <v>#DIV/0!</v>
      </c>
      <c r="H335" s="527"/>
    </row>
    <row r="336" spans="1:8" hidden="1" x14ac:dyDescent="0.25">
      <c r="A336" s="525" t="s">
        <v>321</v>
      </c>
      <c r="B336" s="526"/>
      <c r="C336" s="526"/>
      <c r="D336" s="526"/>
      <c r="E336" s="526"/>
      <c r="F336" s="526"/>
      <c r="G336" s="526" t="e">
        <f t="shared" si="14"/>
        <v>#DIV/0!</v>
      </c>
      <c r="H336" s="527"/>
    </row>
    <row r="337" spans="1:24" hidden="1" x14ac:dyDescent="0.25">
      <c r="A337" s="525" t="s">
        <v>322</v>
      </c>
      <c r="B337" s="526"/>
      <c r="C337" s="526"/>
      <c r="D337" s="526"/>
      <c r="E337" s="526"/>
      <c r="F337" s="526"/>
      <c r="G337" s="526" t="e">
        <f t="shared" si="14"/>
        <v>#DIV/0!</v>
      </c>
      <c r="H337" s="527"/>
    </row>
    <row r="338" spans="1:24" ht="15.75" hidden="1" thickBot="1" x14ac:dyDescent="0.3">
      <c r="A338" s="528" t="s">
        <v>323</v>
      </c>
      <c r="B338" s="529"/>
      <c r="C338" s="529"/>
      <c r="D338" s="529"/>
      <c r="E338" s="529"/>
      <c r="F338" s="529"/>
      <c r="G338" s="529" t="e">
        <f t="shared" si="14"/>
        <v>#DIV/0!</v>
      </c>
      <c r="H338" s="552"/>
    </row>
    <row r="339" spans="1:24" s="591" customFormat="1" x14ac:dyDescent="0.25">
      <c r="A339" s="484" t="s">
        <v>98</v>
      </c>
      <c r="B339" s="484"/>
      <c r="C339" s="588"/>
      <c r="D339" s="587"/>
      <c r="E339" s="587"/>
      <c r="F339" s="587"/>
      <c r="G339" s="587"/>
      <c r="H339" s="587"/>
      <c r="I339" s="587"/>
      <c r="J339" s="587"/>
      <c r="K339" s="587"/>
      <c r="L339" s="587"/>
      <c r="M339" s="587"/>
      <c r="N339" s="589"/>
      <c r="O339" s="589"/>
      <c r="P339" s="589"/>
      <c r="Q339" s="589"/>
      <c r="R339" s="589"/>
      <c r="S339" s="589"/>
      <c r="T339" s="589"/>
      <c r="U339" s="589"/>
      <c r="V339" s="590"/>
      <c r="W339" s="587"/>
      <c r="X339" s="587"/>
    </row>
    <row r="340" spans="1:24" x14ac:dyDescent="0.25">
      <c r="A340" s="763" t="s">
        <v>99</v>
      </c>
      <c r="B340" s="834" t="s">
        <v>100</v>
      </c>
      <c r="C340" s="835"/>
      <c r="D340" s="835"/>
      <c r="E340" s="835"/>
      <c r="F340" s="835"/>
      <c r="G340" s="835"/>
      <c r="H340" s="836"/>
      <c r="I340" s="837" t="s">
        <v>101</v>
      </c>
      <c r="J340" s="838"/>
      <c r="K340" s="838"/>
      <c r="L340" s="838"/>
      <c r="M340" s="838"/>
      <c r="N340" s="838"/>
      <c r="O340" s="839"/>
    </row>
    <row r="341" spans="1:24" x14ac:dyDescent="0.25">
      <c r="A341" s="764">
        <v>13</v>
      </c>
      <c r="B341" s="829" t="s">
        <v>170</v>
      </c>
      <c r="C341" s="829"/>
      <c r="D341" s="829"/>
      <c r="E341" s="829"/>
      <c r="F341" s="829"/>
      <c r="G341" s="829"/>
      <c r="H341" s="829"/>
      <c r="I341" s="829" t="s">
        <v>103</v>
      </c>
      <c r="J341" s="829"/>
      <c r="K341" s="829"/>
      <c r="L341" s="829"/>
      <c r="M341" s="829"/>
      <c r="N341" s="829"/>
      <c r="O341" s="829"/>
    </row>
    <row r="342" spans="1:24" x14ac:dyDescent="0.25">
      <c r="A342" s="764">
        <v>14</v>
      </c>
      <c r="B342" s="829" t="s">
        <v>104</v>
      </c>
      <c r="C342" s="829"/>
      <c r="D342" s="829"/>
      <c r="E342" s="829"/>
      <c r="F342" s="829"/>
      <c r="G342" s="829"/>
      <c r="H342" s="829"/>
      <c r="I342" s="831" t="s">
        <v>530</v>
      </c>
      <c r="J342" s="831"/>
      <c r="K342" s="831"/>
      <c r="L342" s="831"/>
      <c r="M342" s="831"/>
      <c r="N342" s="831"/>
      <c r="O342" s="831"/>
    </row>
  </sheetData>
  <mergeCells count="105">
    <mergeCell ref="A310:H310"/>
    <mergeCell ref="A325:H325"/>
    <mergeCell ref="A220:G220"/>
    <mergeCell ref="A235:G235"/>
    <mergeCell ref="A250:G250"/>
    <mergeCell ref="A265:H265"/>
    <mergeCell ref="A280:H280"/>
    <mergeCell ref="A295:H295"/>
    <mergeCell ref="A199:A203"/>
    <mergeCell ref="B199:B201"/>
    <mergeCell ref="C199:C201"/>
    <mergeCell ref="B202:B203"/>
    <mergeCell ref="C202:C203"/>
    <mergeCell ref="A205:G205"/>
    <mergeCell ref="A189:A193"/>
    <mergeCell ref="B189:B191"/>
    <mergeCell ref="C189:C191"/>
    <mergeCell ref="B192:B193"/>
    <mergeCell ref="C192:C193"/>
    <mergeCell ref="A194:A198"/>
    <mergeCell ref="B194:B196"/>
    <mergeCell ref="C194:C196"/>
    <mergeCell ref="B197:B198"/>
    <mergeCell ref="C197:C198"/>
    <mergeCell ref="A179:A183"/>
    <mergeCell ref="B179:B181"/>
    <mergeCell ref="C179:C181"/>
    <mergeCell ref="B182:B183"/>
    <mergeCell ref="C182:C183"/>
    <mergeCell ref="A184:A188"/>
    <mergeCell ref="B184:B186"/>
    <mergeCell ref="C184:C186"/>
    <mergeCell ref="B187:B188"/>
    <mergeCell ref="C187:C188"/>
    <mergeCell ref="A169:A173"/>
    <mergeCell ref="B169:B171"/>
    <mergeCell ref="C169:C171"/>
    <mergeCell ref="B172:B173"/>
    <mergeCell ref="C172:C173"/>
    <mergeCell ref="A174:A178"/>
    <mergeCell ref="B174:B176"/>
    <mergeCell ref="C174:C176"/>
    <mergeCell ref="B177:B178"/>
    <mergeCell ref="C177:C178"/>
    <mergeCell ref="A159:A163"/>
    <mergeCell ref="B159:B161"/>
    <mergeCell ref="C159:C161"/>
    <mergeCell ref="B162:B163"/>
    <mergeCell ref="C162:C163"/>
    <mergeCell ref="A164:A168"/>
    <mergeCell ref="B164:B166"/>
    <mergeCell ref="C164:C166"/>
    <mergeCell ref="B167:B168"/>
    <mergeCell ref="C167:C168"/>
    <mergeCell ref="B147:B148"/>
    <mergeCell ref="C147:C148"/>
    <mergeCell ref="A149:A153"/>
    <mergeCell ref="B149:B151"/>
    <mergeCell ref="C149:C151"/>
    <mergeCell ref="B152:B153"/>
    <mergeCell ref="C152:C153"/>
    <mergeCell ref="A154:A158"/>
    <mergeCell ref="B154:B156"/>
    <mergeCell ref="C154:C156"/>
    <mergeCell ref="B157:B158"/>
    <mergeCell ref="C157:C158"/>
    <mergeCell ref="A1:B3"/>
    <mergeCell ref="C1:N1"/>
    <mergeCell ref="C2:N2"/>
    <mergeCell ref="C3:G3"/>
    <mergeCell ref="H3:N3"/>
    <mergeCell ref="A4:B4"/>
    <mergeCell ref="C4:N4"/>
    <mergeCell ref="A80:A81"/>
    <mergeCell ref="A82:A83"/>
    <mergeCell ref="A68:N68"/>
    <mergeCell ref="A70:A71"/>
    <mergeCell ref="A72:A73"/>
    <mergeCell ref="A74:A75"/>
    <mergeCell ref="A76:A77"/>
    <mergeCell ref="A78:A79"/>
    <mergeCell ref="B340:H340"/>
    <mergeCell ref="I340:O340"/>
    <mergeCell ref="B341:H341"/>
    <mergeCell ref="I341:O341"/>
    <mergeCell ref="B342:H342"/>
    <mergeCell ref="I342:O342"/>
    <mergeCell ref="A5:B5"/>
    <mergeCell ref="C5:N5"/>
    <mergeCell ref="A7:H7"/>
    <mergeCell ref="A23:H23"/>
    <mergeCell ref="A38:H38"/>
    <mergeCell ref="A53:H53"/>
    <mergeCell ref="A84:A85"/>
    <mergeCell ref="A86:A87"/>
    <mergeCell ref="A88:A89"/>
    <mergeCell ref="A90:A91"/>
    <mergeCell ref="A92:A93"/>
    <mergeCell ref="A96:N96"/>
    <mergeCell ref="A111:N111"/>
    <mergeCell ref="A126:N126"/>
    <mergeCell ref="A142:G142"/>
    <mergeCell ref="A144:A148"/>
    <mergeCell ref="B144:B146"/>
    <mergeCell ref="C144:C146"/>
  </mergeCells>
  <hyperlinks>
    <hyperlink ref="B267" r:id="rId1" xr:uid="{00000000-0004-0000-0400-000000000000}"/>
    <hyperlink ref="B273" r:id="rId2" xr:uid="{00000000-0004-0000-0400-000001000000}"/>
  </hyperlinks>
  <pageMargins left="0.7" right="0.7" top="0.75" bottom="0.75" header="0.3" footer="0.3"/>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workbookViewId="0"/>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1" max="11" width="11.42578125" customWidth="1"/>
    <col min="12" max="12" width="14.42578125" customWidth="1"/>
    <col min="13" max="13" width="14.140625" customWidth="1"/>
    <col min="14" max="14" width="34.28515625" customWidth="1"/>
    <col min="15" max="15" width="11.42578125" style="189" customWidth="1"/>
    <col min="16" max="16" width="11.42578125" customWidth="1"/>
  </cols>
  <sheetData>
    <row r="1" spans="1:14" ht="30.75" thickBot="1" x14ac:dyDescent="0.3">
      <c r="A1" s="824"/>
      <c r="B1" s="824"/>
      <c r="C1" s="998" t="s">
        <v>0</v>
      </c>
      <c r="D1" s="998"/>
      <c r="E1" s="998"/>
      <c r="F1" s="998"/>
      <c r="G1" s="998"/>
      <c r="H1" s="998"/>
      <c r="I1" s="998"/>
      <c r="J1" s="998"/>
      <c r="K1" s="998"/>
      <c r="L1" s="998"/>
      <c r="M1" s="998"/>
      <c r="N1" s="998"/>
    </row>
    <row r="2" spans="1:14" ht="18.75" thickBot="1" x14ac:dyDescent="0.3">
      <c r="A2" s="824"/>
      <c r="B2" s="824"/>
      <c r="C2" s="999" t="s">
        <v>407</v>
      </c>
      <c r="D2" s="999"/>
      <c r="E2" s="999"/>
      <c r="F2" s="999"/>
      <c r="G2" s="999"/>
      <c r="H2" s="999"/>
      <c r="I2" s="999"/>
      <c r="J2" s="999"/>
      <c r="K2" s="999"/>
      <c r="L2" s="999"/>
      <c r="M2" s="999"/>
      <c r="N2" s="999"/>
    </row>
    <row r="3" spans="1:14" ht="27" thickBot="1" x14ac:dyDescent="0.45">
      <c r="A3" s="824"/>
      <c r="B3" s="824"/>
      <c r="C3" s="1000" t="s">
        <v>172</v>
      </c>
      <c r="D3" s="1000"/>
      <c r="E3" s="1000"/>
      <c r="F3" s="1000"/>
      <c r="G3" s="1000"/>
      <c r="H3" s="1001" t="s">
        <v>408</v>
      </c>
      <c r="I3" s="1001"/>
      <c r="J3" s="1001"/>
      <c r="K3" s="1001"/>
      <c r="L3" s="1001"/>
      <c r="M3" s="1001"/>
      <c r="N3" s="1001"/>
    </row>
    <row r="4" spans="1:14" ht="15.75" thickBot="1" x14ac:dyDescent="0.3">
      <c r="A4" s="995" t="s">
        <v>4</v>
      </c>
      <c r="B4" s="995"/>
      <c r="C4" s="996" t="s">
        <v>409</v>
      </c>
      <c r="D4" s="996"/>
      <c r="E4" s="996"/>
      <c r="F4" s="996"/>
      <c r="G4" s="996"/>
      <c r="H4" s="996"/>
      <c r="I4" s="996"/>
      <c r="J4" s="996"/>
      <c r="K4" s="996"/>
      <c r="L4" s="996"/>
      <c r="M4" s="996"/>
      <c r="N4" s="996"/>
    </row>
    <row r="5" spans="1:14" ht="15.75" thickBot="1" x14ac:dyDescent="0.3">
      <c r="A5" s="995" t="s">
        <v>6</v>
      </c>
      <c r="B5" s="995"/>
      <c r="C5" s="996" t="s">
        <v>410</v>
      </c>
      <c r="D5" s="996"/>
      <c r="E5" s="996"/>
      <c r="F5" s="996"/>
      <c r="G5" s="996"/>
      <c r="H5" s="996"/>
      <c r="I5" s="996"/>
      <c r="J5" s="996"/>
      <c r="K5" s="996"/>
      <c r="L5" s="996"/>
      <c r="M5" s="996"/>
      <c r="N5" s="996"/>
    </row>
    <row r="6" spans="1:14" ht="15.75" thickBot="1" x14ac:dyDescent="0.3"/>
    <row r="7" spans="1:14" ht="20.25" x14ac:dyDescent="0.25">
      <c r="A7" s="981" t="s">
        <v>411</v>
      </c>
      <c r="B7" s="981"/>
      <c r="C7" s="981"/>
      <c r="D7" s="981"/>
      <c r="E7" s="981"/>
      <c r="F7" s="981"/>
      <c r="G7" s="981"/>
      <c r="H7" s="981"/>
    </row>
    <row r="8" spans="1:14" ht="26.25" thickBot="1" x14ac:dyDescent="0.3">
      <c r="A8" s="215" t="s">
        <v>25</v>
      </c>
      <c r="B8" s="216" t="s">
        <v>304</v>
      </c>
      <c r="C8" s="216" t="s">
        <v>305</v>
      </c>
      <c r="D8" s="216" t="s">
        <v>306</v>
      </c>
      <c r="E8" s="216" t="s">
        <v>307</v>
      </c>
      <c r="F8" s="216" t="s">
        <v>308</v>
      </c>
      <c r="G8" s="216" t="s">
        <v>309</v>
      </c>
      <c r="H8" s="217" t="s">
        <v>310</v>
      </c>
    </row>
    <row r="9" spans="1:14" ht="15.75" thickBot="1" x14ac:dyDescent="0.3">
      <c r="A9" s="990" t="s">
        <v>318</v>
      </c>
      <c r="B9" s="218" t="s">
        <v>412</v>
      </c>
      <c r="C9" s="219">
        <v>1709485448</v>
      </c>
      <c r="D9" s="219">
        <v>1709485448</v>
      </c>
      <c r="E9" s="994">
        <f>+[3]INVERSIÓN!J36</f>
        <v>15250000</v>
      </c>
      <c r="F9" s="997">
        <f>+E9</f>
        <v>15250000</v>
      </c>
      <c r="G9" s="974"/>
      <c r="H9" s="974"/>
    </row>
    <row r="10" spans="1:14" ht="15.75" thickBot="1" x14ac:dyDescent="0.3">
      <c r="A10" s="990"/>
      <c r="B10" s="220" t="s">
        <v>413</v>
      </c>
      <c r="C10" s="221">
        <v>295362955</v>
      </c>
      <c r="D10" s="221">
        <v>295362955</v>
      </c>
      <c r="E10" s="994"/>
      <c r="F10" s="997"/>
      <c r="G10" s="974"/>
      <c r="H10" s="974"/>
    </row>
    <row r="11" spans="1:14" ht="15.75" thickBot="1" x14ac:dyDescent="0.3">
      <c r="A11" s="990"/>
      <c r="B11" s="220" t="s">
        <v>414</v>
      </c>
      <c r="C11" s="221">
        <v>1241705000</v>
      </c>
      <c r="D11" s="221">
        <v>1241705000</v>
      </c>
      <c r="E11" s="994"/>
      <c r="F11" s="997"/>
      <c r="G11" s="974"/>
      <c r="H11" s="974"/>
    </row>
    <row r="12" spans="1:14" ht="15.75" thickBot="1" x14ac:dyDescent="0.3">
      <c r="A12" s="990"/>
      <c r="B12" s="220" t="s">
        <v>415</v>
      </c>
      <c r="C12" s="221">
        <v>106931000</v>
      </c>
      <c r="D12" s="221">
        <v>106931000</v>
      </c>
      <c r="E12" s="994"/>
      <c r="F12" s="997"/>
      <c r="G12" s="974"/>
      <c r="H12" s="974"/>
    </row>
    <row r="13" spans="1:14" ht="15.75" thickBot="1" x14ac:dyDescent="0.3">
      <c r="A13" s="990"/>
      <c r="B13" s="222" t="s">
        <v>416</v>
      </c>
      <c r="C13" s="223">
        <v>565789625</v>
      </c>
      <c r="D13" s="223">
        <v>565789625</v>
      </c>
      <c r="E13" s="994"/>
      <c r="F13" s="997"/>
      <c r="G13" s="974"/>
      <c r="H13" s="974"/>
    </row>
    <row r="14" spans="1:14" ht="15.75" thickBot="1" x14ac:dyDescent="0.3">
      <c r="A14" s="990" t="s">
        <v>319</v>
      </c>
      <c r="B14" s="218" t="s">
        <v>412</v>
      </c>
      <c r="C14" s="219">
        <v>1709485448</v>
      </c>
      <c r="D14" s="219">
        <v>1709485448</v>
      </c>
      <c r="E14" s="994">
        <f>+[3]INVERSIÓN!L36</f>
        <v>741070000</v>
      </c>
      <c r="F14" s="994">
        <f>+E14</f>
        <v>741070000</v>
      </c>
      <c r="G14" s="974"/>
      <c r="H14" s="989"/>
    </row>
    <row r="15" spans="1:14" ht="15.75" thickBot="1" x14ac:dyDescent="0.3">
      <c r="A15" s="990"/>
      <c r="B15" s="220" t="s">
        <v>413</v>
      </c>
      <c r="C15" s="221">
        <v>295362955</v>
      </c>
      <c r="D15" s="221">
        <v>295362955</v>
      </c>
      <c r="E15" s="994"/>
      <c r="F15" s="994"/>
      <c r="G15" s="974"/>
      <c r="H15" s="989"/>
    </row>
    <row r="16" spans="1:14" ht="15.75" thickBot="1" x14ac:dyDescent="0.3">
      <c r="A16" s="990"/>
      <c r="B16" s="220" t="s">
        <v>414</v>
      </c>
      <c r="C16" s="221">
        <v>1241705000</v>
      </c>
      <c r="D16" s="221">
        <v>1241705000</v>
      </c>
      <c r="E16" s="994"/>
      <c r="F16" s="994"/>
      <c r="G16" s="974"/>
      <c r="H16" s="989"/>
    </row>
    <row r="17" spans="1:15" ht="15.75" thickBot="1" x14ac:dyDescent="0.3">
      <c r="A17" s="990"/>
      <c r="B17" s="220" t="s">
        <v>415</v>
      </c>
      <c r="C17" s="221">
        <v>106931000</v>
      </c>
      <c r="D17" s="221">
        <v>106931000</v>
      </c>
      <c r="E17" s="994"/>
      <c r="F17" s="994"/>
      <c r="G17" s="974"/>
      <c r="H17" s="989"/>
    </row>
    <row r="18" spans="1:15" ht="15.75" thickBot="1" x14ac:dyDescent="0.3">
      <c r="A18" s="990"/>
      <c r="B18" s="222" t="s">
        <v>416</v>
      </c>
      <c r="C18" s="223">
        <v>565789625</v>
      </c>
      <c r="D18" s="223">
        <v>565789625</v>
      </c>
      <c r="E18" s="994"/>
      <c r="F18" s="994"/>
      <c r="G18" s="974"/>
      <c r="H18" s="989"/>
    </row>
    <row r="19" spans="1:15" ht="15.75" thickBot="1" x14ac:dyDescent="0.3">
      <c r="A19" s="990" t="s">
        <v>320</v>
      </c>
      <c r="B19" s="218" t="s">
        <v>412</v>
      </c>
      <c r="C19" s="219">
        <v>1709485448</v>
      </c>
      <c r="D19" s="219">
        <v>1709485448</v>
      </c>
      <c r="E19" s="994">
        <f>+[3]INVERSIÓN!N36</f>
        <v>786690347</v>
      </c>
      <c r="F19" s="994">
        <f>+E19</f>
        <v>786690347</v>
      </c>
      <c r="G19" s="974"/>
      <c r="H19" s="989"/>
    </row>
    <row r="20" spans="1:15" ht="15.75" thickBot="1" x14ac:dyDescent="0.3">
      <c r="A20" s="990"/>
      <c r="B20" s="220" t="s">
        <v>413</v>
      </c>
      <c r="C20" s="221">
        <v>295362955</v>
      </c>
      <c r="D20" s="221">
        <v>295362955</v>
      </c>
      <c r="E20" s="994"/>
      <c r="F20" s="994"/>
      <c r="G20" s="974"/>
      <c r="H20" s="989"/>
    </row>
    <row r="21" spans="1:15" ht="15.75" thickBot="1" x14ac:dyDescent="0.3">
      <c r="A21" s="990"/>
      <c r="B21" s="220" t="s">
        <v>414</v>
      </c>
      <c r="C21" s="221">
        <v>1241705000</v>
      </c>
      <c r="D21" s="221">
        <v>1241705000</v>
      </c>
      <c r="E21" s="994"/>
      <c r="F21" s="994"/>
      <c r="G21" s="974"/>
      <c r="H21" s="989"/>
    </row>
    <row r="22" spans="1:15" ht="15.75" thickBot="1" x14ac:dyDescent="0.3">
      <c r="A22" s="990"/>
      <c r="B22" s="220" t="s">
        <v>415</v>
      </c>
      <c r="C22" s="221">
        <v>106931000</v>
      </c>
      <c r="D22" s="221">
        <v>106931000</v>
      </c>
      <c r="E22" s="994"/>
      <c r="F22" s="994"/>
      <c r="G22" s="974"/>
      <c r="H22" s="989"/>
    </row>
    <row r="23" spans="1:15" ht="15.75" thickBot="1" x14ac:dyDescent="0.3">
      <c r="A23" s="990"/>
      <c r="B23" s="222" t="s">
        <v>416</v>
      </c>
      <c r="C23" s="223">
        <v>565789625</v>
      </c>
      <c r="D23" s="223">
        <v>565789625</v>
      </c>
      <c r="E23" s="994"/>
      <c r="F23" s="994"/>
      <c r="G23" s="974"/>
      <c r="H23" s="989"/>
    </row>
    <row r="24" spans="1:15" ht="15.75" thickBot="1" x14ac:dyDescent="0.3">
      <c r="A24" s="990" t="s">
        <v>321</v>
      </c>
      <c r="B24" s="218" t="s">
        <v>412</v>
      </c>
      <c r="C24" s="219">
        <v>1709485448</v>
      </c>
      <c r="D24" s="219">
        <v>1709485448</v>
      </c>
      <c r="E24" s="994">
        <f>+[3]INVERSIÓN!P36</f>
        <v>793469102</v>
      </c>
      <c r="F24" s="994">
        <f>+[3]INVERSIÓN!P36</f>
        <v>793469102</v>
      </c>
      <c r="G24" s="974"/>
      <c r="H24" s="989"/>
    </row>
    <row r="25" spans="1:15" ht="15.75" thickBot="1" x14ac:dyDescent="0.3">
      <c r="A25" s="990"/>
      <c r="B25" s="220" t="s">
        <v>413</v>
      </c>
      <c r="C25" s="221">
        <v>295362955</v>
      </c>
      <c r="D25" s="221">
        <v>295362955</v>
      </c>
      <c r="E25" s="994"/>
      <c r="F25" s="994"/>
      <c r="G25" s="974"/>
      <c r="H25" s="989"/>
    </row>
    <row r="26" spans="1:15" ht="15.75" thickBot="1" x14ac:dyDescent="0.3">
      <c r="A26" s="990"/>
      <c r="B26" s="220" t="s">
        <v>414</v>
      </c>
      <c r="C26" s="221">
        <v>1241705000</v>
      </c>
      <c r="D26" s="221">
        <v>1241705000</v>
      </c>
      <c r="E26" s="994"/>
      <c r="F26" s="994"/>
      <c r="G26" s="974"/>
      <c r="H26" s="989"/>
    </row>
    <row r="27" spans="1:15" ht="15.75" thickBot="1" x14ac:dyDescent="0.3">
      <c r="A27" s="990"/>
      <c r="B27" s="220" t="s">
        <v>415</v>
      </c>
      <c r="C27" s="221">
        <v>106931000</v>
      </c>
      <c r="D27" s="221">
        <v>106931000</v>
      </c>
      <c r="E27" s="994"/>
      <c r="F27" s="994"/>
      <c r="G27" s="974"/>
      <c r="H27" s="989"/>
    </row>
    <row r="28" spans="1:15" ht="15.75" thickBot="1" x14ac:dyDescent="0.3">
      <c r="A28" s="990"/>
      <c r="B28" s="224" t="s">
        <v>416</v>
      </c>
      <c r="C28" s="225">
        <v>565789625</v>
      </c>
      <c r="D28" s="225">
        <v>565789625</v>
      </c>
      <c r="E28" s="994"/>
      <c r="F28" s="994"/>
      <c r="G28" s="974"/>
      <c r="H28" s="989"/>
    </row>
    <row r="29" spans="1:15" s="1" customFormat="1" ht="15.75" thickBot="1" x14ac:dyDescent="0.3">
      <c r="A29" s="990" t="s">
        <v>322</v>
      </c>
      <c r="B29" s="167" t="s">
        <v>412</v>
      </c>
      <c r="C29" s="226">
        <v>1709485448</v>
      </c>
      <c r="D29" s="226">
        <v>1709485448</v>
      </c>
      <c r="E29" s="992">
        <v>874824904</v>
      </c>
      <c r="F29" s="992">
        <v>874824904</v>
      </c>
      <c r="G29" s="974"/>
      <c r="H29" s="989"/>
      <c r="O29" s="98"/>
    </row>
    <row r="30" spans="1:15" s="1" customFormat="1" ht="15.75" thickBot="1" x14ac:dyDescent="0.3">
      <c r="A30" s="990"/>
      <c r="B30" s="78" t="s">
        <v>413</v>
      </c>
      <c r="C30" s="227">
        <v>295362955</v>
      </c>
      <c r="D30" s="227">
        <v>295362955</v>
      </c>
      <c r="E30" s="992"/>
      <c r="F30" s="992"/>
      <c r="G30" s="974"/>
      <c r="H30" s="989"/>
      <c r="O30" s="98"/>
    </row>
    <row r="31" spans="1:15" s="1" customFormat="1" ht="15.75" thickBot="1" x14ac:dyDescent="0.3">
      <c r="A31" s="990"/>
      <c r="B31" s="78" t="s">
        <v>414</v>
      </c>
      <c r="C31" s="227">
        <v>1241705000</v>
      </c>
      <c r="D31" s="227">
        <v>1241705000</v>
      </c>
      <c r="E31" s="992"/>
      <c r="F31" s="992"/>
      <c r="G31" s="974"/>
      <c r="H31" s="989"/>
      <c r="O31" s="98"/>
    </row>
    <row r="32" spans="1:15" s="1" customFormat="1" ht="15.75" thickBot="1" x14ac:dyDescent="0.3">
      <c r="A32" s="990"/>
      <c r="B32" s="78" t="s">
        <v>415</v>
      </c>
      <c r="C32" s="227">
        <v>106931000</v>
      </c>
      <c r="D32" s="227">
        <v>106931000</v>
      </c>
      <c r="E32" s="992"/>
      <c r="F32" s="992"/>
      <c r="G32" s="974"/>
      <c r="H32" s="989"/>
      <c r="O32" s="98"/>
    </row>
    <row r="33" spans="1:15" s="1" customFormat="1" ht="15.75" thickBot="1" x14ac:dyDescent="0.3">
      <c r="A33" s="990"/>
      <c r="B33" s="204" t="s">
        <v>416</v>
      </c>
      <c r="C33" s="228">
        <v>565789625</v>
      </c>
      <c r="D33" s="229">
        <v>565789625</v>
      </c>
      <c r="E33" s="992"/>
      <c r="F33" s="992"/>
      <c r="G33" s="974"/>
      <c r="H33" s="989"/>
      <c r="O33" s="98"/>
    </row>
    <row r="34" spans="1:15" s="1" customFormat="1" ht="15.75" thickBot="1" x14ac:dyDescent="0.3">
      <c r="A34" s="990" t="s">
        <v>323</v>
      </c>
      <c r="B34" s="167" t="s">
        <v>412</v>
      </c>
      <c r="C34" s="230">
        <v>1709485448</v>
      </c>
      <c r="D34" s="231">
        <v>1369505401</v>
      </c>
      <c r="E34" s="991">
        <f>E276+E285+E294+E303</f>
        <v>3537554981</v>
      </c>
      <c r="F34" s="992">
        <v>675702343</v>
      </c>
      <c r="G34" s="993">
        <f>+F34</f>
        <v>675702343</v>
      </c>
      <c r="H34" s="824"/>
      <c r="O34" s="98"/>
    </row>
    <row r="35" spans="1:15" s="1" customFormat="1" ht="15.75" thickBot="1" x14ac:dyDescent="0.3">
      <c r="A35" s="990"/>
      <c r="B35" s="78" t="s">
        <v>413</v>
      </c>
      <c r="C35" s="232">
        <v>295362955</v>
      </c>
      <c r="D35" s="233">
        <v>295362955</v>
      </c>
      <c r="E35" s="991"/>
      <c r="F35" s="992"/>
      <c r="G35" s="993"/>
      <c r="H35" s="824"/>
      <c r="O35" s="98"/>
    </row>
    <row r="36" spans="1:15" s="1" customFormat="1" ht="15.75" thickBot="1" x14ac:dyDescent="0.3">
      <c r="A36" s="990"/>
      <c r="B36" s="78" t="s">
        <v>414</v>
      </c>
      <c r="C36" s="232">
        <v>1241705000</v>
      </c>
      <c r="D36" s="233">
        <v>1199966000</v>
      </c>
      <c r="E36" s="991"/>
      <c r="F36" s="992"/>
      <c r="G36" s="993"/>
      <c r="H36" s="824"/>
      <c r="O36" s="98"/>
    </row>
    <row r="37" spans="1:15" s="1" customFormat="1" ht="15.75" thickBot="1" x14ac:dyDescent="0.3">
      <c r="A37" s="990"/>
      <c r="B37" s="78" t="s">
        <v>415</v>
      </c>
      <c r="C37" s="232">
        <v>106931000</v>
      </c>
      <c r="D37" s="233">
        <v>106931000</v>
      </c>
      <c r="E37" s="991"/>
      <c r="F37" s="992"/>
      <c r="G37" s="993"/>
      <c r="H37" s="824"/>
      <c r="O37" s="98"/>
    </row>
    <row r="38" spans="1:15" s="1" customFormat="1" ht="15.75" thickBot="1" x14ac:dyDescent="0.3">
      <c r="A38" s="990"/>
      <c r="B38" s="204" t="s">
        <v>416</v>
      </c>
      <c r="C38" s="234">
        <v>565789625</v>
      </c>
      <c r="D38" s="235">
        <v>565789625</v>
      </c>
      <c r="E38" s="991"/>
      <c r="F38" s="992"/>
      <c r="G38" s="993"/>
      <c r="H38" s="824"/>
      <c r="O38" s="98"/>
    </row>
    <row r="39" spans="1:15" s="1" customFormat="1" ht="15.75" thickBot="1" x14ac:dyDescent="0.3">
      <c r="O39" s="98"/>
    </row>
    <row r="40" spans="1:15" ht="20.25" x14ac:dyDescent="0.25">
      <c r="A40" s="981" t="s">
        <v>303</v>
      </c>
      <c r="B40" s="981"/>
      <c r="C40" s="981"/>
      <c r="D40" s="981"/>
      <c r="E40" s="981"/>
      <c r="F40" s="981"/>
      <c r="G40" s="981"/>
      <c r="H40" s="981"/>
    </row>
    <row r="41" spans="1:15" ht="26.25" thickBot="1" x14ac:dyDescent="0.3">
      <c r="A41" s="215" t="s">
        <v>26</v>
      </c>
      <c r="B41" s="216" t="s">
        <v>304</v>
      </c>
      <c r="C41" s="216" t="s">
        <v>305</v>
      </c>
      <c r="D41" s="216" t="s">
        <v>306</v>
      </c>
      <c r="E41" s="216" t="s">
        <v>307</v>
      </c>
      <c r="F41" s="216" t="s">
        <v>308</v>
      </c>
      <c r="G41" s="216" t="s">
        <v>309</v>
      </c>
      <c r="H41" s="217" t="s">
        <v>310</v>
      </c>
    </row>
    <row r="42" spans="1:15" ht="15.75" thickBot="1" x14ac:dyDescent="0.3">
      <c r="A42" s="987" t="s">
        <v>311</v>
      </c>
      <c r="B42" s="236" t="s">
        <v>417</v>
      </c>
      <c r="C42" s="237">
        <v>2373758000</v>
      </c>
      <c r="D42" s="237">
        <v>2373758000</v>
      </c>
      <c r="E42" s="988">
        <v>0</v>
      </c>
      <c r="F42" s="988">
        <v>0</v>
      </c>
      <c r="G42" s="974"/>
      <c r="H42" s="989"/>
    </row>
    <row r="43" spans="1:15" ht="15.75" thickBot="1" x14ac:dyDescent="0.3">
      <c r="A43" s="987"/>
      <c r="B43" s="238" t="s">
        <v>418</v>
      </c>
      <c r="C43" s="239">
        <v>5500000000</v>
      </c>
      <c r="D43" s="239">
        <v>5500000000</v>
      </c>
      <c r="E43" s="988"/>
      <c r="F43" s="988"/>
      <c r="G43" s="974"/>
      <c r="H43" s="989"/>
    </row>
    <row r="44" spans="1:15" ht="15.75" thickBot="1" x14ac:dyDescent="0.3">
      <c r="A44" s="987"/>
      <c r="B44" s="238" t="s">
        <v>419</v>
      </c>
      <c r="C44" s="239">
        <v>13435346000</v>
      </c>
      <c r="D44" s="239">
        <v>13435346000</v>
      </c>
      <c r="E44" s="988"/>
      <c r="F44" s="988"/>
      <c r="G44" s="974"/>
      <c r="H44" s="989"/>
    </row>
    <row r="45" spans="1:15" ht="15.75" thickBot="1" x14ac:dyDescent="0.3">
      <c r="A45" s="987"/>
      <c r="B45" s="238" t="s">
        <v>420</v>
      </c>
      <c r="C45" s="239">
        <v>3186932000</v>
      </c>
      <c r="D45" s="239">
        <v>3186932000</v>
      </c>
      <c r="E45" s="988"/>
      <c r="F45" s="988"/>
      <c r="G45" s="974"/>
      <c r="H45" s="989"/>
    </row>
    <row r="46" spans="1:15" ht="15.75" thickBot="1" x14ac:dyDescent="0.3">
      <c r="A46" s="987"/>
      <c r="B46" s="238" t="s">
        <v>421</v>
      </c>
      <c r="C46" s="239">
        <v>103930000</v>
      </c>
      <c r="D46" s="239">
        <v>103930000</v>
      </c>
      <c r="E46" s="988"/>
      <c r="F46" s="988"/>
      <c r="G46" s="974"/>
      <c r="H46" s="989"/>
    </row>
    <row r="47" spans="1:15" ht="15.75" thickBot="1" x14ac:dyDescent="0.3">
      <c r="A47" s="987"/>
      <c r="B47" s="238" t="s">
        <v>422</v>
      </c>
      <c r="C47" s="239">
        <f>304104000+35002000</f>
        <v>339106000</v>
      </c>
      <c r="D47" s="239">
        <f>304104000+35002000</f>
        <v>339106000</v>
      </c>
      <c r="E47" s="988"/>
      <c r="F47" s="988"/>
      <c r="G47" s="974"/>
      <c r="H47" s="989"/>
    </row>
    <row r="48" spans="1:15" ht="15.75" thickBot="1" x14ac:dyDescent="0.3">
      <c r="A48" s="987"/>
      <c r="B48" s="238" t="s">
        <v>423</v>
      </c>
      <c r="C48" s="239">
        <v>119254000</v>
      </c>
      <c r="D48" s="239">
        <v>119254000</v>
      </c>
      <c r="E48" s="988"/>
      <c r="F48" s="988"/>
      <c r="G48" s="974"/>
      <c r="H48" s="989"/>
    </row>
    <row r="49" spans="1:8" ht="15.75" thickBot="1" x14ac:dyDescent="0.3">
      <c r="A49" s="987"/>
      <c r="B49" s="240" t="s">
        <v>424</v>
      </c>
      <c r="C49" s="241">
        <v>298778000</v>
      </c>
      <c r="D49" s="241">
        <v>298778000</v>
      </c>
      <c r="E49" s="988"/>
      <c r="F49" s="988"/>
      <c r="G49" s="974"/>
      <c r="H49" s="989"/>
    </row>
    <row r="50" spans="1:8" x14ac:dyDescent="0.25">
      <c r="A50" s="196" t="s">
        <v>313</v>
      </c>
      <c r="B50" s="185"/>
      <c r="C50" s="185"/>
      <c r="D50" s="185"/>
      <c r="E50" s="185"/>
      <c r="F50" s="185"/>
      <c r="G50" s="185"/>
      <c r="H50" s="197" t="e">
        <f t="shared" ref="H50:H60" si="0">G50/E50</f>
        <v>#DIV/0!</v>
      </c>
    </row>
    <row r="51" spans="1:8" x14ac:dyDescent="0.25">
      <c r="A51" s="196" t="s">
        <v>314</v>
      </c>
      <c r="B51" s="185"/>
      <c r="C51" s="185"/>
      <c r="D51" s="185"/>
      <c r="E51" s="185"/>
      <c r="F51" s="185"/>
      <c r="G51" s="185"/>
      <c r="H51" s="197" t="e">
        <f t="shared" si="0"/>
        <v>#DIV/0!</v>
      </c>
    </row>
    <row r="52" spans="1:8" x14ac:dyDescent="0.25">
      <c r="A52" s="196" t="s">
        <v>315</v>
      </c>
      <c r="B52" s="185"/>
      <c r="C52" s="185"/>
      <c r="D52" s="185"/>
      <c r="E52" s="185"/>
      <c r="F52" s="185"/>
      <c r="G52" s="185"/>
      <c r="H52" s="197" t="e">
        <f t="shared" si="0"/>
        <v>#DIV/0!</v>
      </c>
    </row>
    <row r="53" spans="1:8" x14ac:dyDescent="0.25">
      <c r="A53" s="196" t="s">
        <v>316</v>
      </c>
      <c r="B53" s="185"/>
      <c r="C53" s="185"/>
      <c r="D53" s="185"/>
      <c r="E53" s="185"/>
      <c r="F53" s="185"/>
      <c r="G53" s="185"/>
      <c r="H53" s="197" t="e">
        <f t="shared" si="0"/>
        <v>#DIV/0!</v>
      </c>
    </row>
    <row r="54" spans="1:8" x14ac:dyDescent="0.25">
      <c r="A54" s="196" t="s">
        <v>317</v>
      </c>
      <c r="B54" s="185"/>
      <c r="C54" s="185"/>
      <c r="D54" s="185"/>
      <c r="E54" s="185"/>
      <c r="F54" s="185"/>
      <c r="G54" s="185"/>
      <c r="H54" s="197" t="e">
        <f t="shared" si="0"/>
        <v>#DIV/0!</v>
      </c>
    </row>
    <row r="55" spans="1:8" x14ac:dyDescent="0.25">
      <c r="A55" s="196" t="s">
        <v>318</v>
      </c>
      <c r="B55" s="185"/>
      <c r="C55" s="185"/>
      <c r="D55" s="185"/>
      <c r="E55" s="185"/>
      <c r="F55" s="185"/>
      <c r="G55" s="185"/>
      <c r="H55" s="197" t="e">
        <f t="shared" si="0"/>
        <v>#DIV/0!</v>
      </c>
    </row>
    <row r="56" spans="1:8" x14ac:dyDescent="0.25">
      <c r="A56" s="196" t="s">
        <v>319</v>
      </c>
      <c r="B56" s="185"/>
      <c r="C56" s="185"/>
      <c r="D56" s="185"/>
      <c r="E56" s="185"/>
      <c r="F56" s="185"/>
      <c r="G56" s="185"/>
      <c r="H56" s="197" t="e">
        <f t="shared" si="0"/>
        <v>#DIV/0!</v>
      </c>
    </row>
    <row r="57" spans="1:8" x14ac:dyDescent="0.25">
      <c r="A57" s="196" t="s">
        <v>320</v>
      </c>
      <c r="B57" s="185"/>
      <c r="C57" s="185"/>
      <c r="D57" s="185"/>
      <c r="E57" s="185"/>
      <c r="F57" s="185"/>
      <c r="G57" s="185"/>
      <c r="H57" s="197" t="e">
        <f t="shared" si="0"/>
        <v>#DIV/0!</v>
      </c>
    </row>
    <row r="58" spans="1:8" x14ac:dyDescent="0.25">
      <c r="A58" s="196" t="s">
        <v>321</v>
      </c>
      <c r="B58" s="185"/>
      <c r="C58" s="185"/>
      <c r="D58" s="185"/>
      <c r="E58" s="185"/>
      <c r="F58" s="185"/>
      <c r="G58" s="185"/>
      <c r="H58" s="197" t="e">
        <f t="shared" si="0"/>
        <v>#DIV/0!</v>
      </c>
    </row>
    <row r="59" spans="1:8" x14ac:dyDescent="0.25">
      <c r="A59" s="196" t="s">
        <v>322</v>
      </c>
      <c r="B59" s="185"/>
      <c r="C59" s="185"/>
      <c r="D59" s="185"/>
      <c r="E59" s="185"/>
      <c r="F59" s="185"/>
      <c r="G59" s="185"/>
      <c r="H59" s="197" t="e">
        <f t="shared" si="0"/>
        <v>#DIV/0!</v>
      </c>
    </row>
    <row r="60" spans="1:8" ht="15.75" thickBot="1" x14ac:dyDescent="0.3">
      <c r="A60" s="198" t="s">
        <v>323</v>
      </c>
      <c r="B60" s="199"/>
      <c r="C60" s="199"/>
      <c r="D60" s="199"/>
      <c r="E60" s="199"/>
      <c r="F60" s="199"/>
      <c r="G60" s="199"/>
      <c r="H60" s="197" t="e">
        <f t="shared" si="0"/>
        <v>#DIV/0!</v>
      </c>
    </row>
    <row r="62" spans="1:8" ht="20.25" hidden="1" x14ac:dyDescent="0.25">
      <c r="A62" s="981" t="s">
        <v>324</v>
      </c>
      <c r="B62" s="981"/>
      <c r="C62" s="981"/>
      <c r="D62" s="981"/>
      <c r="E62" s="981"/>
      <c r="F62" s="981"/>
      <c r="G62" s="981"/>
      <c r="H62" s="981"/>
    </row>
    <row r="63" spans="1:8" ht="25.5" hidden="1" x14ac:dyDescent="0.25">
      <c r="A63" s="191" t="s">
        <v>27</v>
      </c>
      <c r="B63" s="192" t="s">
        <v>304</v>
      </c>
      <c r="C63" s="192" t="s">
        <v>305</v>
      </c>
      <c r="D63" s="192" t="s">
        <v>306</v>
      </c>
      <c r="E63" s="192" t="s">
        <v>307</v>
      </c>
      <c r="F63" s="192" t="s">
        <v>308</v>
      </c>
      <c r="G63" s="192" t="s">
        <v>309</v>
      </c>
      <c r="H63" s="193" t="s">
        <v>310</v>
      </c>
    </row>
    <row r="64" spans="1:8" hidden="1" x14ac:dyDescent="0.25">
      <c r="A64" s="196" t="s">
        <v>311</v>
      </c>
      <c r="B64" s="185"/>
      <c r="C64" s="185"/>
      <c r="D64" s="185"/>
      <c r="E64" s="185"/>
      <c r="F64" s="185"/>
      <c r="G64" s="185"/>
      <c r="H64" s="197" t="e">
        <f t="shared" ref="H64:H75" si="1">G64/E64</f>
        <v>#DIV/0!</v>
      </c>
    </row>
    <row r="65" spans="1:8" hidden="1" x14ac:dyDescent="0.25">
      <c r="A65" s="196" t="s">
        <v>313</v>
      </c>
      <c r="B65" s="185"/>
      <c r="C65" s="185"/>
      <c r="D65" s="185"/>
      <c r="E65" s="185"/>
      <c r="F65" s="185"/>
      <c r="G65" s="185"/>
      <c r="H65" s="197" t="e">
        <f t="shared" si="1"/>
        <v>#DIV/0!</v>
      </c>
    </row>
    <row r="66" spans="1:8" hidden="1" x14ac:dyDescent="0.25">
      <c r="A66" s="196" t="s">
        <v>314</v>
      </c>
      <c r="B66" s="185"/>
      <c r="C66" s="185"/>
      <c r="D66" s="185"/>
      <c r="E66" s="185"/>
      <c r="F66" s="185"/>
      <c r="G66" s="185"/>
      <c r="H66" s="197" t="e">
        <f t="shared" si="1"/>
        <v>#DIV/0!</v>
      </c>
    </row>
    <row r="67" spans="1:8" hidden="1" x14ac:dyDescent="0.25">
      <c r="A67" s="196" t="s">
        <v>315</v>
      </c>
      <c r="B67" s="185"/>
      <c r="C67" s="185"/>
      <c r="D67" s="185"/>
      <c r="E67" s="185"/>
      <c r="F67" s="185"/>
      <c r="G67" s="185"/>
      <c r="H67" s="197" t="e">
        <f t="shared" si="1"/>
        <v>#DIV/0!</v>
      </c>
    </row>
    <row r="68" spans="1:8" hidden="1" x14ac:dyDescent="0.25">
      <c r="A68" s="196" t="s">
        <v>316</v>
      </c>
      <c r="B68" s="185"/>
      <c r="C68" s="185"/>
      <c r="D68" s="185"/>
      <c r="E68" s="185"/>
      <c r="F68" s="185"/>
      <c r="G68" s="185"/>
      <c r="H68" s="197" t="e">
        <f t="shared" si="1"/>
        <v>#DIV/0!</v>
      </c>
    </row>
    <row r="69" spans="1:8" hidden="1" x14ac:dyDescent="0.25">
      <c r="A69" s="196" t="s">
        <v>317</v>
      </c>
      <c r="B69" s="185"/>
      <c r="C69" s="185"/>
      <c r="D69" s="185"/>
      <c r="E69" s="185"/>
      <c r="F69" s="185"/>
      <c r="G69" s="185"/>
      <c r="H69" s="197" t="e">
        <f t="shared" si="1"/>
        <v>#DIV/0!</v>
      </c>
    </row>
    <row r="70" spans="1:8" hidden="1" x14ac:dyDescent="0.25">
      <c r="A70" s="196" t="s">
        <v>318</v>
      </c>
      <c r="B70" s="185"/>
      <c r="C70" s="185"/>
      <c r="D70" s="185"/>
      <c r="E70" s="185"/>
      <c r="F70" s="185"/>
      <c r="G70" s="185"/>
      <c r="H70" s="197" t="e">
        <f t="shared" si="1"/>
        <v>#DIV/0!</v>
      </c>
    </row>
    <row r="71" spans="1:8" hidden="1" x14ac:dyDescent="0.25">
      <c r="A71" s="196" t="s">
        <v>319</v>
      </c>
      <c r="B71" s="185"/>
      <c r="C71" s="185"/>
      <c r="D71" s="185"/>
      <c r="E71" s="185"/>
      <c r="F71" s="185"/>
      <c r="G71" s="185"/>
      <c r="H71" s="197" t="e">
        <f t="shared" si="1"/>
        <v>#DIV/0!</v>
      </c>
    </row>
    <row r="72" spans="1:8" hidden="1" x14ac:dyDescent="0.25">
      <c r="A72" s="196" t="s">
        <v>320</v>
      </c>
      <c r="B72" s="185"/>
      <c r="C72" s="185"/>
      <c r="D72" s="185"/>
      <c r="E72" s="185"/>
      <c r="F72" s="185"/>
      <c r="G72" s="185"/>
      <c r="H72" s="197" t="e">
        <f t="shared" si="1"/>
        <v>#DIV/0!</v>
      </c>
    </row>
    <row r="73" spans="1:8" hidden="1" x14ac:dyDescent="0.25">
      <c r="A73" s="196" t="s">
        <v>321</v>
      </c>
      <c r="B73" s="185"/>
      <c r="C73" s="185"/>
      <c r="D73" s="185"/>
      <c r="E73" s="185"/>
      <c r="F73" s="185"/>
      <c r="G73" s="185"/>
      <c r="H73" s="197" t="e">
        <f t="shared" si="1"/>
        <v>#DIV/0!</v>
      </c>
    </row>
    <row r="74" spans="1:8" hidden="1" x14ac:dyDescent="0.25">
      <c r="A74" s="196" t="s">
        <v>322</v>
      </c>
      <c r="B74" s="185"/>
      <c r="C74" s="185"/>
      <c r="D74" s="185"/>
      <c r="E74" s="185"/>
      <c r="F74" s="185"/>
      <c r="G74" s="185"/>
      <c r="H74" s="197" t="e">
        <f t="shared" si="1"/>
        <v>#DIV/0!</v>
      </c>
    </row>
    <row r="75" spans="1:8" ht="15.75" hidden="1" thickBot="1" x14ac:dyDescent="0.3">
      <c r="A75" s="198" t="s">
        <v>323</v>
      </c>
      <c r="B75" s="199"/>
      <c r="C75" s="199"/>
      <c r="D75" s="199"/>
      <c r="E75" s="199"/>
      <c r="F75" s="199"/>
      <c r="G75" s="199"/>
      <c r="H75" s="197" t="e">
        <f t="shared" si="1"/>
        <v>#DIV/0!</v>
      </c>
    </row>
    <row r="77" spans="1:8" ht="20.25" hidden="1" x14ac:dyDescent="0.25">
      <c r="A77" s="981" t="s">
        <v>325</v>
      </c>
      <c r="B77" s="981"/>
      <c r="C77" s="981"/>
      <c r="D77" s="981"/>
      <c r="E77" s="981"/>
      <c r="F77" s="981"/>
      <c r="G77" s="981"/>
      <c r="H77" s="981"/>
    </row>
    <row r="78" spans="1:8" ht="25.5" hidden="1" x14ac:dyDescent="0.25">
      <c r="A78" s="191" t="s">
        <v>28</v>
      </c>
      <c r="B78" s="192" t="s">
        <v>304</v>
      </c>
      <c r="C78" s="192" t="s">
        <v>305</v>
      </c>
      <c r="D78" s="192" t="s">
        <v>306</v>
      </c>
      <c r="E78" s="192" t="s">
        <v>307</v>
      </c>
      <c r="F78" s="192" t="s">
        <v>308</v>
      </c>
      <c r="G78" s="192" t="s">
        <v>309</v>
      </c>
      <c r="H78" s="193" t="s">
        <v>310</v>
      </c>
    </row>
    <row r="79" spans="1:8" hidden="1" x14ac:dyDescent="0.25">
      <c r="A79" s="196" t="s">
        <v>311</v>
      </c>
      <c r="B79" s="185"/>
      <c r="C79" s="185"/>
      <c r="D79" s="185"/>
      <c r="E79" s="185"/>
      <c r="F79" s="185"/>
      <c r="G79" s="185"/>
      <c r="H79" s="197" t="e">
        <f t="shared" ref="H79:H90" si="2">G79/E79</f>
        <v>#DIV/0!</v>
      </c>
    </row>
    <row r="80" spans="1:8" hidden="1" x14ac:dyDescent="0.25">
      <c r="A80" s="196" t="s">
        <v>313</v>
      </c>
      <c r="B80" s="185"/>
      <c r="C80" s="185"/>
      <c r="D80" s="185"/>
      <c r="E80" s="185"/>
      <c r="F80" s="185"/>
      <c r="G80" s="185"/>
      <c r="H80" s="197" t="e">
        <f t="shared" si="2"/>
        <v>#DIV/0!</v>
      </c>
    </row>
    <row r="81" spans="1:8" hidden="1" x14ac:dyDescent="0.25">
      <c r="A81" s="196" t="s">
        <v>314</v>
      </c>
      <c r="B81" s="185"/>
      <c r="C81" s="185"/>
      <c r="D81" s="185"/>
      <c r="E81" s="185"/>
      <c r="F81" s="185"/>
      <c r="G81" s="185"/>
      <c r="H81" s="197" t="e">
        <f t="shared" si="2"/>
        <v>#DIV/0!</v>
      </c>
    </row>
    <row r="82" spans="1:8" hidden="1" x14ac:dyDescent="0.25">
      <c r="A82" s="196" t="s">
        <v>315</v>
      </c>
      <c r="B82" s="185"/>
      <c r="C82" s="185"/>
      <c r="D82" s="185"/>
      <c r="E82" s="185"/>
      <c r="F82" s="185"/>
      <c r="G82" s="185"/>
      <c r="H82" s="197" t="e">
        <f t="shared" si="2"/>
        <v>#DIV/0!</v>
      </c>
    </row>
    <row r="83" spans="1:8" hidden="1" x14ac:dyDescent="0.25">
      <c r="A83" s="196" t="s">
        <v>316</v>
      </c>
      <c r="B83" s="185"/>
      <c r="C83" s="185"/>
      <c r="D83" s="185"/>
      <c r="E83" s="185"/>
      <c r="F83" s="185"/>
      <c r="G83" s="185"/>
      <c r="H83" s="197" t="e">
        <f t="shared" si="2"/>
        <v>#DIV/0!</v>
      </c>
    </row>
    <row r="84" spans="1:8" hidden="1" x14ac:dyDescent="0.25">
      <c r="A84" s="196" t="s">
        <v>317</v>
      </c>
      <c r="B84" s="185"/>
      <c r="C84" s="185"/>
      <c r="D84" s="185"/>
      <c r="E84" s="185"/>
      <c r="F84" s="185"/>
      <c r="G84" s="185"/>
      <c r="H84" s="197" t="e">
        <f t="shared" si="2"/>
        <v>#DIV/0!</v>
      </c>
    </row>
    <row r="85" spans="1:8" hidden="1" x14ac:dyDescent="0.25">
      <c r="A85" s="196" t="s">
        <v>318</v>
      </c>
      <c r="B85" s="185"/>
      <c r="C85" s="185"/>
      <c r="D85" s="185"/>
      <c r="E85" s="185"/>
      <c r="F85" s="185"/>
      <c r="G85" s="185"/>
      <c r="H85" s="197" t="e">
        <f t="shared" si="2"/>
        <v>#DIV/0!</v>
      </c>
    </row>
    <row r="86" spans="1:8" hidden="1" x14ac:dyDescent="0.25">
      <c r="A86" s="196" t="s">
        <v>319</v>
      </c>
      <c r="B86" s="185"/>
      <c r="C86" s="185"/>
      <c r="D86" s="185"/>
      <c r="E86" s="185"/>
      <c r="F86" s="185"/>
      <c r="G86" s="185"/>
      <c r="H86" s="197" t="e">
        <f t="shared" si="2"/>
        <v>#DIV/0!</v>
      </c>
    </row>
    <row r="87" spans="1:8" hidden="1" x14ac:dyDescent="0.25">
      <c r="A87" s="196" t="s">
        <v>320</v>
      </c>
      <c r="B87" s="185"/>
      <c r="C87" s="185"/>
      <c r="D87" s="185"/>
      <c r="E87" s="185"/>
      <c r="F87" s="185"/>
      <c r="G87" s="185"/>
      <c r="H87" s="197" t="e">
        <f t="shared" si="2"/>
        <v>#DIV/0!</v>
      </c>
    </row>
    <row r="88" spans="1:8" hidden="1" x14ac:dyDescent="0.25">
      <c r="A88" s="196" t="s">
        <v>321</v>
      </c>
      <c r="B88" s="185"/>
      <c r="C88" s="185"/>
      <c r="D88" s="185"/>
      <c r="E88" s="185"/>
      <c r="F88" s="185"/>
      <c r="G88" s="185"/>
      <c r="H88" s="197" t="e">
        <f t="shared" si="2"/>
        <v>#DIV/0!</v>
      </c>
    </row>
    <row r="89" spans="1:8" hidden="1" x14ac:dyDescent="0.25">
      <c r="A89" s="196" t="s">
        <v>322</v>
      </c>
      <c r="B89" s="185"/>
      <c r="C89" s="185"/>
      <c r="D89" s="185"/>
      <c r="E89" s="185"/>
      <c r="F89" s="185"/>
      <c r="G89" s="185"/>
      <c r="H89" s="197" t="e">
        <f t="shared" si="2"/>
        <v>#DIV/0!</v>
      </c>
    </row>
    <row r="90" spans="1:8" ht="15.75" hidden="1" thickBot="1" x14ac:dyDescent="0.3">
      <c r="A90" s="198" t="s">
        <v>323</v>
      </c>
      <c r="B90" s="199"/>
      <c r="C90" s="199"/>
      <c r="D90" s="199"/>
      <c r="E90" s="199"/>
      <c r="F90" s="199"/>
      <c r="G90" s="199"/>
      <c r="H90" s="197" t="e">
        <f t="shared" si="2"/>
        <v>#DIV/0!</v>
      </c>
    </row>
    <row r="91" spans="1:8" ht="15.75" hidden="1" thickBot="1" x14ac:dyDescent="0.3"/>
    <row r="92" spans="1:8" ht="20.25" hidden="1" x14ac:dyDescent="0.25">
      <c r="A92" s="981" t="s">
        <v>326</v>
      </c>
      <c r="B92" s="981"/>
      <c r="C92" s="981"/>
      <c r="D92" s="981"/>
      <c r="E92" s="981"/>
      <c r="F92" s="981"/>
      <c r="G92" s="981"/>
      <c r="H92" s="981"/>
    </row>
    <row r="93" spans="1:8" ht="25.5" hidden="1" x14ac:dyDescent="0.25">
      <c r="A93" s="191" t="s">
        <v>29</v>
      </c>
      <c r="B93" s="192" t="s">
        <v>304</v>
      </c>
      <c r="C93" s="192" t="s">
        <v>305</v>
      </c>
      <c r="D93" s="192" t="s">
        <v>306</v>
      </c>
      <c r="E93" s="192" t="s">
        <v>307</v>
      </c>
      <c r="F93" s="192" t="s">
        <v>308</v>
      </c>
      <c r="G93" s="192" t="s">
        <v>309</v>
      </c>
      <c r="H93" s="193" t="s">
        <v>310</v>
      </c>
    </row>
    <row r="94" spans="1:8" hidden="1" x14ac:dyDescent="0.25">
      <c r="A94" s="196" t="s">
        <v>311</v>
      </c>
      <c r="B94" s="185"/>
      <c r="C94" s="185"/>
      <c r="D94" s="185"/>
      <c r="E94" s="185"/>
      <c r="F94" s="185"/>
      <c r="G94" s="185"/>
      <c r="H94" s="197" t="e">
        <f t="shared" ref="H94:H105" si="3">G94/E94</f>
        <v>#DIV/0!</v>
      </c>
    </row>
    <row r="95" spans="1:8" hidden="1" x14ac:dyDescent="0.25">
      <c r="A95" s="196" t="s">
        <v>313</v>
      </c>
      <c r="B95" s="185"/>
      <c r="C95" s="185"/>
      <c r="D95" s="185"/>
      <c r="E95" s="185"/>
      <c r="F95" s="185"/>
      <c r="G95" s="185"/>
      <c r="H95" s="197" t="e">
        <f t="shared" si="3"/>
        <v>#DIV/0!</v>
      </c>
    </row>
    <row r="96" spans="1:8" hidden="1" x14ac:dyDescent="0.25">
      <c r="A96" s="196" t="s">
        <v>314</v>
      </c>
      <c r="B96" s="185"/>
      <c r="C96" s="185"/>
      <c r="D96" s="185"/>
      <c r="E96" s="185"/>
      <c r="F96" s="185"/>
      <c r="G96" s="185"/>
      <c r="H96" s="197" t="e">
        <f t="shared" si="3"/>
        <v>#DIV/0!</v>
      </c>
    </row>
    <row r="97" spans="1:17" hidden="1" x14ac:dyDescent="0.25">
      <c r="A97" s="196" t="s">
        <v>315</v>
      </c>
      <c r="B97" s="185"/>
      <c r="C97" s="185"/>
      <c r="D97" s="185"/>
      <c r="E97" s="185"/>
      <c r="F97" s="185"/>
      <c r="G97" s="185"/>
      <c r="H97" s="197" t="e">
        <f t="shared" si="3"/>
        <v>#DIV/0!</v>
      </c>
    </row>
    <row r="98" spans="1:17" hidden="1" x14ac:dyDescent="0.25">
      <c r="A98" s="196" t="s">
        <v>316</v>
      </c>
      <c r="B98" s="185"/>
      <c r="C98" s="185"/>
      <c r="D98" s="185"/>
      <c r="E98" s="185"/>
      <c r="F98" s="185"/>
      <c r="G98" s="185"/>
      <c r="H98" s="197" t="e">
        <f t="shared" si="3"/>
        <v>#DIV/0!</v>
      </c>
    </row>
    <row r="99" spans="1:17" hidden="1" x14ac:dyDescent="0.25">
      <c r="A99" s="196" t="s">
        <v>317</v>
      </c>
      <c r="B99" s="185"/>
      <c r="C99" s="185"/>
      <c r="D99" s="185"/>
      <c r="E99" s="185"/>
      <c r="F99" s="185"/>
      <c r="G99" s="185"/>
      <c r="H99" s="197" t="e">
        <f t="shared" si="3"/>
        <v>#DIV/0!</v>
      </c>
    </row>
    <row r="100" spans="1:17" hidden="1" x14ac:dyDescent="0.25">
      <c r="A100" s="196" t="s">
        <v>318</v>
      </c>
      <c r="B100" s="185"/>
      <c r="C100" s="185"/>
      <c r="D100" s="185"/>
      <c r="E100" s="185"/>
      <c r="F100" s="185"/>
      <c r="G100" s="185"/>
      <c r="H100" s="197" t="e">
        <f t="shared" si="3"/>
        <v>#DIV/0!</v>
      </c>
    </row>
    <row r="101" spans="1:17" hidden="1" x14ac:dyDescent="0.25">
      <c r="A101" s="196" t="s">
        <v>319</v>
      </c>
      <c r="B101" s="185"/>
      <c r="C101" s="185"/>
      <c r="D101" s="185"/>
      <c r="E101" s="185"/>
      <c r="F101" s="185"/>
      <c r="G101" s="185"/>
      <c r="H101" s="197" t="e">
        <f t="shared" si="3"/>
        <v>#DIV/0!</v>
      </c>
    </row>
    <row r="102" spans="1:17" hidden="1" x14ac:dyDescent="0.25">
      <c r="A102" s="196" t="s">
        <v>320</v>
      </c>
      <c r="B102" s="185"/>
      <c r="C102" s="185"/>
      <c r="D102" s="185"/>
      <c r="E102" s="185"/>
      <c r="F102" s="185"/>
      <c r="G102" s="185"/>
      <c r="H102" s="197" t="e">
        <f t="shared" si="3"/>
        <v>#DIV/0!</v>
      </c>
    </row>
    <row r="103" spans="1:17" hidden="1" x14ac:dyDescent="0.25">
      <c r="A103" s="196" t="s">
        <v>321</v>
      </c>
      <c r="B103" s="185"/>
      <c r="C103" s="185"/>
      <c r="D103" s="185"/>
      <c r="E103" s="185"/>
      <c r="F103" s="185"/>
      <c r="G103" s="185"/>
      <c r="H103" s="197" t="e">
        <f t="shared" si="3"/>
        <v>#DIV/0!</v>
      </c>
    </row>
    <row r="104" spans="1:17" hidden="1" x14ac:dyDescent="0.25">
      <c r="A104" s="196" t="s">
        <v>322</v>
      </c>
      <c r="B104" s="185"/>
      <c r="C104" s="185"/>
      <c r="D104" s="185"/>
      <c r="E104" s="185"/>
      <c r="F104" s="185"/>
      <c r="G104" s="185"/>
      <c r="H104" s="197" t="e">
        <f t="shared" si="3"/>
        <v>#DIV/0!</v>
      </c>
    </row>
    <row r="105" spans="1:17" ht="15.75" hidden="1" thickBot="1" x14ac:dyDescent="0.3">
      <c r="A105" s="198" t="s">
        <v>323</v>
      </c>
      <c r="B105" s="199"/>
      <c r="C105" s="199"/>
      <c r="D105" s="199"/>
      <c r="E105" s="199"/>
      <c r="F105" s="199"/>
      <c r="G105" s="199"/>
      <c r="H105" s="197" t="e">
        <f t="shared" si="3"/>
        <v>#DIV/0!</v>
      </c>
    </row>
    <row r="107" spans="1:17" ht="20.25" hidden="1" x14ac:dyDescent="0.25">
      <c r="A107" s="985" t="s">
        <v>425</v>
      </c>
      <c r="B107" s="985"/>
      <c r="C107" s="985"/>
      <c r="D107" s="985"/>
      <c r="E107" s="985"/>
      <c r="F107" s="985"/>
      <c r="G107" s="985"/>
      <c r="H107" s="985"/>
      <c r="I107" s="985"/>
      <c r="J107" s="985"/>
      <c r="K107" s="985"/>
      <c r="L107" s="985"/>
      <c r="M107" s="985"/>
      <c r="N107" s="985"/>
    </row>
    <row r="108" spans="1:17" ht="38.25" hidden="1" x14ac:dyDescent="0.25">
      <c r="A108" s="191" t="s">
        <v>25</v>
      </c>
      <c r="B108" s="242" t="s">
        <v>328</v>
      </c>
      <c r="C108" s="243" t="s">
        <v>329</v>
      </c>
      <c r="D108" s="244" t="s">
        <v>330</v>
      </c>
      <c r="E108" s="244" t="s">
        <v>331</v>
      </c>
      <c r="F108" s="244" t="s">
        <v>426</v>
      </c>
      <c r="G108" s="244" t="s">
        <v>333</v>
      </c>
      <c r="H108" s="244" t="s">
        <v>427</v>
      </c>
      <c r="I108" s="244" t="s">
        <v>428</v>
      </c>
      <c r="J108" s="245" t="s">
        <v>429</v>
      </c>
      <c r="K108" s="244" t="s">
        <v>337</v>
      </c>
      <c r="L108" s="244" t="s">
        <v>338</v>
      </c>
      <c r="M108" s="244" t="s">
        <v>339</v>
      </c>
      <c r="N108" s="246" t="s">
        <v>340</v>
      </c>
      <c r="Q108" s="247">
        <f>J114-J113</f>
        <v>9.9999999999999978E-2</v>
      </c>
    </row>
    <row r="109" spans="1:17" ht="15.75" hidden="1" thickBot="1" x14ac:dyDescent="0.3">
      <c r="A109" s="248" t="s">
        <v>318</v>
      </c>
      <c r="B109" s="983" t="s">
        <v>430</v>
      </c>
      <c r="C109" s="984" t="s">
        <v>431</v>
      </c>
      <c r="D109" s="986" t="s">
        <v>346</v>
      </c>
      <c r="E109" s="967" t="s">
        <v>432</v>
      </c>
      <c r="F109" s="982">
        <v>100</v>
      </c>
      <c r="G109" s="982">
        <v>8</v>
      </c>
      <c r="H109" s="187">
        <v>1</v>
      </c>
      <c r="I109" s="185"/>
      <c r="J109" s="185">
        <f>I109/H109</f>
        <v>0</v>
      </c>
      <c r="K109" s="185"/>
      <c r="L109" s="185"/>
      <c r="M109" s="186" t="s">
        <v>90</v>
      </c>
      <c r="N109" s="197"/>
      <c r="O109" s="249">
        <f t="shared" ref="O109:O114" si="4">LEN(N109)</f>
        <v>0</v>
      </c>
    </row>
    <row r="110" spans="1:17" ht="15.75" hidden="1" thickBot="1" x14ac:dyDescent="0.3">
      <c r="A110" s="248" t="s">
        <v>319</v>
      </c>
      <c r="B110" s="983"/>
      <c r="C110" s="984"/>
      <c r="D110" s="986"/>
      <c r="E110" s="967"/>
      <c r="F110" s="982"/>
      <c r="G110" s="982"/>
      <c r="H110" s="187">
        <v>1</v>
      </c>
      <c r="I110" s="185"/>
      <c r="J110" s="185">
        <f>I110/H110</f>
        <v>0</v>
      </c>
      <c r="K110" s="185"/>
      <c r="L110" s="185"/>
      <c r="M110" s="186" t="s">
        <v>90</v>
      </c>
      <c r="N110" s="197"/>
      <c r="O110" s="249">
        <f t="shared" si="4"/>
        <v>0</v>
      </c>
    </row>
    <row r="111" spans="1:17" ht="15.75" hidden="1" thickBot="1" x14ac:dyDescent="0.3">
      <c r="A111" s="248" t="s">
        <v>320</v>
      </c>
      <c r="B111" s="983"/>
      <c r="C111" s="984"/>
      <c r="D111" s="986"/>
      <c r="E111" s="967"/>
      <c r="F111" s="982"/>
      <c r="G111" s="982"/>
      <c r="H111" s="187">
        <v>1</v>
      </c>
      <c r="I111" s="185"/>
      <c r="J111" s="185">
        <f>I111/H111</f>
        <v>0</v>
      </c>
      <c r="K111" s="185"/>
      <c r="L111" s="185"/>
      <c r="M111" s="186" t="s">
        <v>90</v>
      </c>
      <c r="N111" s="197"/>
      <c r="O111" s="249">
        <f t="shared" si="4"/>
        <v>0</v>
      </c>
    </row>
    <row r="112" spans="1:17" s="252" customFormat="1" ht="15.75" hidden="1" thickBot="1" x14ac:dyDescent="0.3">
      <c r="A112" s="194" t="s">
        <v>321</v>
      </c>
      <c r="B112" s="983"/>
      <c r="C112" s="984"/>
      <c r="D112" s="986"/>
      <c r="E112" s="967"/>
      <c r="F112" s="982"/>
      <c r="G112" s="982"/>
      <c r="H112" s="43">
        <v>1</v>
      </c>
      <c r="I112" s="201">
        <v>0.4</v>
      </c>
      <c r="J112" s="250">
        <f>I112/H112</f>
        <v>0.4</v>
      </c>
      <c r="K112" s="201"/>
      <c r="L112" s="201"/>
      <c r="M112" s="43" t="s">
        <v>90</v>
      </c>
      <c r="N112" s="251" t="s">
        <v>433</v>
      </c>
      <c r="O112" s="249">
        <f t="shared" si="4"/>
        <v>190</v>
      </c>
    </row>
    <row r="113" spans="1:15" s="1" customFormat="1" ht="15.75" hidden="1" thickBot="1" x14ac:dyDescent="0.3">
      <c r="A113" s="253" t="s">
        <v>322</v>
      </c>
      <c r="B113" s="983"/>
      <c r="C113" s="984"/>
      <c r="D113" s="986"/>
      <c r="E113" s="967"/>
      <c r="F113" s="982"/>
      <c r="G113" s="982"/>
      <c r="H113" s="43">
        <v>1</v>
      </c>
      <c r="I113" s="78">
        <v>0.9</v>
      </c>
      <c r="J113" s="254">
        <f>+I113</f>
        <v>0.9</v>
      </c>
      <c r="K113" s="78"/>
      <c r="L113" s="78"/>
      <c r="M113" s="255" t="s">
        <v>90</v>
      </c>
      <c r="N113" s="190" t="s">
        <v>434</v>
      </c>
      <c r="O113" s="256">
        <f t="shared" si="4"/>
        <v>199</v>
      </c>
    </row>
    <row r="114" spans="1:15" ht="15.75" hidden="1" thickBot="1" x14ac:dyDescent="0.3">
      <c r="A114" s="257" t="s">
        <v>323</v>
      </c>
      <c r="B114" s="983"/>
      <c r="C114" s="984"/>
      <c r="D114" s="986"/>
      <c r="E114" s="967"/>
      <c r="F114" s="982"/>
      <c r="G114" s="982"/>
      <c r="H114" s="258">
        <v>1</v>
      </c>
      <c r="I114" s="259">
        <v>1</v>
      </c>
      <c r="J114" s="260">
        <v>1</v>
      </c>
      <c r="K114" s="259"/>
      <c r="L114" s="259"/>
      <c r="M114" s="261" t="s">
        <v>90</v>
      </c>
      <c r="N114" s="262" t="s">
        <v>435</v>
      </c>
      <c r="O114" s="249">
        <f t="shared" si="4"/>
        <v>193</v>
      </c>
    </row>
    <row r="115" spans="1:15" hidden="1" x14ac:dyDescent="0.25">
      <c r="A115" s="263"/>
      <c r="B115" s="264"/>
      <c r="C115" s="264"/>
      <c r="D115" s="264"/>
      <c r="E115" s="264"/>
      <c r="F115" s="189"/>
      <c r="G115" s="189"/>
      <c r="H115" s="189"/>
      <c r="O115" s="264"/>
    </row>
    <row r="116" spans="1:15" ht="15.75" hidden="1" thickBot="1" x14ac:dyDescent="0.3">
      <c r="A116" s="263"/>
      <c r="B116" s="264"/>
      <c r="C116" s="264"/>
      <c r="D116" s="264"/>
      <c r="E116" s="264"/>
      <c r="F116" s="189"/>
      <c r="G116" s="189"/>
      <c r="H116" s="189"/>
      <c r="O116" s="264"/>
    </row>
    <row r="117" spans="1:15" ht="38.25" hidden="1" x14ac:dyDescent="0.25">
      <c r="A117" s="265" t="s">
        <v>25</v>
      </c>
      <c r="B117" s="266" t="s">
        <v>328</v>
      </c>
      <c r="C117" s="243" t="s">
        <v>329</v>
      </c>
      <c r="D117" s="244" t="s">
        <v>330</v>
      </c>
      <c r="E117" s="244" t="s">
        <v>331</v>
      </c>
      <c r="F117" s="244" t="s">
        <v>426</v>
      </c>
      <c r="G117" s="244" t="s">
        <v>333</v>
      </c>
      <c r="H117" s="244" t="s">
        <v>427</v>
      </c>
      <c r="I117" s="244" t="s">
        <v>428</v>
      </c>
      <c r="J117" s="245" t="s">
        <v>429</v>
      </c>
      <c r="K117" s="244" t="s">
        <v>337</v>
      </c>
      <c r="L117" s="244" t="s">
        <v>338</v>
      </c>
      <c r="M117" s="244" t="s">
        <v>339</v>
      </c>
      <c r="N117" s="246" t="s">
        <v>340</v>
      </c>
      <c r="O117" s="264"/>
    </row>
    <row r="118" spans="1:15" ht="15.75" hidden="1" thickBot="1" x14ac:dyDescent="0.3">
      <c r="A118" s="248" t="s">
        <v>318</v>
      </c>
      <c r="B118" s="983" t="s">
        <v>436</v>
      </c>
      <c r="C118" s="984" t="s">
        <v>437</v>
      </c>
      <c r="D118" s="967" t="s">
        <v>438</v>
      </c>
      <c r="E118" s="967" t="s">
        <v>439</v>
      </c>
      <c r="F118" s="982">
        <v>100</v>
      </c>
      <c r="G118" s="982">
        <v>370</v>
      </c>
      <c r="H118" s="187">
        <v>5</v>
      </c>
      <c r="I118" s="185"/>
      <c r="J118" s="185">
        <f t="shared" ref="J118:J123" si="5">I118/H118</f>
        <v>0</v>
      </c>
      <c r="K118" s="185"/>
      <c r="L118" s="185"/>
      <c r="M118" s="186" t="s">
        <v>90</v>
      </c>
      <c r="N118" s="197"/>
      <c r="O118" s="249">
        <f t="shared" ref="O118:O123" si="6">LEN(N118)</f>
        <v>0</v>
      </c>
    </row>
    <row r="119" spans="1:15" ht="15.75" hidden="1" thickBot="1" x14ac:dyDescent="0.3">
      <c r="A119" s="248" t="s">
        <v>319</v>
      </c>
      <c r="B119" s="983"/>
      <c r="C119" s="984"/>
      <c r="D119" s="967"/>
      <c r="E119" s="967"/>
      <c r="F119" s="982"/>
      <c r="G119" s="982"/>
      <c r="H119" s="187">
        <v>5</v>
      </c>
      <c r="I119" s="185"/>
      <c r="J119" s="185">
        <f t="shared" si="5"/>
        <v>0</v>
      </c>
      <c r="K119" s="185"/>
      <c r="L119" s="185"/>
      <c r="M119" s="186" t="s">
        <v>90</v>
      </c>
      <c r="N119" s="197"/>
      <c r="O119" s="249">
        <f t="shared" si="6"/>
        <v>0</v>
      </c>
    </row>
    <row r="120" spans="1:15" ht="15.75" hidden="1" thickBot="1" x14ac:dyDescent="0.3">
      <c r="A120" s="248" t="s">
        <v>320</v>
      </c>
      <c r="B120" s="983"/>
      <c r="C120" s="984"/>
      <c r="D120" s="967"/>
      <c r="E120" s="967"/>
      <c r="F120" s="982"/>
      <c r="G120" s="982"/>
      <c r="H120" s="187">
        <v>5</v>
      </c>
      <c r="I120" s="185"/>
      <c r="J120" s="185">
        <f t="shared" si="5"/>
        <v>0</v>
      </c>
      <c r="K120" s="185"/>
      <c r="L120" s="185"/>
      <c r="M120" s="186" t="s">
        <v>90</v>
      </c>
      <c r="N120" s="197"/>
      <c r="O120" s="249">
        <f t="shared" si="6"/>
        <v>0</v>
      </c>
    </row>
    <row r="121" spans="1:15" s="252" customFormat="1" ht="15.75" hidden="1" thickBot="1" x14ac:dyDescent="0.3">
      <c r="A121" s="194" t="s">
        <v>321</v>
      </c>
      <c r="B121" s="983"/>
      <c r="C121" s="984"/>
      <c r="D121" s="967"/>
      <c r="E121" s="967"/>
      <c r="F121" s="982"/>
      <c r="G121" s="982"/>
      <c r="H121" s="43">
        <v>5</v>
      </c>
      <c r="I121" s="201">
        <v>1.54</v>
      </c>
      <c r="J121" s="250">
        <f t="shared" si="5"/>
        <v>0.308</v>
      </c>
      <c r="K121" s="201"/>
      <c r="L121" s="201"/>
      <c r="M121" s="43" t="s">
        <v>90</v>
      </c>
      <c r="N121" s="251" t="s">
        <v>440</v>
      </c>
      <c r="O121" s="267">
        <f t="shared" si="6"/>
        <v>200</v>
      </c>
    </row>
    <row r="122" spans="1:15" ht="15.75" hidden="1" thickBot="1" x14ac:dyDescent="0.3">
      <c r="A122" s="253" t="s">
        <v>322</v>
      </c>
      <c r="B122" s="983"/>
      <c r="C122" s="984"/>
      <c r="D122" s="967"/>
      <c r="E122" s="967"/>
      <c r="F122" s="982"/>
      <c r="G122" s="982"/>
      <c r="H122" s="43">
        <v>5</v>
      </c>
      <c r="I122" s="78">
        <v>2.54</v>
      </c>
      <c r="J122" s="268">
        <f t="shared" si="5"/>
        <v>0.50800000000000001</v>
      </c>
      <c r="K122" s="78"/>
      <c r="L122" s="78"/>
      <c r="M122" s="255" t="s">
        <v>90</v>
      </c>
      <c r="N122" s="190" t="s">
        <v>441</v>
      </c>
      <c r="O122" s="249">
        <f t="shared" si="6"/>
        <v>121</v>
      </c>
    </row>
    <row r="123" spans="1:15" ht="15.75" hidden="1" thickBot="1" x14ac:dyDescent="0.3">
      <c r="A123" s="257" t="s">
        <v>323</v>
      </c>
      <c r="B123" s="983"/>
      <c r="C123" s="984"/>
      <c r="D123" s="967"/>
      <c r="E123" s="967"/>
      <c r="F123" s="982"/>
      <c r="G123" s="982"/>
      <c r="H123" s="258">
        <v>5</v>
      </c>
      <c r="I123" s="259">
        <v>5.29</v>
      </c>
      <c r="J123" s="269">
        <f t="shared" si="5"/>
        <v>1.0580000000000001</v>
      </c>
      <c r="K123" s="259"/>
      <c r="L123" s="259"/>
      <c r="M123" s="261" t="s">
        <v>90</v>
      </c>
      <c r="N123" s="262" t="s">
        <v>442</v>
      </c>
      <c r="O123" s="249">
        <f t="shared" si="6"/>
        <v>121</v>
      </c>
    </row>
    <row r="124" spans="1:15" hidden="1" x14ac:dyDescent="0.25">
      <c r="A124" s="263"/>
      <c r="B124" s="264"/>
      <c r="C124" s="264"/>
      <c r="D124" s="264"/>
      <c r="E124" s="264"/>
      <c r="F124" s="189"/>
      <c r="G124" s="189"/>
      <c r="H124" s="189"/>
      <c r="O124" s="264"/>
    </row>
    <row r="125" spans="1:15" ht="15.75" hidden="1" thickBot="1" x14ac:dyDescent="0.3">
      <c r="A125" s="263"/>
      <c r="B125" s="264"/>
      <c r="C125" s="264"/>
      <c r="D125" s="264"/>
      <c r="E125" s="264"/>
      <c r="F125" s="189"/>
      <c r="G125" s="189"/>
      <c r="H125" s="189"/>
      <c r="O125" s="264"/>
    </row>
    <row r="126" spans="1:15" ht="38.25" hidden="1" x14ac:dyDescent="0.25">
      <c r="A126" s="265" t="s">
        <v>25</v>
      </c>
      <c r="B126" s="266" t="s">
        <v>328</v>
      </c>
      <c r="C126" s="243" t="s">
        <v>329</v>
      </c>
      <c r="D126" s="244" t="s">
        <v>330</v>
      </c>
      <c r="E126" s="244" t="s">
        <v>331</v>
      </c>
      <c r="F126" s="244" t="s">
        <v>426</v>
      </c>
      <c r="G126" s="244" t="s">
        <v>333</v>
      </c>
      <c r="H126" s="244" t="s">
        <v>427</v>
      </c>
      <c r="I126" s="244" t="s">
        <v>428</v>
      </c>
      <c r="J126" s="245" t="s">
        <v>429</v>
      </c>
      <c r="K126" s="244" t="s">
        <v>337</v>
      </c>
      <c r="L126" s="244" t="s">
        <v>338</v>
      </c>
      <c r="M126" s="244" t="s">
        <v>339</v>
      </c>
      <c r="N126" s="246" t="s">
        <v>340</v>
      </c>
      <c r="O126" s="264"/>
    </row>
    <row r="127" spans="1:15" ht="15.75" hidden="1" thickBot="1" x14ac:dyDescent="0.3">
      <c r="A127" s="248" t="s">
        <v>318</v>
      </c>
      <c r="B127" s="983" t="s">
        <v>436</v>
      </c>
      <c r="C127" s="984" t="s">
        <v>437</v>
      </c>
      <c r="D127" s="967" t="s">
        <v>443</v>
      </c>
      <c r="E127" s="967" t="s">
        <v>439</v>
      </c>
      <c r="F127" s="982">
        <v>100</v>
      </c>
      <c r="G127" s="982">
        <v>590</v>
      </c>
      <c r="H127" s="187">
        <v>54</v>
      </c>
      <c r="I127" s="185"/>
      <c r="J127" s="185">
        <f t="shared" ref="J127:J132" si="7">I127/H127</f>
        <v>0</v>
      </c>
      <c r="K127" s="185"/>
      <c r="L127" s="185"/>
      <c r="M127" s="186" t="s">
        <v>90</v>
      </c>
      <c r="N127" s="197"/>
      <c r="O127" s="249">
        <f t="shared" ref="O127:O132" si="8">LEN(N127)</f>
        <v>0</v>
      </c>
    </row>
    <row r="128" spans="1:15" ht="15.75" hidden="1" thickBot="1" x14ac:dyDescent="0.3">
      <c r="A128" s="248" t="s">
        <v>319</v>
      </c>
      <c r="B128" s="983"/>
      <c r="C128" s="984"/>
      <c r="D128" s="967"/>
      <c r="E128" s="967"/>
      <c r="F128" s="982"/>
      <c r="G128" s="982"/>
      <c r="H128" s="187">
        <v>54</v>
      </c>
      <c r="I128" s="185"/>
      <c r="J128" s="185">
        <f t="shared" si="7"/>
        <v>0</v>
      </c>
      <c r="K128" s="185"/>
      <c r="L128" s="185"/>
      <c r="M128" s="186" t="s">
        <v>90</v>
      </c>
      <c r="N128" s="197"/>
      <c r="O128" s="249">
        <f t="shared" si="8"/>
        <v>0</v>
      </c>
    </row>
    <row r="129" spans="1:15" ht="15.75" hidden="1" thickBot="1" x14ac:dyDescent="0.3">
      <c r="A129" s="248" t="s">
        <v>320</v>
      </c>
      <c r="B129" s="983"/>
      <c r="C129" s="984"/>
      <c r="D129" s="967"/>
      <c r="E129" s="967"/>
      <c r="F129" s="982"/>
      <c r="G129" s="982"/>
      <c r="H129" s="187">
        <v>54</v>
      </c>
      <c r="I129" s="185"/>
      <c r="J129" s="185">
        <f t="shared" si="7"/>
        <v>0</v>
      </c>
      <c r="K129" s="185"/>
      <c r="L129" s="185"/>
      <c r="M129" s="186" t="s">
        <v>90</v>
      </c>
      <c r="N129" s="197"/>
      <c r="O129" s="249">
        <f t="shared" si="8"/>
        <v>0</v>
      </c>
    </row>
    <row r="130" spans="1:15" s="252" customFormat="1" ht="15.75" hidden="1" thickBot="1" x14ac:dyDescent="0.3">
      <c r="A130" s="194" t="s">
        <v>321</v>
      </c>
      <c r="B130" s="983"/>
      <c r="C130" s="984"/>
      <c r="D130" s="967"/>
      <c r="E130" s="967"/>
      <c r="F130" s="982"/>
      <c r="G130" s="982"/>
      <c r="H130" s="43">
        <v>54</v>
      </c>
      <c r="I130" s="201">
        <v>4.24</v>
      </c>
      <c r="J130" s="250">
        <f t="shared" si="7"/>
        <v>7.8518518518518529E-2</v>
      </c>
      <c r="K130" s="201"/>
      <c r="L130" s="201"/>
      <c r="M130" s="43" t="s">
        <v>90</v>
      </c>
      <c r="N130" s="251" t="s">
        <v>444</v>
      </c>
      <c r="O130" s="267">
        <f t="shared" si="8"/>
        <v>170</v>
      </c>
    </row>
    <row r="131" spans="1:15" ht="15.75" hidden="1" thickBot="1" x14ac:dyDescent="0.3">
      <c r="A131" s="253" t="s">
        <v>322</v>
      </c>
      <c r="B131" s="983"/>
      <c r="C131" s="984"/>
      <c r="D131" s="967"/>
      <c r="E131" s="967"/>
      <c r="F131" s="982"/>
      <c r="G131" s="982"/>
      <c r="H131" s="43">
        <v>54</v>
      </c>
      <c r="I131" s="78">
        <v>4.8099999999999996</v>
      </c>
      <c r="J131" s="270">
        <f t="shared" si="7"/>
        <v>8.9074074074074069E-2</v>
      </c>
      <c r="K131" s="78"/>
      <c r="L131" s="78"/>
      <c r="M131" s="255" t="s">
        <v>90</v>
      </c>
      <c r="N131" s="190" t="s">
        <v>445</v>
      </c>
      <c r="O131" s="249">
        <f t="shared" si="8"/>
        <v>200</v>
      </c>
    </row>
    <row r="132" spans="1:15" ht="15.75" hidden="1" thickBot="1" x14ac:dyDescent="0.3">
      <c r="A132" s="257" t="s">
        <v>323</v>
      </c>
      <c r="B132" s="983"/>
      <c r="C132" s="984"/>
      <c r="D132" s="967"/>
      <c r="E132" s="967"/>
      <c r="F132" s="982"/>
      <c r="G132" s="982"/>
      <c r="H132" s="258">
        <v>54</v>
      </c>
      <c r="I132" s="259">
        <v>5.24</v>
      </c>
      <c r="J132" s="269">
        <f t="shared" si="7"/>
        <v>9.7037037037037047E-2</v>
      </c>
      <c r="K132" s="259"/>
      <c r="L132" s="259"/>
      <c r="M132" s="261" t="s">
        <v>90</v>
      </c>
      <c r="N132" s="262" t="s">
        <v>446</v>
      </c>
      <c r="O132" s="249">
        <f t="shared" si="8"/>
        <v>198</v>
      </c>
    </row>
    <row r="133" spans="1:15" hidden="1" x14ac:dyDescent="0.25">
      <c r="A133" s="263"/>
      <c r="B133" s="264"/>
      <c r="C133" s="264"/>
      <c r="D133" s="264"/>
      <c r="E133" s="264"/>
      <c r="F133" s="189"/>
      <c r="G133" s="189"/>
      <c r="H133" s="189"/>
      <c r="O133" s="264"/>
    </row>
    <row r="134" spans="1:15" ht="15.75" hidden="1" thickBot="1" x14ac:dyDescent="0.3">
      <c r="A134" s="263"/>
      <c r="B134" s="264"/>
      <c r="C134" s="264"/>
      <c r="D134" s="264"/>
      <c r="E134" s="264"/>
      <c r="F134" s="189"/>
      <c r="G134" s="189"/>
      <c r="H134" s="189"/>
      <c r="O134" s="264"/>
    </row>
    <row r="135" spans="1:15" ht="38.25" hidden="1" x14ac:dyDescent="0.25">
      <c r="A135" s="265" t="s">
        <v>25</v>
      </c>
      <c r="B135" s="244" t="s">
        <v>328</v>
      </c>
      <c r="C135" s="244" t="s">
        <v>329</v>
      </c>
      <c r="D135" s="244" t="s">
        <v>330</v>
      </c>
      <c r="E135" s="244" t="s">
        <v>331</v>
      </c>
      <c r="F135" s="244" t="s">
        <v>426</v>
      </c>
      <c r="G135" s="244" t="s">
        <v>333</v>
      </c>
      <c r="H135" s="244" t="s">
        <v>427</v>
      </c>
      <c r="I135" s="244" t="s">
        <v>428</v>
      </c>
      <c r="J135" s="245" t="s">
        <v>429</v>
      </c>
      <c r="K135" s="244" t="s">
        <v>337</v>
      </c>
      <c r="L135" s="244" t="s">
        <v>338</v>
      </c>
      <c r="M135" s="244" t="s">
        <v>339</v>
      </c>
      <c r="N135" s="246" t="s">
        <v>340</v>
      </c>
      <c r="O135" s="264"/>
    </row>
    <row r="136" spans="1:15" ht="15.75" hidden="1" thickBot="1" x14ac:dyDescent="0.3">
      <c r="A136" s="248" t="s">
        <v>318</v>
      </c>
      <c r="B136" s="967" t="s">
        <v>447</v>
      </c>
      <c r="C136" s="967" t="s">
        <v>448</v>
      </c>
      <c r="D136" s="967" t="s">
        <v>343</v>
      </c>
      <c r="E136" s="982" t="s">
        <v>432</v>
      </c>
      <c r="F136" s="982">
        <v>100</v>
      </c>
      <c r="G136" s="982">
        <v>4</v>
      </c>
      <c r="H136" s="202">
        <v>0.27</v>
      </c>
      <c r="I136" s="185"/>
      <c r="J136" s="185">
        <f t="shared" ref="J136:J141" si="9">I136/H136</f>
        <v>0</v>
      </c>
      <c r="K136" s="185"/>
      <c r="L136" s="185"/>
      <c r="M136" s="186" t="s">
        <v>90</v>
      </c>
      <c r="N136" s="197"/>
      <c r="O136" s="249">
        <f t="shared" ref="O136:O141" si="10">LEN(N136)</f>
        <v>0</v>
      </c>
    </row>
    <row r="137" spans="1:15" ht="15.75" hidden="1" thickBot="1" x14ac:dyDescent="0.3">
      <c r="A137" s="248" t="s">
        <v>319</v>
      </c>
      <c r="B137" s="967"/>
      <c r="C137" s="967"/>
      <c r="D137" s="967"/>
      <c r="E137" s="982"/>
      <c r="F137" s="982"/>
      <c r="G137" s="982"/>
      <c r="H137" s="202">
        <v>0.27</v>
      </c>
      <c r="I137" s="185"/>
      <c r="J137" s="185">
        <f t="shared" si="9"/>
        <v>0</v>
      </c>
      <c r="K137" s="185"/>
      <c r="L137" s="185"/>
      <c r="M137" s="186" t="s">
        <v>90</v>
      </c>
      <c r="N137" s="197"/>
      <c r="O137" s="249">
        <f t="shared" si="10"/>
        <v>0</v>
      </c>
    </row>
    <row r="138" spans="1:15" ht="15.75" hidden="1" thickBot="1" x14ac:dyDescent="0.3">
      <c r="A138" s="248" t="s">
        <v>320</v>
      </c>
      <c r="B138" s="967"/>
      <c r="C138" s="967"/>
      <c r="D138" s="967"/>
      <c r="E138" s="982"/>
      <c r="F138" s="982"/>
      <c r="G138" s="982"/>
      <c r="H138" s="202">
        <v>0.27</v>
      </c>
      <c r="I138" s="185"/>
      <c r="J138" s="185">
        <f t="shared" si="9"/>
        <v>0</v>
      </c>
      <c r="K138" s="185"/>
      <c r="L138" s="185"/>
      <c r="M138" s="186" t="s">
        <v>90</v>
      </c>
      <c r="N138" s="197"/>
      <c r="O138" s="249">
        <f t="shared" si="10"/>
        <v>0</v>
      </c>
    </row>
    <row r="139" spans="1:15" s="252" customFormat="1" ht="15.75" hidden="1" thickBot="1" x14ac:dyDescent="0.3">
      <c r="A139" s="194" t="s">
        <v>321</v>
      </c>
      <c r="B139" s="967"/>
      <c r="C139" s="967"/>
      <c r="D139" s="967"/>
      <c r="E139" s="982"/>
      <c r="F139" s="982"/>
      <c r="G139" s="982"/>
      <c r="H139" s="203">
        <v>0.27</v>
      </c>
      <c r="I139" s="201">
        <v>0.14000000000000001</v>
      </c>
      <c r="J139" s="250">
        <f t="shared" si="9"/>
        <v>0.51851851851851849</v>
      </c>
      <c r="K139" s="201"/>
      <c r="L139" s="201"/>
      <c r="M139" s="43" t="s">
        <v>90</v>
      </c>
      <c r="N139" s="251" t="s">
        <v>449</v>
      </c>
      <c r="O139" s="267">
        <f t="shared" si="10"/>
        <v>194</v>
      </c>
    </row>
    <row r="140" spans="1:15" s="1" customFormat="1" ht="15.75" hidden="1" thickBot="1" x14ac:dyDescent="0.3">
      <c r="A140" s="253" t="s">
        <v>322</v>
      </c>
      <c r="B140" s="967"/>
      <c r="C140" s="967"/>
      <c r="D140" s="967"/>
      <c r="E140" s="982"/>
      <c r="F140" s="982"/>
      <c r="G140" s="982"/>
      <c r="H140" s="203">
        <v>0.27</v>
      </c>
      <c r="I140" s="271">
        <v>0.2</v>
      </c>
      <c r="J140" s="268">
        <f t="shared" si="9"/>
        <v>0.7407407407407407</v>
      </c>
      <c r="K140" s="78"/>
      <c r="L140" s="78"/>
      <c r="M140" s="255" t="s">
        <v>90</v>
      </c>
      <c r="N140" s="190" t="s">
        <v>450</v>
      </c>
      <c r="O140" s="256">
        <f t="shared" si="10"/>
        <v>154</v>
      </c>
    </row>
    <row r="141" spans="1:15" ht="15.75" hidden="1" thickBot="1" x14ac:dyDescent="0.3">
      <c r="A141" s="257" t="s">
        <v>323</v>
      </c>
      <c r="B141" s="967"/>
      <c r="C141" s="967"/>
      <c r="D141" s="967"/>
      <c r="E141" s="982"/>
      <c r="F141" s="982"/>
      <c r="G141" s="982"/>
      <c r="H141" s="258">
        <v>0.27</v>
      </c>
      <c r="I141" s="259">
        <v>0.26</v>
      </c>
      <c r="J141" s="269">
        <f t="shared" si="9"/>
        <v>0.96296296296296291</v>
      </c>
      <c r="K141" s="259"/>
      <c r="L141" s="259"/>
      <c r="M141" s="261" t="s">
        <v>90</v>
      </c>
      <c r="N141" s="262" t="s">
        <v>451</v>
      </c>
      <c r="O141" s="249">
        <f t="shared" si="10"/>
        <v>149</v>
      </c>
    </row>
    <row r="142" spans="1:15" s="1" customFormat="1" x14ac:dyDescent="0.25">
      <c r="A142" s="272"/>
      <c r="B142" s="66"/>
      <c r="C142" s="66"/>
      <c r="D142" s="66"/>
      <c r="E142" s="98"/>
      <c r="F142" s="98"/>
      <c r="G142" s="98"/>
      <c r="H142" s="98"/>
      <c r="J142" s="273"/>
      <c r="M142" s="69"/>
      <c r="O142" s="66"/>
    </row>
    <row r="143" spans="1:15" s="1" customFormat="1" ht="15.75" thickBot="1" x14ac:dyDescent="0.3">
      <c r="A143" s="272"/>
      <c r="B143" s="66"/>
      <c r="C143" s="66"/>
      <c r="D143" s="66"/>
      <c r="E143" s="98"/>
      <c r="F143" s="98"/>
      <c r="G143" s="98"/>
      <c r="H143" s="98"/>
      <c r="J143" s="273"/>
      <c r="M143" s="69"/>
      <c r="O143" s="66"/>
    </row>
    <row r="144" spans="1:15" ht="21" thickBot="1" x14ac:dyDescent="0.3">
      <c r="A144" s="985" t="s">
        <v>327</v>
      </c>
      <c r="B144" s="985"/>
      <c r="C144" s="985"/>
      <c r="D144" s="985"/>
      <c r="E144" s="985"/>
      <c r="F144" s="985"/>
      <c r="G144" s="985"/>
      <c r="H144" s="985"/>
      <c r="I144" s="985"/>
      <c r="J144" s="985"/>
      <c r="K144" s="985"/>
      <c r="L144" s="985"/>
      <c r="M144" s="985"/>
      <c r="N144" s="985"/>
    </row>
    <row r="145" spans="1:17" ht="38.25" x14ac:dyDescent="0.25">
      <c r="A145" s="191" t="s">
        <v>26</v>
      </c>
      <c r="B145" s="242" t="s">
        <v>328</v>
      </c>
      <c r="C145" s="243" t="s">
        <v>329</v>
      </c>
      <c r="D145" s="244" t="s">
        <v>330</v>
      </c>
      <c r="E145" s="244" t="s">
        <v>331</v>
      </c>
      <c r="F145" s="244" t="s">
        <v>332</v>
      </c>
      <c r="G145" s="244" t="s">
        <v>333</v>
      </c>
      <c r="H145" s="244" t="s">
        <v>334</v>
      </c>
      <c r="I145" s="244" t="s">
        <v>335</v>
      </c>
      <c r="J145" s="245" t="s">
        <v>336</v>
      </c>
      <c r="K145" s="244" t="s">
        <v>337</v>
      </c>
      <c r="L145" s="244" t="s">
        <v>338</v>
      </c>
      <c r="M145" s="244" t="s">
        <v>339</v>
      </c>
      <c r="N145" s="246" t="s">
        <v>340</v>
      </c>
      <c r="Q145" s="247">
        <f>J157-J156</f>
        <v>0</v>
      </c>
    </row>
    <row r="146" spans="1:17" ht="15.75" thickBot="1" x14ac:dyDescent="0.3">
      <c r="A146" s="274" t="s">
        <v>311</v>
      </c>
      <c r="B146" s="983" t="s">
        <v>430</v>
      </c>
      <c r="C146" s="984" t="s">
        <v>431</v>
      </c>
      <c r="D146" s="986" t="s">
        <v>346</v>
      </c>
      <c r="E146" s="967" t="s">
        <v>432</v>
      </c>
      <c r="F146" s="982">
        <v>100</v>
      </c>
      <c r="G146" s="982">
        <v>8</v>
      </c>
      <c r="H146" s="275">
        <v>2</v>
      </c>
      <c r="I146" s="276">
        <v>0</v>
      </c>
      <c r="J146" s="277">
        <f t="shared" ref="J146:J157" si="11">I146/H146</f>
        <v>0</v>
      </c>
      <c r="K146" s="276"/>
      <c r="L146" s="276"/>
      <c r="M146" s="278" t="s">
        <v>90</v>
      </c>
      <c r="N146" s="279"/>
      <c r="O146" s="249">
        <f t="shared" ref="O146:O157" si="12">LEN(N146)</f>
        <v>0</v>
      </c>
    </row>
    <row r="147" spans="1:17" ht="15.75" thickBot="1" x14ac:dyDescent="0.3">
      <c r="A147" s="248" t="s">
        <v>313</v>
      </c>
      <c r="B147" s="983"/>
      <c r="C147" s="984"/>
      <c r="D147" s="986"/>
      <c r="E147" s="967"/>
      <c r="F147" s="982"/>
      <c r="G147" s="982"/>
      <c r="H147" s="187">
        <v>2</v>
      </c>
      <c r="I147" s="185"/>
      <c r="J147" s="280">
        <f t="shared" si="11"/>
        <v>0</v>
      </c>
      <c r="K147" s="185"/>
      <c r="L147" s="185"/>
      <c r="M147" s="186" t="s">
        <v>90</v>
      </c>
      <c r="N147" s="197"/>
      <c r="O147" s="249">
        <f t="shared" si="12"/>
        <v>0</v>
      </c>
    </row>
    <row r="148" spans="1:17" ht="15.75" thickBot="1" x14ac:dyDescent="0.3">
      <c r="A148" s="248" t="s">
        <v>314</v>
      </c>
      <c r="B148" s="983"/>
      <c r="C148" s="984"/>
      <c r="D148" s="986"/>
      <c r="E148" s="967"/>
      <c r="F148" s="982"/>
      <c r="G148" s="982"/>
      <c r="H148" s="187">
        <v>2</v>
      </c>
      <c r="I148" s="185"/>
      <c r="J148" s="280">
        <f t="shared" si="11"/>
        <v>0</v>
      </c>
      <c r="K148" s="185"/>
      <c r="L148" s="185"/>
      <c r="M148" s="186" t="s">
        <v>90</v>
      </c>
      <c r="N148" s="197"/>
      <c r="O148" s="249">
        <f t="shared" si="12"/>
        <v>0</v>
      </c>
    </row>
    <row r="149" spans="1:17" ht="15.75" thickBot="1" x14ac:dyDescent="0.3">
      <c r="A149" s="248" t="s">
        <v>315</v>
      </c>
      <c r="B149" s="983"/>
      <c r="C149" s="984"/>
      <c r="D149" s="986"/>
      <c r="E149" s="967"/>
      <c r="F149" s="982"/>
      <c r="G149" s="982"/>
      <c r="H149" s="187">
        <v>2</v>
      </c>
      <c r="I149" s="185"/>
      <c r="J149" s="280">
        <f t="shared" si="11"/>
        <v>0</v>
      </c>
      <c r="K149" s="185"/>
      <c r="L149" s="185"/>
      <c r="M149" s="186" t="s">
        <v>90</v>
      </c>
      <c r="N149" s="197"/>
      <c r="O149" s="249">
        <f t="shared" si="12"/>
        <v>0</v>
      </c>
    </row>
    <row r="150" spans="1:17" ht="15.75" thickBot="1" x14ac:dyDescent="0.3">
      <c r="A150" s="248" t="s">
        <v>316</v>
      </c>
      <c r="B150" s="983"/>
      <c r="C150" s="984"/>
      <c r="D150" s="986"/>
      <c r="E150" s="967"/>
      <c r="F150" s="982"/>
      <c r="G150" s="982"/>
      <c r="H150" s="187">
        <v>2</v>
      </c>
      <c r="I150" s="185"/>
      <c r="J150" s="280">
        <f t="shared" si="11"/>
        <v>0</v>
      </c>
      <c r="K150" s="185"/>
      <c r="L150" s="185"/>
      <c r="M150" s="186" t="s">
        <v>90</v>
      </c>
      <c r="N150" s="197"/>
      <c r="O150" s="249">
        <f t="shared" si="12"/>
        <v>0</v>
      </c>
    </row>
    <row r="151" spans="1:17" ht="15.75" thickBot="1" x14ac:dyDescent="0.3">
      <c r="A151" s="248" t="s">
        <v>317</v>
      </c>
      <c r="B151" s="983"/>
      <c r="C151" s="984"/>
      <c r="D151" s="986"/>
      <c r="E151" s="967"/>
      <c r="F151" s="982"/>
      <c r="G151" s="982"/>
      <c r="H151" s="187">
        <v>2</v>
      </c>
      <c r="I151" s="185"/>
      <c r="J151" s="280">
        <f t="shared" si="11"/>
        <v>0</v>
      </c>
      <c r="K151" s="185"/>
      <c r="L151" s="185"/>
      <c r="M151" s="186" t="s">
        <v>90</v>
      </c>
      <c r="N151" s="197"/>
      <c r="O151" s="249">
        <f t="shared" si="12"/>
        <v>0</v>
      </c>
    </row>
    <row r="152" spans="1:17" ht="15.75" thickBot="1" x14ac:dyDescent="0.3">
      <c r="A152" s="248" t="s">
        <v>318</v>
      </c>
      <c r="B152" s="983"/>
      <c r="C152" s="984"/>
      <c r="D152" s="986"/>
      <c r="E152" s="967"/>
      <c r="F152" s="982"/>
      <c r="G152" s="982"/>
      <c r="H152" s="187">
        <v>2</v>
      </c>
      <c r="I152" s="185"/>
      <c r="J152" s="280">
        <f t="shared" si="11"/>
        <v>0</v>
      </c>
      <c r="K152" s="185"/>
      <c r="L152" s="185"/>
      <c r="M152" s="186" t="s">
        <v>90</v>
      </c>
      <c r="N152" s="197"/>
      <c r="O152" s="249">
        <f t="shared" si="12"/>
        <v>0</v>
      </c>
    </row>
    <row r="153" spans="1:17" ht="15.75" thickBot="1" x14ac:dyDescent="0.3">
      <c r="A153" s="248" t="s">
        <v>319</v>
      </c>
      <c r="B153" s="983"/>
      <c r="C153" s="984"/>
      <c r="D153" s="986"/>
      <c r="E153" s="967"/>
      <c r="F153" s="982"/>
      <c r="G153" s="982"/>
      <c r="H153" s="187">
        <v>2</v>
      </c>
      <c r="I153" s="185"/>
      <c r="J153" s="280">
        <f t="shared" si="11"/>
        <v>0</v>
      </c>
      <c r="K153" s="185"/>
      <c r="L153" s="185"/>
      <c r="M153" s="186" t="s">
        <v>90</v>
      </c>
      <c r="N153" s="197"/>
      <c r="O153" s="249">
        <f t="shared" si="12"/>
        <v>0</v>
      </c>
    </row>
    <row r="154" spans="1:17" ht="15.75" thickBot="1" x14ac:dyDescent="0.3">
      <c r="A154" s="248" t="s">
        <v>320</v>
      </c>
      <c r="B154" s="983"/>
      <c r="C154" s="984"/>
      <c r="D154" s="986"/>
      <c r="E154" s="967"/>
      <c r="F154" s="982"/>
      <c r="G154" s="982"/>
      <c r="H154" s="187">
        <v>2</v>
      </c>
      <c r="I154" s="185"/>
      <c r="J154" s="280">
        <f t="shared" si="11"/>
        <v>0</v>
      </c>
      <c r="K154" s="185"/>
      <c r="L154" s="185"/>
      <c r="M154" s="186" t="s">
        <v>90</v>
      </c>
      <c r="N154" s="197"/>
      <c r="O154" s="249">
        <f t="shared" si="12"/>
        <v>0</v>
      </c>
    </row>
    <row r="155" spans="1:17" s="252" customFormat="1" ht="15.75" thickBot="1" x14ac:dyDescent="0.3">
      <c r="A155" s="194" t="s">
        <v>321</v>
      </c>
      <c r="B155" s="983"/>
      <c r="C155" s="984"/>
      <c r="D155" s="986"/>
      <c r="E155" s="967"/>
      <c r="F155" s="982"/>
      <c r="G155" s="982"/>
      <c r="H155" s="187">
        <v>2</v>
      </c>
      <c r="I155" s="201"/>
      <c r="J155" s="280">
        <f t="shared" si="11"/>
        <v>0</v>
      </c>
      <c r="K155" s="201"/>
      <c r="L155" s="201"/>
      <c r="M155" s="186" t="s">
        <v>90</v>
      </c>
      <c r="N155" s="251"/>
      <c r="O155" s="249">
        <f t="shared" si="12"/>
        <v>0</v>
      </c>
    </row>
    <row r="156" spans="1:17" s="1" customFormat="1" ht="15.75" thickBot="1" x14ac:dyDescent="0.3">
      <c r="A156" s="253" t="s">
        <v>322</v>
      </c>
      <c r="B156" s="983"/>
      <c r="C156" s="984"/>
      <c r="D156" s="986"/>
      <c r="E156" s="967"/>
      <c r="F156" s="982"/>
      <c r="G156" s="982"/>
      <c r="H156" s="187">
        <v>2</v>
      </c>
      <c r="I156" s="78"/>
      <c r="J156" s="280">
        <f t="shared" si="11"/>
        <v>0</v>
      </c>
      <c r="K156" s="78"/>
      <c r="L156" s="78"/>
      <c r="M156" s="186" t="s">
        <v>90</v>
      </c>
      <c r="N156" s="190"/>
      <c r="O156" s="249">
        <f t="shared" si="12"/>
        <v>0</v>
      </c>
    </row>
    <row r="157" spans="1:17" s="1" customFormat="1" ht="15.75" thickBot="1" x14ac:dyDescent="0.3">
      <c r="A157" s="281" t="s">
        <v>323</v>
      </c>
      <c r="B157" s="983"/>
      <c r="C157" s="984"/>
      <c r="D157" s="986"/>
      <c r="E157" s="967"/>
      <c r="F157" s="982"/>
      <c r="G157" s="982"/>
      <c r="H157" s="195">
        <v>2</v>
      </c>
      <c r="I157" s="204"/>
      <c r="J157" s="282">
        <f t="shared" si="11"/>
        <v>0</v>
      </c>
      <c r="K157" s="204"/>
      <c r="L157" s="204"/>
      <c r="M157" s="283" t="s">
        <v>90</v>
      </c>
      <c r="N157" s="284"/>
      <c r="O157" s="249">
        <f t="shared" si="12"/>
        <v>0</v>
      </c>
    </row>
    <row r="158" spans="1:17" x14ac:dyDescent="0.25">
      <c r="A158" s="263"/>
      <c r="B158" s="264"/>
      <c r="C158" s="264"/>
      <c r="D158" s="264"/>
      <c r="E158" s="264"/>
      <c r="F158" s="189"/>
      <c r="G158" s="189"/>
      <c r="H158" s="189"/>
      <c r="O158" s="264"/>
    </row>
    <row r="159" spans="1:17" ht="15.75" thickBot="1" x14ac:dyDescent="0.3">
      <c r="A159" s="263"/>
      <c r="B159" s="264"/>
      <c r="C159" s="264"/>
      <c r="D159" s="264"/>
      <c r="E159" s="264"/>
      <c r="F159" s="189"/>
      <c r="G159" s="189"/>
      <c r="H159" s="189"/>
      <c r="O159" s="264"/>
    </row>
    <row r="160" spans="1:17" ht="38.25" x14ac:dyDescent="0.25">
      <c r="A160" s="265" t="s">
        <v>26</v>
      </c>
      <c r="B160" s="266" t="s">
        <v>328</v>
      </c>
      <c r="C160" s="243" t="s">
        <v>329</v>
      </c>
      <c r="D160" s="244" t="s">
        <v>330</v>
      </c>
      <c r="E160" s="244" t="s">
        <v>331</v>
      </c>
      <c r="F160" s="244" t="s">
        <v>332</v>
      </c>
      <c r="G160" s="244" t="s">
        <v>333</v>
      </c>
      <c r="H160" s="244" t="s">
        <v>334</v>
      </c>
      <c r="I160" s="244" t="s">
        <v>335</v>
      </c>
      <c r="J160" s="245" t="s">
        <v>336</v>
      </c>
      <c r="K160" s="244" t="s">
        <v>337</v>
      </c>
      <c r="L160" s="244" t="s">
        <v>338</v>
      </c>
      <c r="M160" s="244" t="s">
        <v>339</v>
      </c>
      <c r="N160" s="246" t="s">
        <v>340</v>
      </c>
      <c r="O160" s="264"/>
    </row>
    <row r="161" spans="1:15" ht="15.75" thickBot="1" x14ac:dyDescent="0.3">
      <c r="A161" s="274" t="s">
        <v>311</v>
      </c>
      <c r="B161" s="983" t="s">
        <v>436</v>
      </c>
      <c r="C161" s="984" t="s">
        <v>437</v>
      </c>
      <c r="D161" s="967" t="s">
        <v>438</v>
      </c>
      <c r="E161" s="967" t="s">
        <v>439</v>
      </c>
      <c r="F161" s="982">
        <v>100</v>
      </c>
      <c r="G161" s="982">
        <v>370</v>
      </c>
      <c r="H161" s="275">
        <v>50</v>
      </c>
      <c r="I161" s="276">
        <f>+GESTIÓN!AA14</f>
        <v>26.95</v>
      </c>
      <c r="J161" s="285">
        <f t="shared" ref="J161:J172" si="13">I161/H161</f>
        <v>0.53900000000000003</v>
      </c>
      <c r="K161" s="278" t="s">
        <v>90</v>
      </c>
      <c r="L161" s="278" t="s">
        <v>90</v>
      </c>
      <c r="M161" s="278" t="s">
        <v>90</v>
      </c>
      <c r="N161" s="279"/>
      <c r="O161" s="249">
        <f t="shared" ref="O161:O172" si="14">LEN(N161)</f>
        <v>0</v>
      </c>
    </row>
    <row r="162" spans="1:15" ht="15.75" thickBot="1" x14ac:dyDescent="0.3">
      <c r="A162" s="248" t="s">
        <v>313</v>
      </c>
      <c r="B162" s="983"/>
      <c r="C162" s="984"/>
      <c r="D162" s="967"/>
      <c r="E162" s="967"/>
      <c r="F162" s="982"/>
      <c r="G162" s="982"/>
      <c r="H162" s="187">
        <v>50</v>
      </c>
      <c r="I162" s="185"/>
      <c r="J162" s="280">
        <f t="shared" si="13"/>
        <v>0</v>
      </c>
      <c r="K162" s="185"/>
      <c r="L162" s="185"/>
      <c r="M162" s="186" t="s">
        <v>90</v>
      </c>
      <c r="N162" s="197"/>
      <c r="O162" s="249">
        <f t="shared" si="14"/>
        <v>0</v>
      </c>
    </row>
    <row r="163" spans="1:15" ht="15.75" thickBot="1" x14ac:dyDescent="0.3">
      <c r="A163" s="248" t="s">
        <v>314</v>
      </c>
      <c r="B163" s="983"/>
      <c r="C163" s="984"/>
      <c r="D163" s="967"/>
      <c r="E163" s="967"/>
      <c r="F163" s="982"/>
      <c r="G163" s="982"/>
      <c r="H163" s="187">
        <v>50</v>
      </c>
      <c r="I163" s="185"/>
      <c r="J163" s="280">
        <f t="shared" si="13"/>
        <v>0</v>
      </c>
      <c r="K163" s="185"/>
      <c r="L163" s="185"/>
      <c r="M163" s="186" t="s">
        <v>90</v>
      </c>
      <c r="N163" s="197"/>
      <c r="O163" s="249">
        <f t="shared" si="14"/>
        <v>0</v>
      </c>
    </row>
    <row r="164" spans="1:15" ht="15.75" thickBot="1" x14ac:dyDescent="0.3">
      <c r="A164" s="248" t="s">
        <v>315</v>
      </c>
      <c r="B164" s="983"/>
      <c r="C164" s="984"/>
      <c r="D164" s="967"/>
      <c r="E164" s="967"/>
      <c r="F164" s="982"/>
      <c r="G164" s="982"/>
      <c r="H164" s="187">
        <v>50</v>
      </c>
      <c r="I164" s="185"/>
      <c r="J164" s="280">
        <f t="shared" si="13"/>
        <v>0</v>
      </c>
      <c r="K164" s="185"/>
      <c r="L164" s="185"/>
      <c r="M164" s="186" t="s">
        <v>90</v>
      </c>
      <c r="N164" s="197"/>
      <c r="O164" s="249">
        <f t="shared" si="14"/>
        <v>0</v>
      </c>
    </row>
    <row r="165" spans="1:15" ht="15.75" thickBot="1" x14ac:dyDescent="0.3">
      <c r="A165" s="248" t="s">
        <v>316</v>
      </c>
      <c r="B165" s="983"/>
      <c r="C165" s="984"/>
      <c r="D165" s="967"/>
      <c r="E165" s="967"/>
      <c r="F165" s="982"/>
      <c r="G165" s="982"/>
      <c r="H165" s="187">
        <v>50</v>
      </c>
      <c r="I165" s="185"/>
      <c r="J165" s="280">
        <f t="shared" si="13"/>
        <v>0</v>
      </c>
      <c r="K165" s="185"/>
      <c r="L165" s="185"/>
      <c r="M165" s="186" t="s">
        <v>90</v>
      </c>
      <c r="N165" s="197"/>
      <c r="O165" s="249">
        <f t="shared" si="14"/>
        <v>0</v>
      </c>
    </row>
    <row r="166" spans="1:15" ht="15.75" thickBot="1" x14ac:dyDescent="0.3">
      <c r="A166" s="248" t="s">
        <v>317</v>
      </c>
      <c r="B166" s="983"/>
      <c r="C166" s="984"/>
      <c r="D166" s="967"/>
      <c r="E166" s="967"/>
      <c r="F166" s="982"/>
      <c r="G166" s="982"/>
      <c r="H166" s="187">
        <v>50</v>
      </c>
      <c r="I166" s="185"/>
      <c r="J166" s="280">
        <f t="shared" si="13"/>
        <v>0</v>
      </c>
      <c r="K166" s="185"/>
      <c r="L166" s="185"/>
      <c r="M166" s="186" t="s">
        <v>90</v>
      </c>
      <c r="N166" s="197"/>
      <c r="O166" s="249">
        <f t="shared" si="14"/>
        <v>0</v>
      </c>
    </row>
    <row r="167" spans="1:15" ht="15.75" thickBot="1" x14ac:dyDescent="0.3">
      <c r="A167" s="248" t="s">
        <v>318</v>
      </c>
      <c r="B167" s="983"/>
      <c r="C167" s="984"/>
      <c r="D167" s="967"/>
      <c r="E167" s="967"/>
      <c r="F167" s="982"/>
      <c r="G167" s="982"/>
      <c r="H167" s="187">
        <v>50</v>
      </c>
      <c r="I167" s="185"/>
      <c r="J167" s="280">
        <f t="shared" si="13"/>
        <v>0</v>
      </c>
      <c r="K167" s="185"/>
      <c r="L167" s="185"/>
      <c r="M167" s="186" t="s">
        <v>90</v>
      </c>
      <c r="N167" s="197"/>
      <c r="O167" s="249">
        <f t="shared" si="14"/>
        <v>0</v>
      </c>
    </row>
    <row r="168" spans="1:15" ht="15.75" thickBot="1" x14ac:dyDescent="0.3">
      <c r="A168" s="248" t="s">
        <v>319</v>
      </c>
      <c r="B168" s="983"/>
      <c r="C168" s="984"/>
      <c r="D168" s="967"/>
      <c r="E168" s="967"/>
      <c r="F168" s="982"/>
      <c r="G168" s="982"/>
      <c r="H168" s="187">
        <v>50</v>
      </c>
      <c r="I168" s="185"/>
      <c r="J168" s="280">
        <f t="shared" si="13"/>
        <v>0</v>
      </c>
      <c r="K168" s="185"/>
      <c r="L168" s="185"/>
      <c r="M168" s="186" t="s">
        <v>90</v>
      </c>
      <c r="N168" s="197"/>
      <c r="O168" s="249">
        <f t="shared" si="14"/>
        <v>0</v>
      </c>
    </row>
    <row r="169" spans="1:15" ht="15.75" thickBot="1" x14ac:dyDescent="0.3">
      <c r="A169" s="248" t="s">
        <v>320</v>
      </c>
      <c r="B169" s="983"/>
      <c r="C169" s="984"/>
      <c r="D169" s="967"/>
      <c r="E169" s="967"/>
      <c r="F169" s="982"/>
      <c r="G169" s="982"/>
      <c r="H169" s="187">
        <v>50</v>
      </c>
      <c r="I169" s="185"/>
      <c r="J169" s="280">
        <f t="shared" si="13"/>
        <v>0</v>
      </c>
      <c r="K169" s="185"/>
      <c r="L169" s="185"/>
      <c r="M169" s="186" t="s">
        <v>90</v>
      </c>
      <c r="N169" s="197"/>
      <c r="O169" s="249">
        <f t="shared" si="14"/>
        <v>0</v>
      </c>
    </row>
    <row r="170" spans="1:15" s="252" customFormat="1" ht="15.75" thickBot="1" x14ac:dyDescent="0.3">
      <c r="A170" s="194" t="s">
        <v>321</v>
      </c>
      <c r="B170" s="983"/>
      <c r="C170" s="984"/>
      <c r="D170" s="967"/>
      <c r="E170" s="967"/>
      <c r="F170" s="982"/>
      <c r="G170" s="982"/>
      <c r="H170" s="187">
        <v>50</v>
      </c>
      <c r="I170" s="201"/>
      <c r="J170" s="280">
        <f t="shared" si="13"/>
        <v>0</v>
      </c>
      <c r="K170" s="201"/>
      <c r="L170" s="201"/>
      <c r="M170" s="186" t="s">
        <v>90</v>
      </c>
      <c r="N170" s="251"/>
      <c r="O170" s="249">
        <f t="shared" si="14"/>
        <v>0</v>
      </c>
    </row>
    <row r="171" spans="1:15" ht="15.75" thickBot="1" x14ac:dyDescent="0.3">
      <c r="A171" s="253" t="s">
        <v>322</v>
      </c>
      <c r="B171" s="983"/>
      <c r="C171" s="984"/>
      <c r="D171" s="967"/>
      <c r="E171" s="967"/>
      <c r="F171" s="982"/>
      <c r="G171" s="982"/>
      <c r="H171" s="187">
        <v>50</v>
      </c>
      <c r="I171" s="78"/>
      <c r="J171" s="280">
        <f t="shared" si="13"/>
        <v>0</v>
      </c>
      <c r="K171" s="78"/>
      <c r="L171" s="78"/>
      <c r="M171" s="186" t="s">
        <v>90</v>
      </c>
      <c r="N171" s="190"/>
      <c r="O171" s="249">
        <f t="shared" si="14"/>
        <v>0</v>
      </c>
    </row>
    <row r="172" spans="1:15" s="1" customFormat="1" ht="15.75" thickBot="1" x14ac:dyDescent="0.3">
      <c r="A172" s="281" t="s">
        <v>323</v>
      </c>
      <c r="B172" s="983"/>
      <c r="C172" s="984"/>
      <c r="D172" s="967"/>
      <c r="E172" s="967"/>
      <c r="F172" s="982"/>
      <c r="G172" s="982"/>
      <c r="H172" s="195">
        <v>50</v>
      </c>
      <c r="I172" s="204"/>
      <c r="J172" s="282">
        <f t="shared" si="13"/>
        <v>0</v>
      </c>
      <c r="K172" s="204"/>
      <c r="L172" s="204"/>
      <c r="M172" s="283" t="s">
        <v>90</v>
      </c>
      <c r="N172" s="284"/>
      <c r="O172" s="249">
        <f t="shared" si="14"/>
        <v>0</v>
      </c>
    </row>
    <row r="173" spans="1:15" x14ac:dyDescent="0.25">
      <c r="A173" s="263"/>
      <c r="B173" s="264"/>
      <c r="C173" s="264"/>
      <c r="D173" s="264"/>
      <c r="E173" s="264"/>
      <c r="F173" s="189"/>
      <c r="G173" s="189"/>
      <c r="H173" s="189"/>
      <c r="O173" s="264"/>
    </row>
    <row r="174" spans="1:15" ht="15.75" thickBot="1" x14ac:dyDescent="0.3">
      <c r="A174" s="263"/>
      <c r="B174" s="264"/>
      <c r="C174" s="264"/>
      <c r="D174" s="264"/>
      <c r="E174" s="264"/>
      <c r="F174" s="189"/>
      <c r="G174" s="189"/>
      <c r="H174" s="189"/>
      <c r="O174" s="264"/>
    </row>
    <row r="175" spans="1:15" ht="38.25" x14ac:dyDescent="0.25">
      <c r="A175" s="265" t="s">
        <v>26</v>
      </c>
      <c r="B175" s="266" t="s">
        <v>328</v>
      </c>
      <c r="C175" s="243" t="s">
        <v>329</v>
      </c>
      <c r="D175" s="244" t="s">
        <v>330</v>
      </c>
      <c r="E175" s="244" t="s">
        <v>331</v>
      </c>
      <c r="F175" s="244" t="s">
        <v>332</v>
      </c>
      <c r="G175" s="244" t="s">
        <v>333</v>
      </c>
      <c r="H175" s="244" t="s">
        <v>334</v>
      </c>
      <c r="I175" s="244" t="s">
        <v>335</v>
      </c>
      <c r="J175" s="245" t="s">
        <v>336</v>
      </c>
      <c r="K175" s="244" t="s">
        <v>337</v>
      </c>
      <c r="L175" s="244" t="s">
        <v>338</v>
      </c>
      <c r="M175" s="244" t="s">
        <v>339</v>
      </c>
      <c r="N175" s="246" t="s">
        <v>340</v>
      </c>
      <c r="O175" s="264"/>
    </row>
    <row r="176" spans="1:15" ht="15.75" thickBot="1" x14ac:dyDescent="0.3">
      <c r="A176" s="274" t="s">
        <v>311</v>
      </c>
      <c r="B176" s="983" t="s">
        <v>436</v>
      </c>
      <c r="C176" s="984" t="s">
        <v>437</v>
      </c>
      <c r="D176" s="967" t="s">
        <v>443</v>
      </c>
      <c r="E176" s="967" t="s">
        <v>439</v>
      </c>
      <c r="F176" s="982">
        <v>100</v>
      </c>
      <c r="G176" s="982">
        <v>590</v>
      </c>
      <c r="H176" s="275">
        <v>590</v>
      </c>
      <c r="I176" s="276" t="e">
        <f>+GESTIÓN!#REF!</f>
        <v>#REF!</v>
      </c>
      <c r="J176" s="285" t="e">
        <f t="shared" ref="J176:J187" si="15">I176/H176</f>
        <v>#REF!</v>
      </c>
      <c r="K176" s="278" t="s">
        <v>90</v>
      </c>
      <c r="L176" s="278" t="s">
        <v>90</v>
      </c>
      <c r="M176" s="278" t="s">
        <v>90</v>
      </c>
      <c r="N176" s="279"/>
      <c r="O176" s="249">
        <f t="shared" ref="O176:O187" si="16">LEN(N176)</f>
        <v>0</v>
      </c>
    </row>
    <row r="177" spans="1:15" ht="15.75" thickBot="1" x14ac:dyDescent="0.3">
      <c r="A177" s="248" t="s">
        <v>313</v>
      </c>
      <c r="B177" s="983"/>
      <c r="C177" s="984"/>
      <c r="D177" s="967"/>
      <c r="E177" s="967"/>
      <c r="F177" s="982"/>
      <c r="G177" s="982"/>
      <c r="H177" s="187">
        <v>590</v>
      </c>
      <c r="I177" s="185"/>
      <c r="J177" s="280">
        <f t="shared" si="15"/>
        <v>0</v>
      </c>
      <c r="K177" s="185"/>
      <c r="L177" s="185"/>
      <c r="M177" s="186"/>
      <c r="N177" s="197"/>
      <c r="O177" s="249">
        <f t="shared" si="16"/>
        <v>0</v>
      </c>
    </row>
    <row r="178" spans="1:15" ht="15.75" thickBot="1" x14ac:dyDescent="0.3">
      <c r="A178" s="248" t="s">
        <v>314</v>
      </c>
      <c r="B178" s="983"/>
      <c r="C178" s="984"/>
      <c r="D178" s="967"/>
      <c r="E178" s="967"/>
      <c r="F178" s="982"/>
      <c r="G178" s="982"/>
      <c r="H178" s="187">
        <v>590</v>
      </c>
      <c r="I178" s="185"/>
      <c r="J178" s="280">
        <f t="shared" si="15"/>
        <v>0</v>
      </c>
      <c r="K178" s="185"/>
      <c r="L178" s="185"/>
      <c r="M178" s="186"/>
      <c r="N178" s="197"/>
      <c r="O178" s="249">
        <f t="shared" si="16"/>
        <v>0</v>
      </c>
    </row>
    <row r="179" spans="1:15" ht="15.75" thickBot="1" x14ac:dyDescent="0.3">
      <c r="A179" s="248" t="s">
        <v>315</v>
      </c>
      <c r="B179" s="983"/>
      <c r="C179" s="984"/>
      <c r="D179" s="967"/>
      <c r="E179" s="967"/>
      <c r="F179" s="982"/>
      <c r="G179" s="982"/>
      <c r="H179" s="187">
        <v>590</v>
      </c>
      <c r="I179" s="185"/>
      <c r="J179" s="280">
        <f t="shared" si="15"/>
        <v>0</v>
      </c>
      <c r="K179" s="185"/>
      <c r="L179" s="185"/>
      <c r="M179" s="186"/>
      <c r="N179" s="197"/>
      <c r="O179" s="249">
        <f t="shared" si="16"/>
        <v>0</v>
      </c>
    </row>
    <row r="180" spans="1:15" ht="15.75" thickBot="1" x14ac:dyDescent="0.3">
      <c r="A180" s="248" t="s">
        <v>316</v>
      </c>
      <c r="B180" s="983"/>
      <c r="C180" s="984"/>
      <c r="D180" s="967"/>
      <c r="E180" s="967"/>
      <c r="F180" s="982"/>
      <c r="G180" s="982"/>
      <c r="H180" s="187">
        <v>590</v>
      </c>
      <c r="I180" s="185"/>
      <c r="J180" s="280">
        <f t="shared" si="15"/>
        <v>0</v>
      </c>
      <c r="K180" s="185"/>
      <c r="L180" s="185"/>
      <c r="M180" s="186"/>
      <c r="N180" s="197"/>
      <c r="O180" s="249">
        <f t="shared" si="16"/>
        <v>0</v>
      </c>
    </row>
    <row r="181" spans="1:15" ht="15.75" thickBot="1" x14ac:dyDescent="0.3">
      <c r="A181" s="248" t="s">
        <v>317</v>
      </c>
      <c r="B181" s="983"/>
      <c r="C181" s="984"/>
      <c r="D181" s="967"/>
      <c r="E181" s="967"/>
      <c r="F181" s="982"/>
      <c r="G181" s="982"/>
      <c r="H181" s="187">
        <v>590</v>
      </c>
      <c r="I181" s="185"/>
      <c r="J181" s="280">
        <f t="shared" si="15"/>
        <v>0</v>
      </c>
      <c r="K181" s="185"/>
      <c r="L181" s="185"/>
      <c r="M181" s="186"/>
      <c r="N181" s="197"/>
      <c r="O181" s="249">
        <f t="shared" si="16"/>
        <v>0</v>
      </c>
    </row>
    <row r="182" spans="1:15" ht="15.75" thickBot="1" x14ac:dyDescent="0.3">
      <c r="A182" s="248" t="s">
        <v>318</v>
      </c>
      <c r="B182" s="983"/>
      <c r="C182" s="984"/>
      <c r="D182" s="967"/>
      <c r="E182" s="967"/>
      <c r="F182" s="982"/>
      <c r="G182" s="982"/>
      <c r="H182" s="187">
        <v>590</v>
      </c>
      <c r="I182" s="185"/>
      <c r="J182" s="280">
        <f t="shared" si="15"/>
        <v>0</v>
      </c>
      <c r="K182" s="185"/>
      <c r="L182" s="185"/>
      <c r="M182" s="186"/>
      <c r="N182" s="197"/>
      <c r="O182" s="249">
        <f t="shared" si="16"/>
        <v>0</v>
      </c>
    </row>
    <row r="183" spans="1:15" ht="15.75" thickBot="1" x14ac:dyDescent="0.3">
      <c r="A183" s="248" t="s">
        <v>319</v>
      </c>
      <c r="B183" s="983"/>
      <c r="C183" s="984"/>
      <c r="D183" s="967"/>
      <c r="E183" s="967"/>
      <c r="F183" s="982"/>
      <c r="G183" s="982"/>
      <c r="H183" s="187">
        <v>590</v>
      </c>
      <c r="I183" s="185"/>
      <c r="J183" s="280">
        <f t="shared" si="15"/>
        <v>0</v>
      </c>
      <c r="K183" s="185"/>
      <c r="L183" s="185"/>
      <c r="M183" s="186"/>
      <c r="N183" s="197"/>
      <c r="O183" s="249">
        <f t="shared" si="16"/>
        <v>0</v>
      </c>
    </row>
    <row r="184" spans="1:15" ht="15.75" thickBot="1" x14ac:dyDescent="0.3">
      <c r="A184" s="248" t="s">
        <v>320</v>
      </c>
      <c r="B184" s="983"/>
      <c r="C184" s="984"/>
      <c r="D184" s="967"/>
      <c r="E184" s="967"/>
      <c r="F184" s="982"/>
      <c r="G184" s="982"/>
      <c r="H184" s="187">
        <v>590</v>
      </c>
      <c r="I184" s="185"/>
      <c r="J184" s="280">
        <f t="shared" si="15"/>
        <v>0</v>
      </c>
      <c r="K184" s="185"/>
      <c r="L184" s="185"/>
      <c r="M184" s="186"/>
      <c r="N184" s="197"/>
      <c r="O184" s="249">
        <f t="shared" si="16"/>
        <v>0</v>
      </c>
    </row>
    <row r="185" spans="1:15" s="252" customFormat="1" ht="15.75" thickBot="1" x14ac:dyDescent="0.3">
      <c r="A185" s="194" t="s">
        <v>321</v>
      </c>
      <c r="B185" s="983"/>
      <c r="C185" s="984"/>
      <c r="D185" s="967"/>
      <c r="E185" s="967"/>
      <c r="F185" s="982"/>
      <c r="G185" s="982"/>
      <c r="H185" s="187">
        <v>590</v>
      </c>
      <c r="I185" s="201"/>
      <c r="J185" s="280">
        <f t="shared" si="15"/>
        <v>0</v>
      </c>
      <c r="K185" s="201"/>
      <c r="L185" s="201"/>
      <c r="M185" s="43"/>
      <c r="N185" s="251"/>
      <c r="O185" s="249">
        <f t="shared" si="16"/>
        <v>0</v>
      </c>
    </row>
    <row r="186" spans="1:15" ht="15.75" thickBot="1" x14ac:dyDescent="0.3">
      <c r="A186" s="253" t="s">
        <v>322</v>
      </c>
      <c r="B186" s="983"/>
      <c r="C186" s="984"/>
      <c r="D186" s="967"/>
      <c r="E186" s="967"/>
      <c r="F186" s="982"/>
      <c r="G186" s="982"/>
      <c r="H186" s="187">
        <v>590</v>
      </c>
      <c r="I186" s="78"/>
      <c r="J186" s="280">
        <f t="shared" si="15"/>
        <v>0</v>
      </c>
      <c r="K186" s="78"/>
      <c r="L186" s="78"/>
      <c r="M186" s="255"/>
      <c r="N186" s="190"/>
      <c r="O186" s="249">
        <f t="shared" si="16"/>
        <v>0</v>
      </c>
    </row>
    <row r="187" spans="1:15" s="1" customFormat="1" ht="15.75" thickBot="1" x14ac:dyDescent="0.3">
      <c r="A187" s="281" t="s">
        <v>323</v>
      </c>
      <c r="B187" s="983"/>
      <c r="C187" s="984"/>
      <c r="D187" s="967"/>
      <c r="E187" s="967"/>
      <c r="F187" s="982"/>
      <c r="G187" s="982"/>
      <c r="H187" s="195">
        <v>590</v>
      </c>
      <c r="I187" s="204"/>
      <c r="J187" s="282">
        <f t="shared" si="15"/>
        <v>0</v>
      </c>
      <c r="K187" s="204"/>
      <c r="L187" s="204"/>
      <c r="M187" s="286"/>
      <c r="N187" s="284"/>
      <c r="O187" s="249">
        <f t="shared" si="16"/>
        <v>0</v>
      </c>
    </row>
    <row r="188" spans="1:15" x14ac:dyDescent="0.25">
      <c r="A188" s="263"/>
      <c r="B188" s="264"/>
      <c r="C188" s="264"/>
      <c r="D188" s="264"/>
      <c r="E188" s="264"/>
      <c r="F188" s="189"/>
      <c r="G188" s="189"/>
      <c r="H188" s="189"/>
      <c r="O188" s="264"/>
    </row>
    <row r="189" spans="1:15" ht="15.75" thickBot="1" x14ac:dyDescent="0.3">
      <c r="A189" s="263"/>
      <c r="B189" s="264"/>
      <c r="C189" s="264"/>
      <c r="D189" s="264"/>
      <c r="E189" s="264"/>
      <c r="F189" s="189"/>
      <c r="G189" s="189"/>
      <c r="H189" s="189"/>
      <c r="O189" s="264"/>
    </row>
    <row r="190" spans="1:15" ht="38.25" x14ac:dyDescent="0.25">
      <c r="A190" s="265" t="s">
        <v>26</v>
      </c>
      <c r="B190" s="244" t="s">
        <v>328</v>
      </c>
      <c r="C190" s="244" t="s">
        <v>329</v>
      </c>
      <c r="D190" s="244" t="s">
        <v>330</v>
      </c>
      <c r="E190" s="244" t="s">
        <v>331</v>
      </c>
      <c r="F190" s="244" t="s">
        <v>332</v>
      </c>
      <c r="G190" s="244" t="s">
        <v>333</v>
      </c>
      <c r="H190" s="244" t="s">
        <v>334</v>
      </c>
      <c r="I190" s="244" t="s">
        <v>335</v>
      </c>
      <c r="J190" s="245" t="s">
        <v>336</v>
      </c>
      <c r="K190" s="244" t="s">
        <v>337</v>
      </c>
      <c r="L190" s="244" t="s">
        <v>338</v>
      </c>
      <c r="M190" s="244" t="s">
        <v>339</v>
      </c>
      <c r="N190" s="246" t="s">
        <v>340</v>
      </c>
      <c r="O190" s="264"/>
    </row>
    <row r="191" spans="1:15" ht="15.75" thickBot="1" x14ac:dyDescent="0.3">
      <c r="A191" s="274" t="s">
        <v>311</v>
      </c>
      <c r="B191" s="967" t="s">
        <v>447</v>
      </c>
      <c r="C191" s="967" t="s">
        <v>448</v>
      </c>
      <c r="D191" s="967" t="s">
        <v>343</v>
      </c>
      <c r="E191" s="982" t="s">
        <v>432</v>
      </c>
      <c r="F191" s="982">
        <v>100</v>
      </c>
      <c r="G191" s="982">
        <v>4</v>
      </c>
      <c r="H191" s="287">
        <v>0.73</v>
      </c>
      <c r="I191" s="276" t="e">
        <f>+GESTIÓN!#REF!</f>
        <v>#REF!</v>
      </c>
      <c r="J191" s="285" t="e">
        <f t="shared" ref="J191:J202" si="17">I191/H191</f>
        <v>#REF!</v>
      </c>
      <c r="K191" s="288" t="e">
        <f>+INVERSIÓN!#REF!</f>
        <v>#REF!</v>
      </c>
      <c r="L191" s="278">
        <v>0</v>
      </c>
      <c r="M191" s="278" t="e">
        <f>L191/K191</f>
        <v>#REF!</v>
      </c>
      <c r="N191" s="279"/>
      <c r="O191" s="249">
        <f>LEN(N191)</f>
        <v>0</v>
      </c>
    </row>
    <row r="192" spans="1:15" ht="15.75" thickBot="1" x14ac:dyDescent="0.3">
      <c r="A192" s="248" t="s">
        <v>313</v>
      </c>
      <c r="B192" s="967"/>
      <c r="C192" s="967"/>
      <c r="D192" s="967"/>
      <c r="E192" s="982"/>
      <c r="F192" s="982"/>
      <c r="G192" s="982"/>
      <c r="H192" s="202">
        <v>0.73</v>
      </c>
      <c r="I192" s="185"/>
      <c r="J192" s="280">
        <f t="shared" si="17"/>
        <v>0</v>
      </c>
      <c r="K192" s="185"/>
      <c r="L192" s="185"/>
      <c r="M192" s="186"/>
      <c r="N192" s="197"/>
      <c r="O192" s="249"/>
    </row>
    <row r="193" spans="1:15" ht="15.75" thickBot="1" x14ac:dyDescent="0.3">
      <c r="A193" s="248" t="s">
        <v>314</v>
      </c>
      <c r="B193" s="967"/>
      <c r="C193" s="967"/>
      <c r="D193" s="967"/>
      <c r="E193" s="982"/>
      <c r="F193" s="982"/>
      <c r="G193" s="982"/>
      <c r="H193" s="202">
        <v>0.73</v>
      </c>
      <c r="I193" s="185"/>
      <c r="J193" s="280">
        <f t="shared" si="17"/>
        <v>0</v>
      </c>
      <c r="K193" s="185"/>
      <c r="L193" s="185"/>
      <c r="M193" s="186"/>
      <c r="N193" s="197"/>
      <c r="O193" s="249"/>
    </row>
    <row r="194" spans="1:15" ht="15.75" thickBot="1" x14ac:dyDescent="0.3">
      <c r="A194" s="248" t="s">
        <v>315</v>
      </c>
      <c r="B194" s="967"/>
      <c r="C194" s="967"/>
      <c r="D194" s="967"/>
      <c r="E194" s="982"/>
      <c r="F194" s="982"/>
      <c r="G194" s="982"/>
      <c r="H194" s="202">
        <v>0.73</v>
      </c>
      <c r="I194" s="185"/>
      <c r="J194" s="280">
        <f t="shared" si="17"/>
        <v>0</v>
      </c>
      <c r="K194" s="185"/>
      <c r="L194" s="185"/>
      <c r="M194" s="186"/>
      <c r="N194" s="197"/>
      <c r="O194" s="249"/>
    </row>
    <row r="195" spans="1:15" ht="15.75" thickBot="1" x14ac:dyDescent="0.3">
      <c r="A195" s="248" t="s">
        <v>316</v>
      </c>
      <c r="B195" s="967"/>
      <c r="C195" s="967"/>
      <c r="D195" s="967"/>
      <c r="E195" s="982"/>
      <c r="F195" s="982"/>
      <c r="G195" s="982"/>
      <c r="H195" s="202">
        <v>0.73</v>
      </c>
      <c r="I195" s="185"/>
      <c r="J195" s="280">
        <f t="shared" si="17"/>
        <v>0</v>
      </c>
      <c r="K195" s="185"/>
      <c r="L195" s="185"/>
      <c r="M195" s="186"/>
      <c r="N195" s="197"/>
      <c r="O195" s="249"/>
    </row>
    <row r="196" spans="1:15" ht="15.75" thickBot="1" x14ac:dyDescent="0.3">
      <c r="A196" s="248" t="s">
        <v>317</v>
      </c>
      <c r="B196" s="967"/>
      <c r="C196" s="967"/>
      <c r="D196" s="967"/>
      <c r="E196" s="982"/>
      <c r="F196" s="982"/>
      <c r="G196" s="982"/>
      <c r="H196" s="202">
        <v>0.73</v>
      </c>
      <c r="I196" s="185"/>
      <c r="J196" s="280">
        <f t="shared" si="17"/>
        <v>0</v>
      </c>
      <c r="K196" s="185"/>
      <c r="L196" s="185"/>
      <c r="M196" s="186"/>
      <c r="N196" s="197"/>
      <c r="O196" s="249"/>
    </row>
    <row r="197" spans="1:15" ht="15.75" thickBot="1" x14ac:dyDescent="0.3">
      <c r="A197" s="248" t="s">
        <v>318</v>
      </c>
      <c r="B197" s="967"/>
      <c r="C197" s="967"/>
      <c r="D197" s="967"/>
      <c r="E197" s="982"/>
      <c r="F197" s="982"/>
      <c r="G197" s="982"/>
      <c r="H197" s="202">
        <v>0.73</v>
      </c>
      <c r="I197" s="185"/>
      <c r="J197" s="280">
        <f t="shared" si="17"/>
        <v>0</v>
      </c>
      <c r="K197" s="185"/>
      <c r="L197" s="185"/>
      <c r="M197" s="186"/>
      <c r="N197" s="197"/>
      <c r="O197" s="249"/>
    </row>
    <row r="198" spans="1:15" ht="15.75" thickBot="1" x14ac:dyDescent="0.3">
      <c r="A198" s="248" t="s">
        <v>319</v>
      </c>
      <c r="B198" s="967"/>
      <c r="C198" s="967"/>
      <c r="D198" s="967"/>
      <c r="E198" s="982"/>
      <c r="F198" s="982"/>
      <c r="G198" s="982"/>
      <c r="H198" s="202">
        <v>0.73</v>
      </c>
      <c r="I198" s="185"/>
      <c r="J198" s="280">
        <f t="shared" si="17"/>
        <v>0</v>
      </c>
      <c r="K198" s="185"/>
      <c r="L198" s="185"/>
      <c r="M198" s="186" t="s">
        <v>90</v>
      </c>
      <c r="N198" s="197"/>
      <c r="O198" s="249">
        <f>LEN(N198)</f>
        <v>0</v>
      </c>
    </row>
    <row r="199" spans="1:15" ht="15.75" thickBot="1" x14ac:dyDescent="0.3">
      <c r="A199" s="248" t="s">
        <v>320</v>
      </c>
      <c r="B199" s="967"/>
      <c r="C199" s="967"/>
      <c r="D199" s="967"/>
      <c r="E199" s="982"/>
      <c r="F199" s="982"/>
      <c r="G199" s="982"/>
      <c r="H199" s="202">
        <v>0.73</v>
      </c>
      <c r="I199" s="185"/>
      <c r="J199" s="280">
        <f t="shared" si="17"/>
        <v>0</v>
      </c>
      <c r="K199" s="185"/>
      <c r="L199" s="185"/>
      <c r="M199" s="186" t="s">
        <v>90</v>
      </c>
      <c r="N199" s="197"/>
      <c r="O199" s="249">
        <f>LEN(N199)</f>
        <v>0</v>
      </c>
    </row>
    <row r="200" spans="1:15" s="252" customFormat="1" ht="15.75" thickBot="1" x14ac:dyDescent="0.3">
      <c r="A200" s="194" t="s">
        <v>321</v>
      </c>
      <c r="B200" s="967"/>
      <c r="C200" s="967"/>
      <c r="D200" s="967"/>
      <c r="E200" s="982"/>
      <c r="F200" s="982"/>
      <c r="G200" s="982"/>
      <c r="H200" s="202">
        <v>0.73</v>
      </c>
      <c r="I200" s="201"/>
      <c r="J200" s="280">
        <f t="shared" si="17"/>
        <v>0</v>
      </c>
      <c r="K200" s="201"/>
      <c r="L200" s="201"/>
      <c r="M200" s="43" t="s">
        <v>90</v>
      </c>
      <c r="N200" s="251"/>
      <c r="O200" s="267">
        <f>LEN(N200)</f>
        <v>0</v>
      </c>
    </row>
    <row r="201" spans="1:15" s="1" customFormat="1" ht="15.75" thickBot="1" x14ac:dyDescent="0.3">
      <c r="A201" s="253" t="s">
        <v>322</v>
      </c>
      <c r="B201" s="967"/>
      <c r="C201" s="967"/>
      <c r="D201" s="967"/>
      <c r="E201" s="982"/>
      <c r="F201" s="982"/>
      <c r="G201" s="982"/>
      <c r="H201" s="202">
        <v>0.73</v>
      </c>
      <c r="I201" s="271"/>
      <c r="J201" s="280">
        <f t="shared" si="17"/>
        <v>0</v>
      </c>
      <c r="K201" s="78"/>
      <c r="L201" s="78"/>
      <c r="M201" s="255" t="s">
        <v>90</v>
      </c>
      <c r="N201" s="190"/>
      <c r="O201" s="256">
        <f>LEN(N201)</f>
        <v>0</v>
      </c>
    </row>
    <row r="202" spans="1:15" s="1" customFormat="1" ht="15.75" thickBot="1" x14ac:dyDescent="0.3">
      <c r="A202" s="281" t="s">
        <v>323</v>
      </c>
      <c r="B202" s="967"/>
      <c r="C202" s="967"/>
      <c r="D202" s="967"/>
      <c r="E202" s="982"/>
      <c r="F202" s="982"/>
      <c r="G202" s="982"/>
      <c r="H202" s="195">
        <v>0.73</v>
      </c>
      <c r="I202" s="204"/>
      <c r="J202" s="282">
        <f t="shared" si="17"/>
        <v>0</v>
      </c>
      <c r="K202" s="204"/>
      <c r="L202" s="204"/>
      <c r="M202" s="286" t="s">
        <v>90</v>
      </c>
      <c r="N202" s="284"/>
      <c r="O202" s="256">
        <f>LEN(N202)</f>
        <v>0</v>
      </c>
    </row>
    <row r="203" spans="1:15" s="1" customFormat="1" x14ac:dyDescent="0.25">
      <c r="A203" s="272"/>
      <c r="B203" s="66"/>
      <c r="C203" s="66"/>
      <c r="D203" s="66"/>
      <c r="E203" s="98"/>
      <c r="F203" s="98"/>
      <c r="G203" s="98"/>
      <c r="H203" s="98"/>
      <c r="J203" s="273"/>
      <c r="M203" s="69"/>
      <c r="O203" s="66"/>
    </row>
    <row r="204" spans="1:15" s="1" customFormat="1" x14ac:dyDescent="0.25">
      <c r="A204" s="272"/>
      <c r="B204" s="66"/>
      <c r="C204" s="66"/>
      <c r="D204" s="66"/>
      <c r="E204" s="98"/>
      <c r="F204" s="98"/>
      <c r="G204" s="98"/>
      <c r="H204" s="98"/>
      <c r="J204" s="273"/>
      <c r="M204" s="69"/>
      <c r="O204" s="66"/>
    </row>
    <row r="205" spans="1:15" s="1" customFormat="1" x14ac:dyDescent="0.25">
      <c r="A205" s="272"/>
      <c r="B205" s="66"/>
      <c r="C205" s="66"/>
      <c r="D205" s="66"/>
      <c r="E205" s="98"/>
      <c r="F205" s="98"/>
      <c r="G205" s="98"/>
      <c r="H205" s="98"/>
      <c r="J205" s="273"/>
      <c r="M205" s="69"/>
      <c r="O205" s="66"/>
    </row>
    <row r="206" spans="1:15" s="1" customFormat="1" x14ac:dyDescent="0.25">
      <c r="A206" s="272"/>
      <c r="B206" s="66"/>
      <c r="C206" s="66"/>
      <c r="D206" s="66"/>
      <c r="E206" s="98"/>
      <c r="F206" s="98"/>
      <c r="G206" s="98"/>
      <c r="H206" s="98"/>
      <c r="J206" s="273"/>
      <c r="M206" s="69"/>
      <c r="O206" s="66"/>
    </row>
    <row r="207" spans="1:15" s="1" customFormat="1" x14ac:dyDescent="0.25">
      <c r="A207" s="272"/>
      <c r="B207" s="66"/>
      <c r="C207" s="66"/>
      <c r="D207" s="66"/>
      <c r="E207" s="98"/>
      <c r="F207" s="98"/>
      <c r="G207" s="98"/>
      <c r="H207" s="98"/>
      <c r="J207" s="273"/>
      <c r="M207" s="69"/>
      <c r="O207" s="66"/>
    </row>
    <row r="208" spans="1:15" ht="20.25" hidden="1" x14ac:dyDescent="0.25">
      <c r="A208" s="981" t="s">
        <v>327</v>
      </c>
      <c r="B208" s="981"/>
      <c r="C208" s="981"/>
      <c r="D208" s="981"/>
      <c r="E208" s="981"/>
      <c r="F208" s="981"/>
      <c r="G208" s="981"/>
      <c r="H208" s="981"/>
      <c r="I208" s="981"/>
      <c r="J208" s="981"/>
      <c r="K208" s="981"/>
      <c r="L208" s="981"/>
      <c r="M208" s="981"/>
      <c r="N208" s="981"/>
    </row>
    <row r="209" spans="1:15" ht="38.25" hidden="1" x14ac:dyDescent="0.25">
      <c r="A209" s="191" t="s">
        <v>26</v>
      </c>
      <c r="B209" s="192" t="s">
        <v>328</v>
      </c>
      <c r="C209" s="192" t="s">
        <v>329</v>
      </c>
      <c r="D209" s="192" t="s">
        <v>330</v>
      </c>
      <c r="E209" s="192" t="s">
        <v>331</v>
      </c>
      <c r="F209" s="192" t="s">
        <v>332</v>
      </c>
      <c r="G209" s="192" t="s">
        <v>333</v>
      </c>
      <c r="H209" s="192" t="s">
        <v>334</v>
      </c>
      <c r="I209" s="192" t="s">
        <v>335</v>
      </c>
      <c r="J209" s="200" t="s">
        <v>336</v>
      </c>
      <c r="K209" s="192" t="s">
        <v>337</v>
      </c>
      <c r="L209" s="192" t="s">
        <v>338</v>
      </c>
      <c r="M209" s="192" t="s">
        <v>339</v>
      </c>
      <c r="N209" s="193" t="s">
        <v>340</v>
      </c>
    </row>
    <row r="210" spans="1:15" s="291" customFormat="1" hidden="1" x14ac:dyDescent="0.25">
      <c r="A210" s="289" t="s">
        <v>311</v>
      </c>
      <c r="B210" s="276"/>
      <c r="C210" s="276"/>
      <c r="D210" s="276"/>
      <c r="E210" s="276"/>
      <c r="F210" s="276"/>
      <c r="G210" s="276"/>
      <c r="H210" s="276"/>
      <c r="I210" s="276">
        <v>75</v>
      </c>
      <c r="J210" s="276" t="e">
        <f t="shared" ref="J210:J221" si="18">I210/H210</f>
        <v>#DIV/0!</v>
      </c>
      <c r="K210" s="276"/>
      <c r="L210" s="276"/>
      <c r="M210" s="276" t="e">
        <f t="shared" ref="M210:M221" si="19">L210/K210</f>
        <v>#DIV/0!</v>
      </c>
      <c r="N210" s="279" t="s">
        <v>452</v>
      </c>
      <c r="O210" s="290">
        <f t="shared" ref="O210:O220" si="20">LEN(N210)</f>
        <v>253</v>
      </c>
    </row>
    <row r="211" spans="1:15" s="291" customFormat="1" hidden="1" x14ac:dyDescent="0.25">
      <c r="A211" s="289" t="s">
        <v>313</v>
      </c>
      <c r="B211" s="276"/>
      <c r="C211" s="276"/>
      <c r="D211" s="276"/>
      <c r="E211" s="276"/>
      <c r="F211" s="276"/>
      <c r="G211" s="276"/>
      <c r="H211" s="276"/>
      <c r="I211" s="276">
        <v>370</v>
      </c>
      <c r="J211" s="276" t="e">
        <f t="shared" si="18"/>
        <v>#DIV/0!</v>
      </c>
      <c r="K211" s="276"/>
      <c r="L211" s="276"/>
      <c r="M211" s="276" t="e">
        <f t="shared" si="19"/>
        <v>#DIV/0!</v>
      </c>
      <c r="N211" s="291" t="s">
        <v>453</v>
      </c>
      <c r="O211" s="290">
        <f t="shared" si="20"/>
        <v>278</v>
      </c>
    </row>
    <row r="212" spans="1:15" s="291" customFormat="1" hidden="1" x14ac:dyDescent="0.25">
      <c r="A212" s="289" t="s">
        <v>314</v>
      </c>
      <c r="B212" s="276"/>
      <c r="C212" s="276"/>
      <c r="D212" s="276"/>
      <c r="E212" s="276"/>
      <c r="F212" s="276"/>
      <c r="G212" s="276"/>
      <c r="H212" s="276"/>
      <c r="I212" s="276">
        <v>590</v>
      </c>
      <c r="J212" s="276" t="e">
        <f t="shared" si="18"/>
        <v>#DIV/0!</v>
      </c>
      <c r="K212" s="276"/>
      <c r="L212" s="276"/>
      <c r="M212" s="276" t="e">
        <f t="shared" si="19"/>
        <v>#DIV/0!</v>
      </c>
      <c r="N212" s="292" t="s">
        <v>454</v>
      </c>
      <c r="O212" s="290">
        <f t="shared" si="20"/>
        <v>184</v>
      </c>
    </row>
    <row r="213" spans="1:15" s="291" customFormat="1" hidden="1" x14ac:dyDescent="0.25">
      <c r="A213" s="289" t="s">
        <v>315</v>
      </c>
      <c r="B213" s="276"/>
      <c r="C213" s="276"/>
      <c r="D213" s="276"/>
      <c r="E213" s="276"/>
      <c r="F213" s="276"/>
      <c r="G213" s="276"/>
      <c r="H213" s="276"/>
      <c r="I213" s="293" t="s">
        <v>455</v>
      </c>
      <c r="J213" s="276" t="e">
        <f t="shared" si="18"/>
        <v>#VALUE!</v>
      </c>
      <c r="K213" s="276"/>
      <c r="L213" s="276"/>
      <c r="M213" s="276" t="e">
        <f t="shared" si="19"/>
        <v>#DIV/0!</v>
      </c>
      <c r="N213" s="294" t="s">
        <v>456</v>
      </c>
      <c r="O213" s="290">
        <f t="shared" si="20"/>
        <v>149</v>
      </c>
    </row>
    <row r="214" spans="1:15" s="291" customFormat="1" hidden="1" x14ac:dyDescent="0.25">
      <c r="A214" s="289" t="s">
        <v>316</v>
      </c>
      <c r="B214" s="276"/>
      <c r="C214" s="276"/>
      <c r="D214" s="276"/>
      <c r="E214" s="276"/>
      <c r="F214" s="276"/>
      <c r="G214" s="276"/>
      <c r="H214" s="276"/>
      <c r="I214" s="276"/>
      <c r="J214" s="276" t="e">
        <f t="shared" si="18"/>
        <v>#DIV/0!</v>
      </c>
      <c r="K214" s="276"/>
      <c r="L214" s="276"/>
      <c r="M214" s="276" t="e">
        <f t="shared" si="19"/>
        <v>#DIV/0!</v>
      </c>
      <c r="N214" s="279"/>
      <c r="O214" s="290">
        <f t="shared" si="20"/>
        <v>0</v>
      </c>
    </row>
    <row r="215" spans="1:15" s="291" customFormat="1" hidden="1" x14ac:dyDescent="0.25">
      <c r="A215" s="289" t="s">
        <v>317</v>
      </c>
      <c r="B215" s="276"/>
      <c r="C215" s="276"/>
      <c r="D215" s="276"/>
      <c r="E215" s="276"/>
      <c r="F215" s="276"/>
      <c r="G215" s="276"/>
      <c r="H215" s="276"/>
      <c r="I215" s="276"/>
      <c r="J215" s="276" t="e">
        <f t="shared" si="18"/>
        <v>#DIV/0!</v>
      </c>
      <c r="K215" s="276"/>
      <c r="L215" s="276"/>
      <c r="M215" s="276" t="e">
        <f t="shared" si="19"/>
        <v>#DIV/0!</v>
      </c>
      <c r="N215" s="291" t="s">
        <v>457</v>
      </c>
      <c r="O215" s="290">
        <f t="shared" si="20"/>
        <v>250</v>
      </c>
    </row>
    <row r="216" spans="1:15" s="291" customFormat="1" hidden="1" x14ac:dyDescent="0.25">
      <c r="A216" s="289" t="s">
        <v>318</v>
      </c>
      <c r="B216" s="276"/>
      <c r="C216" s="276"/>
      <c r="D216" s="276"/>
      <c r="E216" s="276"/>
      <c r="F216" s="276"/>
      <c r="G216" s="276"/>
      <c r="H216" s="276"/>
      <c r="I216" s="276"/>
      <c r="J216" s="276" t="e">
        <f t="shared" si="18"/>
        <v>#DIV/0!</v>
      </c>
      <c r="K216" s="276"/>
      <c r="L216" s="276"/>
      <c r="M216" s="276" t="e">
        <f t="shared" si="19"/>
        <v>#DIV/0!</v>
      </c>
      <c r="N216" s="279"/>
      <c r="O216" s="290">
        <f t="shared" si="20"/>
        <v>0</v>
      </c>
    </row>
    <row r="217" spans="1:15" s="291" customFormat="1" hidden="1" x14ac:dyDescent="0.25">
      <c r="A217" s="289" t="s">
        <v>319</v>
      </c>
      <c r="B217" s="276"/>
      <c r="C217" s="276"/>
      <c r="D217" s="276"/>
      <c r="E217" s="276"/>
      <c r="F217" s="276"/>
      <c r="G217" s="276"/>
      <c r="H217" s="276"/>
      <c r="I217" s="276"/>
      <c r="J217" s="276" t="e">
        <f t="shared" si="18"/>
        <v>#DIV/0!</v>
      </c>
      <c r="K217" s="276"/>
      <c r="L217" s="276"/>
      <c r="M217" s="276" t="e">
        <f t="shared" si="19"/>
        <v>#DIV/0!</v>
      </c>
      <c r="N217" s="279"/>
      <c r="O217" s="290">
        <f t="shared" si="20"/>
        <v>0</v>
      </c>
    </row>
    <row r="218" spans="1:15" s="291" customFormat="1" hidden="1" x14ac:dyDescent="0.25">
      <c r="A218" s="289" t="s">
        <v>320</v>
      </c>
      <c r="B218" s="276"/>
      <c r="C218" s="276"/>
      <c r="D218" s="276"/>
      <c r="E218" s="276"/>
      <c r="F218" s="276"/>
      <c r="G218" s="276"/>
      <c r="H218" s="276"/>
      <c r="I218" s="276"/>
      <c r="J218" s="276" t="e">
        <f t="shared" si="18"/>
        <v>#DIV/0!</v>
      </c>
      <c r="K218" s="276"/>
      <c r="L218" s="276"/>
      <c r="M218" s="276" t="e">
        <f t="shared" si="19"/>
        <v>#DIV/0!</v>
      </c>
      <c r="N218" s="279"/>
      <c r="O218" s="290">
        <f t="shared" si="20"/>
        <v>0</v>
      </c>
    </row>
    <row r="219" spans="1:15" s="291" customFormat="1" hidden="1" x14ac:dyDescent="0.25">
      <c r="A219" s="289" t="s">
        <v>321</v>
      </c>
      <c r="B219" s="276"/>
      <c r="C219" s="276"/>
      <c r="D219" s="276"/>
      <c r="E219" s="276"/>
      <c r="F219" s="276"/>
      <c r="G219" s="276"/>
      <c r="H219" s="276"/>
      <c r="I219" s="276"/>
      <c r="J219" s="276" t="e">
        <f t="shared" si="18"/>
        <v>#DIV/0!</v>
      </c>
      <c r="K219" s="276"/>
      <c r="L219" s="276"/>
      <c r="M219" s="276" t="e">
        <f t="shared" si="19"/>
        <v>#DIV/0!</v>
      </c>
      <c r="N219" s="279"/>
      <c r="O219" s="290">
        <f t="shared" si="20"/>
        <v>0</v>
      </c>
    </row>
    <row r="220" spans="1:15" s="291" customFormat="1" hidden="1" x14ac:dyDescent="0.25">
      <c r="A220" s="289" t="s">
        <v>322</v>
      </c>
      <c r="B220" s="276"/>
      <c r="C220" s="276"/>
      <c r="D220" s="276"/>
      <c r="E220" s="276"/>
      <c r="F220" s="276"/>
      <c r="G220" s="276"/>
      <c r="H220" s="276"/>
      <c r="I220" s="276"/>
      <c r="J220" s="276" t="e">
        <f t="shared" si="18"/>
        <v>#DIV/0!</v>
      </c>
      <c r="K220" s="276"/>
      <c r="L220" s="276"/>
      <c r="M220" s="276" t="e">
        <f t="shared" si="19"/>
        <v>#DIV/0!</v>
      </c>
      <c r="N220" s="279"/>
      <c r="O220" s="290">
        <f t="shared" si="20"/>
        <v>0</v>
      </c>
    </row>
    <row r="221" spans="1:15" s="291" customFormat="1" ht="15.75" hidden="1" thickBot="1" x14ac:dyDescent="0.3">
      <c r="A221" s="295" t="s">
        <v>323</v>
      </c>
      <c r="B221" s="259"/>
      <c r="C221" s="259"/>
      <c r="D221" s="259"/>
      <c r="E221" s="259"/>
      <c r="F221" s="259"/>
      <c r="G221" s="259"/>
      <c r="H221" s="259"/>
      <c r="I221" s="259"/>
      <c r="J221" s="259" t="e">
        <f t="shared" si="18"/>
        <v>#DIV/0!</v>
      </c>
      <c r="K221" s="259"/>
      <c r="L221" s="259"/>
      <c r="M221" s="259" t="e">
        <f t="shared" si="19"/>
        <v>#DIV/0!</v>
      </c>
      <c r="N221" s="262"/>
      <c r="O221" s="296"/>
    </row>
    <row r="223" spans="1:15" ht="20.25" hidden="1" x14ac:dyDescent="0.25">
      <c r="A223" s="981" t="s">
        <v>348</v>
      </c>
      <c r="B223" s="981"/>
      <c r="C223" s="981"/>
      <c r="D223" s="981"/>
      <c r="E223" s="981"/>
      <c r="F223" s="981"/>
      <c r="G223" s="981"/>
      <c r="H223" s="981"/>
      <c r="I223" s="981"/>
      <c r="J223" s="981"/>
      <c r="K223" s="981"/>
      <c r="L223" s="981"/>
      <c r="M223" s="981"/>
      <c r="N223" s="981"/>
    </row>
    <row r="224" spans="1:15" ht="38.25" hidden="1" x14ac:dyDescent="0.25">
      <c r="A224" s="191" t="s">
        <v>27</v>
      </c>
      <c r="B224" s="192" t="s">
        <v>328</v>
      </c>
      <c r="C224" s="192" t="s">
        <v>329</v>
      </c>
      <c r="D224" s="192" t="s">
        <v>330</v>
      </c>
      <c r="E224" s="192" t="s">
        <v>331</v>
      </c>
      <c r="F224" s="192" t="s">
        <v>349</v>
      </c>
      <c r="G224" s="192" t="s">
        <v>333</v>
      </c>
      <c r="H224" s="192" t="s">
        <v>350</v>
      </c>
      <c r="I224" s="192" t="s">
        <v>351</v>
      </c>
      <c r="J224" s="200" t="s">
        <v>352</v>
      </c>
      <c r="K224" s="192" t="s">
        <v>337</v>
      </c>
      <c r="L224" s="192" t="s">
        <v>338</v>
      </c>
      <c r="M224" s="192" t="s">
        <v>339</v>
      </c>
      <c r="N224" s="193" t="s">
        <v>340</v>
      </c>
    </row>
    <row r="225" spans="1:14" hidden="1" x14ac:dyDescent="0.25">
      <c r="A225" s="196" t="s">
        <v>311</v>
      </c>
      <c r="B225" s="185"/>
      <c r="C225" s="185"/>
      <c r="D225" s="185"/>
      <c r="E225" s="185"/>
      <c r="F225" s="185"/>
      <c r="G225" s="185"/>
      <c r="H225" s="185"/>
      <c r="I225" s="185"/>
      <c r="J225" s="185" t="e">
        <f t="shared" ref="J225:J236" si="21">I225/H225</f>
        <v>#DIV/0!</v>
      </c>
      <c r="K225" s="185"/>
      <c r="L225" s="185"/>
      <c r="M225" s="185" t="e">
        <f t="shared" ref="M225:M236" si="22">L225/K225</f>
        <v>#DIV/0!</v>
      </c>
      <c r="N225" s="197"/>
    </row>
    <row r="226" spans="1:14" hidden="1" x14ac:dyDescent="0.25">
      <c r="A226" s="196" t="s">
        <v>313</v>
      </c>
      <c r="B226" s="185"/>
      <c r="C226" s="185"/>
      <c r="D226" s="185"/>
      <c r="E226" s="185"/>
      <c r="F226" s="185"/>
      <c r="G226" s="185"/>
      <c r="H226" s="185"/>
      <c r="I226" s="185"/>
      <c r="J226" s="185" t="e">
        <f t="shared" si="21"/>
        <v>#DIV/0!</v>
      </c>
      <c r="K226" s="185"/>
      <c r="L226" s="185"/>
      <c r="M226" s="185" t="e">
        <f t="shared" si="22"/>
        <v>#DIV/0!</v>
      </c>
      <c r="N226" s="197"/>
    </row>
    <row r="227" spans="1:14" hidden="1" x14ac:dyDescent="0.25">
      <c r="A227" s="196" t="s">
        <v>314</v>
      </c>
      <c r="B227" s="185"/>
      <c r="C227" s="185"/>
      <c r="D227" s="185"/>
      <c r="E227" s="185"/>
      <c r="F227" s="185"/>
      <c r="G227" s="185"/>
      <c r="H227" s="185"/>
      <c r="I227" s="185"/>
      <c r="J227" s="185" t="e">
        <f t="shared" si="21"/>
        <v>#DIV/0!</v>
      </c>
      <c r="K227" s="185"/>
      <c r="L227" s="185"/>
      <c r="M227" s="185" t="e">
        <f t="shared" si="22"/>
        <v>#DIV/0!</v>
      </c>
      <c r="N227" s="197"/>
    </row>
    <row r="228" spans="1:14" hidden="1" x14ac:dyDescent="0.25">
      <c r="A228" s="196" t="s">
        <v>315</v>
      </c>
      <c r="B228" s="185"/>
      <c r="C228" s="185"/>
      <c r="D228" s="185"/>
      <c r="E228" s="185"/>
      <c r="F228" s="185"/>
      <c r="G228" s="185"/>
      <c r="H228" s="185"/>
      <c r="I228" s="185"/>
      <c r="J228" s="185" t="e">
        <f t="shared" si="21"/>
        <v>#DIV/0!</v>
      </c>
      <c r="K228" s="185"/>
      <c r="L228" s="185"/>
      <c r="M228" s="185" t="e">
        <f t="shared" si="22"/>
        <v>#DIV/0!</v>
      </c>
      <c r="N228" s="197"/>
    </row>
    <row r="229" spans="1:14" hidden="1" x14ac:dyDescent="0.25">
      <c r="A229" s="196" t="s">
        <v>316</v>
      </c>
      <c r="B229" s="185"/>
      <c r="C229" s="185"/>
      <c r="D229" s="185"/>
      <c r="E229" s="185"/>
      <c r="F229" s="185"/>
      <c r="G229" s="185"/>
      <c r="H229" s="185"/>
      <c r="I229" s="185"/>
      <c r="J229" s="185" t="e">
        <f t="shared" si="21"/>
        <v>#DIV/0!</v>
      </c>
      <c r="K229" s="185"/>
      <c r="L229" s="185"/>
      <c r="M229" s="185" t="e">
        <f t="shared" si="22"/>
        <v>#DIV/0!</v>
      </c>
      <c r="N229" s="197"/>
    </row>
    <row r="230" spans="1:14" hidden="1" x14ac:dyDescent="0.25">
      <c r="A230" s="196" t="s">
        <v>317</v>
      </c>
      <c r="B230" s="185"/>
      <c r="C230" s="185"/>
      <c r="D230" s="185"/>
      <c r="E230" s="185"/>
      <c r="F230" s="185"/>
      <c r="G230" s="185"/>
      <c r="H230" s="185"/>
      <c r="I230" s="185"/>
      <c r="J230" s="185" t="e">
        <f t="shared" si="21"/>
        <v>#DIV/0!</v>
      </c>
      <c r="K230" s="185"/>
      <c r="L230" s="185"/>
      <c r="M230" s="185" t="e">
        <f t="shared" si="22"/>
        <v>#DIV/0!</v>
      </c>
      <c r="N230" s="197"/>
    </row>
    <row r="231" spans="1:14" hidden="1" x14ac:dyDescent="0.25">
      <c r="A231" s="196" t="s">
        <v>318</v>
      </c>
      <c r="B231" s="185"/>
      <c r="C231" s="185"/>
      <c r="D231" s="185"/>
      <c r="E231" s="185"/>
      <c r="F231" s="185"/>
      <c r="G231" s="185"/>
      <c r="H231" s="185"/>
      <c r="I231" s="185"/>
      <c r="J231" s="185" t="e">
        <f t="shared" si="21"/>
        <v>#DIV/0!</v>
      </c>
      <c r="K231" s="185"/>
      <c r="L231" s="185"/>
      <c r="M231" s="185" t="e">
        <f t="shared" si="22"/>
        <v>#DIV/0!</v>
      </c>
      <c r="N231" s="197"/>
    </row>
    <row r="232" spans="1:14" hidden="1" x14ac:dyDescent="0.25">
      <c r="A232" s="196" t="s">
        <v>319</v>
      </c>
      <c r="B232" s="185"/>
      <c r="C232" s="185"/>
      <c r="D232" s="185"/>
      <c r="E232" s="185"/>
      <c r="F232" s="185"/>
      <c r="G232" s="185"/>
      <c r="H232" s="185"/>
      <c r="I232" s="185"/>
      <c r="J232" s="185" t="e">
        <f t="shared" si="21"/>
        <v>#DIV/0!</v>
      </c>
      <c r="K232" s="185"/>
      <c r="L232" s="185"/>
      <c r="M232" s="185" t="e">
        <f t="shared" si="22"/>
        <v>#DIV/0!</v>
      </c>
      <c r="N232" s="197"/>
    </row>
    <row r="233" spans="1:14" hidden="1" x14ac:dyDescent="0.25">
      <c r="A233" s="196" t="s">
        <v>320</v>
      </c>
      <c r="B233" s="185"/>
      <c r="C233" s="185"/>
      <c r="D233" s="185"/>
      <c r="E233" s="185"/>
      <c r="F233" s="185"/>
      <c r="G233" s="185"/>
      <c r="H233" s="185"/>
      <c r="I233" s="185"/>
      <c r="J233" s="185" t="e">
        <f t="shared" si="21"/>
        <v>#DIV/0!</v>
      </c>
      <c r="K233" s="185"/>
      <c r="L233" s="185"/>
      <c r="M233" s="185" t="e">
        <f t="shared" si="22"/>
        <v>#DIV/0!</v>
      </c>
      <c r="N233" s="197"/>
    </row>
    <row r="234" spans="1:14" hidden="1" x14ac:dyDescent="0.25">
      <c r="A234" s="196" t="s">
        <v>321</v>
      </c>
      <c r="B234" s="185"/>
      <c r="C234" s="185"/>
      <c r="D234" s="185"/>
      <c r="E234" s="185"/>
      <c r="F234" s="185"/>
      <c r="G234" s="185"/>
      <c r="H234" s="185"/>
      <c r="I234" s="185"/>
      <c r="J234" s="185" t="e">
        <f t="shared" si="21"/>
        <v>#DIV/0!</v>
      </c>
      <c r="K234" s="185"/>
      <c r="L234" s="185"/>
      <c r="M234" s="185" t="e">
        <f t="shared" si="22"/>
        <v>#DIV/0!</v>
      </c>
      <c r="N234" s="197"/>
    </row>
    <row r="235" spans="1:14" hidden="1" x14ac:dyDescent="0.25">
      <c r="A235" s="196" t="s">
        <v>322</v>
      </c>
      <c r="B235" s="185"/>
      <c r="C235" s="185"/>
      <c r="D235" s="185"/>
      <c r="E235" s="185"/>
      <c r="F235" s="185"/>
      <c r="G235" s="185"/>
      <c r="H235" s="185"/>
      <c r="I235" s="185"/>
      <c r="J235" s="185" t="e">
        <f t="shared" si="21"/>
        <v>#DIV/0!</v>
      </c>
      <c r="K235" s="185"/>
      <c r="L235" s="185"/>
      <c r="M235" s="185" t="e">
        <f t="shared" si="22"/>
        <v>#DIV/0!</v>
      </c>
      <c r="N235" s="197"/>
    </row>
    <row r="236" spans="1:14" ht="15.75" hidden="1" thickBot="1" x14ac:dyDescent="0.3">
      <c r="A236" s="198" t="s">
        <v>323</v>
      </c>
      <c r="B236" s="199"/>
      <c r="C236" s="199"/>
      <c r="D236" s="199"/>
      <c r="E236" s="199"/>
      <c r="F236" s="199"/>
      <c r="G236" s="199"/>
      <c r="H236" s="199"/>
      <c r="I236" s="199"/>
      <c r="J236" s="199" t="e">
        <f t="shared" si="21"/>
        <v>#DIV/0!</v>
      </c>
      <c r="K236" s="199"/>
      <c r="L236" s="199"/>
      <c r="M236" s="199" t="e">
        <f t="shared" si="22"/>
        <v>#DIV/0!</v>
      </c>
      <c r="N236" s="205"/>
    </row>
    <row r="237" spans="1:14" ht="15.75" hidden="1" thickBot="1" x14ac:dyDescent="0.3"/>
    <row r="238" spans="1:14" ht="20.25" hidden="1" x14ac:dyDescent="0.25">
      <c r="A238" s="981" t="s">
        <v>353</v>
      </c>
      <c r="B238" s="981"/>
      <c r="C238" s="981"/>
      <c r="D238" s="981"/>
      <c r="E238" s="981"/>
      <c r="F238" s="981"/>
      <c r="G238" s="981"/>
      <c r="H238" s="981"/>
      <c r="I238" s="981"/>
      <c r="J238" s="981"/>
      <c r="K238" s="981"/>
      <c r="L238" s="981"/>
      <c r="M238" s="981"/>
      <c r="N238" s="981"/>
    </row>
    <row r="239" spans="1:14" ht="38.25" hidden="1" x14ac:dyDescent="0.25">
      <c r="A239" s="191" t="s">
        <v>28</v>
      </c>
      <c r="B239" s="192" t="s">
        <v>328</v>
      </c>
      <c r="C239" s="192" t="s">
        <v>329</v>
      </c>
      <c r="D239" s="192" t="s">
        <v>330</v>
      </c>
      <c r="E239" s="192" t="s">
        <v>331</v>
      </c>
      <c r="F239" s="192" t="s">
        <v>354</v>
      </c>
      <c r="G239" s="192" t="s">
        <v>333</v>
      </c>
      <c r="H239" s="192" t="s">
        <v>355</v>
      </c>
      <c r="I239" s="192" t="s">
        <v>356</v>
      </c>
      <c r="J239" s="200" t="s">
        <v>357</v>
      </c>
      <c r="K239" s="192" t="s">
        <v>337</v>
      </c>
      <c r="L239" s="192" t="s">
        <v>338</v>
      </c>
      <c r="M239" s="192" t="s">
        <v>339</v>
      </c>
      <c r="N239" s="193" t="s">
        <v>340</v>
      </c>
    </row>
    <row r="240" spans="1:14" hidden="1" x14ac:dyDescent="0.25">
      <c r="A240" s="196" t="s">
        <v>311</v>
      </c>
      <c r="B240" s="185"/>
      <c r="C240" s="185"/>
      <c r="D240" s="185"/>
      <c r="E240" s="185"/>
      <c r="F240" s="185"/>
      <c r="G240" s="185"/>
      <c r="H240" s="185"/>
      <c r="I240" s="185"/>
      <c r="J240" s="185" t="e">
        <f t="shared" ref="J240:J251" si="23">I240/H240</f>
        <v>#DIV/0!</v>
      </c>
      <c r="K240" s="185"/>
      <c r="L240" s="185"/>
      <c r="M240" s="185" t="e">
        <f t="shared" ref="M240:M251" si="24">L240/K240</f>
        <v>#DIV/0!</v>
      </c>
      <c r="N240" s="197"/>
    </row>
    <row r="241" spans="1:14" hidden="1" x14ac:dyDescent="0.25">
      <c r="A241" s="196" t="s">
        <v>313</v>
      </c>
      <c r="B241" s="185"/>
      <c r="C241" s="185"/>
      <c r="D241" s="185"/>
      <c r="E241" s="185"/>
      <c r="F241" s="185"/>
      <c r="G241" s="185"/>
      <c r="H241" s="185"/>
      <c r="I241" s="185"/>
      <c r="J241" s="185" t="e">
        <f t="shared" si="23"/>
        <v>#DIV/0!</v>
      </c>
      <c r="K241" s="185"/>
      <c r="L241" s="185"/>
      <c r="M241" s="185" t="e">
        <f t="shared" si="24"/>
        <v>#DIV/0!</v>
      </c>
      <c r="N241" s="197"/>
    </row>
    <row r="242" spans="1:14" hidden="1" x14ac:dyDescent="0.25">
      <c r="A242" s="196" t="s">
        <v>314</v>
      </c>
      <c r="B242" s="185"/>
      <c r="C242" s="185"/>
      <c r="D242" s="185"/>
      <c r="E242" s="185"/>
      <c r="F242" s="185"/>
      <c r="G242" s="185"/>
      <c r="H242" s="185"/>
      <c r="I242" s="185"/>
      <c r="J242" s="185" t="e">
        <f t="shared" si="23"/>
        <v>#DIV/0!</v>
      </c>
      <c r="K242" s="185"/>
      <c r="L242" s="185"/>
      <c r="M242" s="185" t="e">
        <f t="shared" si="24"/>
        <v>#DIV/0!</v>
      </c>
      <c r="N242" s="197"/>
    </row>
    <row r="243" spans="1:14" hidden="1" x14ac:dyDescent="0.25">
      <c r="A243" s="196" t="s">
        <v>315</v>
      </c>
      <c r="B243" s="185"/>
      <c r="C243" s="185"/>
      <c r="D243" s="185"/>
      <c r="E243" s="185"/>
      <c r="F243" s="185"/>
      <c r="G243" s="185"/>
      <c r="H243" s="185"/>
      <c r="I243" s="185"/>
      <c r="J243" s="185" t="e">
        <f t="shared" si="23"/>
        <v>#DIV/0!</v>
      </c>
      <c r="K243" s="185"/>
      <c r="L243" s="185"/>
      <c r="M243" s="185" t="e">
        <f t="shared" si="24"/>
        <v>#DIV/0!</v>
      </c>
      <c r="N243" s="197"/>
    </row>
    <row r="244" spans="1:14" hidden="1" x14ac:dyDescent="0.25">
      <c r="A244" s="196" t="s">
        <v>316</v>
      </c>
      <c r="B244" s="185"/>
      <c r="C244" s="185"/>
      <c r="D244" s="185"/>
      <c r="E244" s="185"/>
      <c r="F244" s="185"/>
      <c r="G244" s="185"/>
      <c r="H244" s="185"/>
      <c r="I244" s="185"/>
      <c r="J244" s="185" t="e">
        <f t="shared" si="23"/>
        <v>#DIV/0!</v>
      </c>
      <c r="K244" s="185"/>
      <c r="L244" s="185"/>
      <c r="M244" s="185" t="e">
        <f t="shared" si="24"/>
        <v>#DIV/0!</v>
      </c>
      <c r="N244" s="197"/>
    </row>
    <row r="245" spans="1:14" hidden="1" x14ac:dyDescent="0.25">
      <c r="A245" s="196" t="s">
        <v>317</v>
      </c>
      <c r="B245" s="185"/>
      <c r="C245" s="185"/>
      <c r="D245" s="185"/>
      <c r="E245" s="185"/>
      <c r="F245" s="185"/>
      <c r="G245" s="185"/>
      <c r="H245" s="185"/>
      <c r="I245" s="185"/>
      <c r="J245" s="185" t="e">
        <f t="shared" si="23"/>
        <v>#DIV/0!</v>
      </c>
      <c r="K245" s="185"/>
      <c r="L245" s="185"/>
      <c r="M245" s="185" t="e">
        <f t="shared" si="24"/>
        <v>#DIV/0!</v>
      </c>
      <c r="N245" s="197"/>
    </row>
    <row r="246" spans="1:14" hidden="1" x14ac:dyDescent="0.25">
      <c r="A246" s="196" t="s">
        <v>318</v>
      </c>
      <c r="B246" s="185"/>
      <c r="C246" s="185"/>
      <c r="D246" s="185"/>
      <c r="E246" s="185"/>
      <c r="F246" s="185"/>
      <c r="G246" s="185"/>
      <c r="H246" s="185"/>
      <c r="I246" s="185"/>
      <c r="J246" s="185" t="e">
        <f t="shared" si="23"/>
        <v>#DIV/0!</v>
      </c>
      <c r="K246" s="185"/>
      <c r="L246" s="185"/>
      <c r="M246" s="185" t="e">
        <f t="shared" si="24"/>
        <v>#DIV/0!</v>
      </c>
      <c r="N246" s="197"/>
    </row>
    <row r="247" spans="1:14" hidden="1" x14ac:dyDescent="0.25">
      <c r="A247" s="196" t="s">
        <v>319</v>
      </c>
      <c r="B247" s="185"/>
      <c r="C247" s="185"/>
      <c r="D247" s="185"/>
      <c r="E247" s="185"/>
      <c r="F247" s="185"/>
      <c r="G247" s="185"/>
      <c r="H247" s="185"/>
      <c r="I247" s="185"/>
      <c r="J247" s="185" t="e">
        <f t="shared" si="23"/>
        <v>#DIV/0!</v>
      </c>
      <c r="K247" s="185"/>
      <c r="L247" s="185"/>
      <c r="M247" s="185" t="e">
        <f t="shared" si="24"/>
        <v>#DIV/0!</v>
      </c>
      <c r="N247" s="197"/>
    </row>
    <row r="248" spans="1:14" hidden="1" x14ac:dyDescent="0.25">
      <c r="A248" s="196" t="s">
        <v>320</v>
      </c>
      <c r="B248" s="185"/>
      <c r="C248" s="185"/>
      <c r="D248" s="185"/>
      <c r="E248" s="185"/>
      <c r="F248" s="185"/>
      <c r="G248" s="185"/>
      <c r="H248" s="185"/>
      <c r="I248" s="185"/>
      <c r="J248" s="185" t="e">
        <f t="shared" si="23"/>
        <v>#DIV/0!</v>
      </c>
      <c r="K248" s="185"/>
      <c r="L248" s="185"/>
      <c r="M248" s="185" t="e">
        <f t="shared" si="24"/>
        <v>#DIV/0!</v>
      </c>
      <c r="N248" s="197"/>
    </row>
    <row r="249" spans="1:14" hidden="1" x14ac:dyDescent="0.25">
      <c r="A249" s="196" t="s">
        <v>321</v>
      </c>
      <c r="B249" s="185"/>
      <c r="C249" s="185"/>
      <c r="D249" s="185"/>
      <c r="E249" s="185"/>
      <c r="F249" s="185"/>
      <c r="G249" s="185"/>
      <c r="H249" s="185"/>
      <c r="I249" s="185"/>
      <c r="J249" s="185" t="e">
        <f t="shared" si="23"/>
        <v>#DIV/0!</v>
      </c>
      <c r="K249" s="185"/>
      <c r="L249" s="185"/>
      <c r="M249" s="185" t="e">
        <f t="shared" si="24"/>
        <v>#DIV/0!</v>
      </c>
      <c r="N249" s="197"/>
    </row>
    <row r="250" spans="1:14" hidden="1" x14ac:dyDescent="0.25">
      <c r="A250" s="196" t="s">
        <v>322</v>
      </c>
      <c r="B250" s="185"/>
      <c r="C250" s="185"/>
      <c r="D250" s="185"/>
      <c r="E250" s="185"/>
      <c r="F250" s="185"/>
      <c r="G250" s="185"/>
      <c r="H250" s="185"/>
      <c r="I250" s="185"/>
      <c r="J250" s="185" t="e">
        <f t="shared" si="23"/>
        <v>#DIV/0!</v>
      </c>
      <c r="K250" s="185"/>
      <c r="L250" s="185"/>
      <c r="M250" s="185" t="e">
        <f t="shared" si="24"/>
        <v>#DIV/0!</v>
      </c>
      <c r="N250" s="197"/>
    </row>
    <row r="251" spans="1:14" ht="15.75" hidden="1" thickBot="1" x14ac:dyDescent="0.3">
      <c r="A251" s="198" t="s">
        <v>323</v>
      </c>
      <c r="B251" s="199"/>
      <c r="C251" s="199"/>
      <c r="D251" s="199"/>
      <c r="E251" s="199"/>
      <c r="F251" s="199"/>
      <c r="G251" s="199"/>
      <c r="H251" s="199"/>
      <c r="I251" s="199"/>
      <c r="J251" s="199" t="e">
        <f t="shared" si="23"/>
        <v>#DIV/0!</v>
      </c>
      <c r="K251" s="199"/>
      <c r="L251" s="199"/>
      <c r="M251" s="199" t="e">
        <f t="shared" si="24"/>
        <v>#DIV/0!</v>
      </c>
      <c r="N251" s="205"/>
    </row>
    <row r="253" spans="1:14" ht="20.25" hidden="1" x14ac:dyDescent="0.25">
      <c r="A253" s="981" t="s">
        <v>358</v>
      </c>
      <c r="B253" s="981"/>
      <c r="C253" s="981"/>
      <c r="D253" s="981"/>
      <c r="E253" s="981"/>
      <c r="F253" s="981"/>
      <c r="G253" s="981"/>
      <c r="H253" s="981"/>
      <c r="I253" s="981"/>
      <c r="J253" s="981"/>
      <c r="K253" s="981"/>
      <c r="L253" s="981"/>
      <c r="M253" s="981"/>
      <c r="N253" s="981"/>
    </row>
    <row r="254" spans="1:14" ht="38.25" hidden="1" x14ac:dyDescent="0.25">
      <c r="A254" s="191" t="s">
        <v>29</v>
      </c>
      <c r="B254" s="192" t="s">
        <v>328</v>
      </c>
      <c r="C254" s="192" t="s">
        <v>329</v>
      </c>
      <c r="D254" s="192" t="s">
        <v>330</v>
      </c>
      <c r="E254" s="192" t="s">
        <v>331</v>
      </c>
      <c r="F254" s="192" t="s">
        <v>359</v>
      </c>
      <c r="G254" s="192" t="s">
        <v>333</v>
      </c>
      <c r="H254" s="192" t="s">
        <v>360</v>
      </c>
      <c r="I254" s="192" t="s">
        <v>361</v>
      </c>
      <c r="J254" s="200" t="s">
        <v>362</v>
      </c>
      <c r="K254" s="192" t="s">
        <v>337</v>
      </c>
      <c r="L254" s="192" t="s">
        <v>338</v>
      </c>
      <c r="M254" s="192" t="s">
        <v>339</v>
      </c>
      <c r="N254" s="193" t="s">
        <v>340</v>
      </c>
    </row>
    <row r="255" spans="1:14" hidden="1" x14ac:dyDescent="0.25">
      <c r="A255" s="196" t="s">
        <v>311</v>
      </c>
      <c r="B255" s="185"/>
      <c r="C255" s="185"/>
      <c r="D255" s="185"/>
      <c r="E255" s="185"/>
      <c r="F255" s="185"/>
      <c r="G255" s="185"/>
      <c r="H255" s="185"/>
      <c r="I255" s="185"/>
      <c r="J255" s="185" t="e">
        <f t="shared" ref="J255:J266" si="25">I255/H255</f>
        <v>#DIV/0!</v>
      </c>
      <c r="K255" s="185"/>
      <c r="L255" s="185"/>
      <c r="M255" s="185" t="e">
        <f t="shared" ref="M255:M266" si="26">L255/K255</f>
        <v>#DIV/0!</v>
      </c>
      <c r="N255" s="197"/>
    </row>
    <row r="256" spans="1:14" hidden="1" x14ac:dyDescent="0.25">
      <c r="A256" s="196" t="s">
        <v>313</v>
      </c>
      <c r="B256" s="185"/>
      <c r="C256" s="185"/>
      <c r="D256" s="185"/>
      <c r="E256" s="185"/>
      <c r="F256" s="185"/>
      <c r="G256" s="185"/>
      <c r="H256" s="185"/>
      <c r="I256" s="185"/>
      <c r="J256" s="185" t="e">
        <f t="shared" si="25"/>
        <v>#DIV/0!</v>
      </c>
      <c r="K256" s="185"/>
      <c r="L256" s="185"/>
      <c r="M256" s="185" t="e">
        <f t="shared" si="26"/>
        <v>#DIV/0!</v>
      </c>
      <c r="N256" s="197"/>
    </row>
    <row r="257" spans="1:15" hidden="1" x14ac:dyDescent="0.25">
      <c r="A257" s="196" t="s">
        <v>314</v>
      </c>
      <c r="B257" s="185"/>
      <c r="C257" s="185"/>
      <c r="D257" s="185"/>
      <c r="E257" s="185"/>
      <c r="F257" s="185"/>
      <c r="G257" s="185"/>
      <c r="H257" s="185"/>
      <c r="I257" s="185"/>
      <c r="J257" s="185" t="e">
        <f t="shared" si="25"/>
        <v>#DIV/0!</v>
      </c>
      <c r="K257" s="185"/>
      <c r="L257" s="185"/>
      <c r="M257" s="185" t="e">
        <f t="shared" si="26"/>
        <v>#DIV/0!</v>
      </c>
      <c r="N257" s="197"/>
    </row>
    <row r="258" spans="1:15" hidden="1" x14ac:dyDescent="0.25">
      <c r="A258" s="196" t="s">
        <v>315</v>
      </c>
      <c r="B258" s="185"/>
      <c r="C258" s="185"/>
      <c r="D258" s="185"/>
      <c r="E258" s="185"/>
      <c r="F258" s="185"/>
      <c r="G258" s="185"/>
      <c r="H258" s="185"/>
      <c r="I258" s="185"/>
      <c r="J258" s="185" t="e">
        <f t="shared" si="25"/>
        <v>#DIV/0!</v>
      </c>
      <c r="K258" s="185"/>
      <c r="L258" s="185"/>
      <c r="M258" s="185" t="e">
        <f t="shared" si="26"/>
        <v>#DIV/0!</v>
      </c>
      <c r="N258" s="197"/>
    </row>
    <row r="259" spans="1:15" hidden="1" x14ac:dyDescent="0.25">
      <c r="A259" s="196" t="s">
        <v>316</v>
      </c>
      <c r="B259" s="185"/>
      <c r="C259" s="185"/>
      <c r="D259" s="185"/>
      <c r="E259" s="185"/>
      <c r="F259" s="185"/>
      <c r="G259" s="185"/>
      <c r="H259" s="185"/>
      <c r="I259" s="185"/>
      <c r="J259" s="185" t="e">
        <f t="shared" si="25"/>
        <v>#DIV/0!</v>
      </c>
      <c r="K259" s="185"/>
      <c r="L259" s="185"/>
      <c r="M259" s="185" t="e">
        <f t="shared" si="26"/>
        <v>#DIV/0!</v>
      </c>
      <c r="N259" s="197"/>
    </row>
    <row r="260" spans="1:15" hidden="1" x14ac:dyDescent="0.25">
      <c r="A260" s="196" t="s">
        <v>317</v>
      </c>
      <c r="B260" s="185"/>
      <c r="C260" s="185"/>
      <c r="D260" s="185"/>
      <c r="E260" s="185"/>
      <c r="F260" s="185"/>
      <c r="G260" s="185"/>
      <c r="H260" s="185"/>
      <c r="I260" s="185"/>
      <c r="J260" s="185" t="e">
        <f t="shared" si="25"/>
        <v>#DIV/0!</v>
      </c>
      <c r="K260" s="185"/>
      <c r="L260" s="185"/>
      <c r="M260" s="185" t="e">
        <f t="shared" si="26"/>
        <v>#DIV/0!</v>
      </c>
      <c r="N260" s="197"/>
    </row>
    <row r="261" spans="1:15" hidden="1" x14ac:dyDescent="0.25">
      <c r="A261" s="196" t="s">
        <v>318</v>
      </c>
      <c r="B261" s="185"/>
      <c r="C261" s="185"/>
      <c r="D261" s="185"/>
      <c r="E261" s="185"/>
      <c r="F261" s="185"/>
      <c r="G261" s="185"/>
      <c r="H261" s="185"/>
      <c r="I261" s="185"/>
      <c r="J261" s="185" t="e">
        <f t="shared" si="25"/>
        <v>#DIV/0!</v>
      </c>
      <c r="K261" s="185"/>
      <c r="L261" s="185"/>
      <c r="M261" s="185" t="e">
        <f t="shared" si="26"/>
        <v>#DIV/0!</v>
      </c>
      <c r="N261" s="197"/>
    </row>
    <row r="262" spans="1:15" hidden="1" x14ac:dyDescent="0.25">
      <c r="A262" s="196" t="s">
        <v>319</v>
      </c>
      <c r="B262" s="185"/>
      <c r="C262" s="185"/>
      <c r="D262" s="185"/>
      <c r="E262" s="185"/>
      <c r="F262" s="185"/>
      <c r="G262" s="185"/>
      <c r="H262" s="185"/>
      <c r="I262" s="185"/>
      <c r="J262" s="185" t="e">
        <f t="shared" si="25"/>
        <v>#DIV/0!</v>
      </c>
      <c r="K262" s="185"/>
      <c r="L262" s="185"/>
      <c r="M262" s="185" t="e">
        <f t="shared" si="26"/>
        <v>#DIV/0!</v>
      </c>
      <c r="N262" s="197"/>
    </row>
    <row r="263" spans="1:15" hidden="1" x14ac:dyDescent="0.25">
      <c r="A263" s="196" t="s">
        <v>320</v>
      </c>
      <c r="B263" s="185"/>
      <c r="C263" s="185"/>
      <c r="D263" s="185"/>
      <c r="E263" s="185"/>
      <c r="F263" s="185"/>
      <c r="G263" s="185"/>
      <c r="H263" s="185"/>
      <c r="I263" s="185"/>
      <c r="J263" s="185" t="e">
        <f t="shared" si="25"/>
        <v>#DIV/0!</v>
      </c>
      <c r="K263" s="185"/>
      <c r="L263" s="185"/>
      <c r="M263" s="185" t="e">
        <f t="shared" si="26"/>
        <v>#DIV/0!</v>
      </c>
      <c r="N263" s="197"/>
    </row>
    <row r="264" spans="1:15" hidden="1" x14ac:dyDescent="0.25">
      <c r="A264" s="196" t="s">
        <v>321</v>
      </c>
      <c r="B264" s="185"/>
      <c r="C264" s="185"/>
      <c r="D264" s="185"/>
      <c r="E264" s="185"/>
      <c r="F264" s="185"/>
      <c r="G264" s="185"/>
      <c r="H264" s="185"/>
      <c r="I264" s="185"/>
      <c r="J264" s="185" t="e">
        <f t="shared" si="25"/>
        <v>#DIV/0!</v>
      </c>
      <c r="K264" s="185"/>
      <c r="L264" s="185"/>
      <c r="M264" s="185" t="e">
        <f t="shared" si="26"/>
        <v>#DIV/0!</v>
      </c>
      <c r="N264" s="197"/>
    </row>
    <row r="265" spans="1:15" hidden="1" x14ac:dyDescent="0.25">
      <c r="A265" s="196" t="s">
        <v>322</v>
      </c>
      <c r="B265" s="185"/>
      <c r="C265" s="185"/>
      <c r="D265" s="185"/>
      <c r="E265" s="185"/>
      <c r="F265" s="185"/>
      <c r="G265" s="185"/>
      <c r="H265" s="185"/>
      <c r="I265" s="185"/>
      <c r="J265" s="185" t="e">
        <f t="shared" si="25"/>
        <v>#DIV/0!</v>
      </c>
      <c r="K265" s="185"/>
      <c r="L265" s="185"/>
      <c r="M265" s="185" t="e">
        <f t="shared" si="26"/>
        <v>#DIV/0!</v>
      </c>
      <c r="N265" s="197"/>
    </row>
    <row r="266" spans="1:15" ht="15.75" hidden="1" thickBot="1" x14ac:dyDescent="0.3">
      <c r="A266" s="198" t="s">
        <v>323</v>
      </c>
      <c r="B266" s="199"/>
      <c r="C266" s="199"/>
      <c r="D266" s="199"/>
      <c r="E266" s="199"/>
      <c r="F266" s="199"/>
      <c r="G266" s="199"/>
      <c r="H266" s="199"/>
      <c r="I266" s="199"/>
      <c r="J266" s="199" t="e">
        <f t="shared" si="25"/>
        <v>#DIV/0!</v>
      </c>
      <c r="K266" s="199"/>
      <c r="L266" s="199"/>
      <c r="M266" s="199" t="e">
        <f t="shared" si="26"/>
        <v>#DIV/0!</v>
      </c>
      <c r="N266" s="205"/>
    </row>
    <row r="269" spans="1:15" ht="20.25" hidden="1" x14ac:dyDescent="0.3">
      <c r="A269" s="964" t="s">
        <v>458</v>
      </c>
      <c r="B269" s="964"/>
      <c r="C269" s="964"/>
      <c r="D269" s="964"/>
      <c r="E269" s="964"/>
      <c r="F269" s="964"/>
      <c r="G269" s="964"/>
    </row>
    <row r="270" spans="1:15" ht="39" hidden="1" thickBot="1" x14ac:dyDescent="0.3">
      <c r="A270" s="191" t="s">
        <v>25</v>
      </c>
      <c r="B270" s="206" t="s">
        <v>328</v>
      </c>
      <c r="C270" s="206" t="s">
        <v>329</v>
      </c>
      <c r="D270" s="206" t="s">
        <v>364</v>
      </c>
      <c r="E270" s="206" t="s">
        <v>459</v>
      </c>
      <c r="F270" s="206" t="s">
        <v>460</v>
      </c>
      <c r="G270" s="207" t="s">
        <v>367</v>
      </c>
    </row>
    <row r="271" spans="1:15" s="300" customFormat="1" ht="15.75" hidden="1" thickBot="1" x14ac:dyDescent="0.3">
      <c r="A271" s="297" t="s">
        <v>318</v>
      </c>
      <c r="B271" s="973" t="s">
        <v>430</v>
      </c>
      <c r="C271" s="979" t="s">
        <v>461</v>
      </c>
      <c r="D271" s="977" t="s">
        <v>462</v>
      </c>
      <c r="E271" s="298">
        <v>2239274028</v>
      </c>
      <c r="F271" s="298">
        <v>15250000</v>
      </c>
      <c r="G271" s="299" t="s">
        <v>463</v>
      </c>
      <c r="H271" s="189">
        <f t="shared" ref="H271:H276" si="27">LEN(G271)</f>
        <v>27</v>
      </c>
      <c r="N271" s="301"/>
      <c r="O271" s="189"/>
    </row>
    <row r="272" spans="1:15" ht="15.75" hidden="1" thickBot="1" x14ac:dyDescent="0.3">
      <c r="A272" s="248" t="s">
        <v>319</v>
      </c>
      <c r="B272" s="973"/>
      <c r="C272" s="979"/>
      <c r="D272" s="977"/>
      <c r="E272" s="302">
        <v>2239274028</v>
      </c>
      <c r="F272" s="302">
        <v>186734000</v>
      </c>
      <c r="G272" s="197"/>
      <c r="H272" s="189">
        <f t="shared" si="27"/>
        <v>0</v>
      </c>
    </row>
    <row r="273" spans="1:15" ht="15.75" hidden="1" thickBot="1" x14ac:dyDescent="0.3">
      <c r="A273" s="248" t="s">
        <v>320</v>
      </c>
      <c r="B273" s="973"/>
      <c r="C273" s="979"/>
      <c r="D273" s="977"/>
      <c r="E273" s="302">
        <v>2239274028</v>
      </c>
      <c r="F273" s="302">
        <v>208535000</v>
      </c>
      <c r="G273" s="197"/>
      <c r="H273" s="189">
        <f t="shared" si="27"/>
        <v>0</v>
      </c>
    </row>
    <row r="274" spans="1:15" s="304" customFormat="1" ht="15.75" hidden="1" thickBot="1" x14ac:dyDescent="0.3">
      <c r="A274" s="214" t="s">
        <v>321</v>
      </c>
      <c r="B274" s="973"/>
      <c r="C274" s="979"/>
      <c r="D274" s="977"/>
      <c r="E274" s="303">
        <v>2239274028</v>
      </c>
      <c r="F274" s="303">
        <f>+[3]INVERSIÓN!P11</f>
        <v>208535000</v>
      </c>
      <c r="G274" s="251" t="s">
        <v>464</v>
      </c>
      <c r="H274" s="98">
        <f t="shared" si="27"/>
        <v>69</v>
      </c>
      <c r="O274" s="98"/>
    </row>
    <row r="275" spans="1:15" s="304" customFormat="1" ht="15.75" hidden="1" thickBot="1" x14ac:dyDescent="0.3">
      <c r="A275" s="213" t="s">
        <v>322</v>
      </c>
      <c r="B275" s="973"/>
      <c r="C275" s="979"/>
      <c r="D275" s="977"/>
      <c r="E275" s="303">
        <f>+[3]INVERSIÓN!H11</f>
        <v>2239274028</v>
      </c>
      <c r="F275" s="303">
        <f>+[3]INVERSIÓN!R11</f>
        <v>261972893</v>
      </c>
      <c r="G275" s="251" t="s">
        <v>465</v>
      </c>
      <c r="H275" s="98">
        <f t="shared" si="27"/>
        <v>107</v>
      </c>
      <c r="O275" s="98"/>
    </row>
    <row r="276" spans="1:15" ht="15.75" hidden="1" thickBot="1" x14ac:dyDescent="0.3">
      <c r="A276" s="257" t="s">
        <v>323</v>
      </c>
      <c r="B276" s="973"/>
      <c r="C276" s="979"/>
      <c r="D276" s="977"/>
      <c r="E276" s="305">
        <f>+[3]INVERSIÓN!S15</f>
        <v>1985716202</v>
      </c>
      <c r="F276" s="305">
        <f>+[3]INVERSIÓN!EB15</f>
        <v>835562923</v>
      </c>
      <c r="G276" s="306" t="s">
        <v>466</v>
      </c>
      <c r="H276" s="189">
        <f t="shared" si="27"/>
        <v>222</v>
      </c>
    </row>
    <row r="277" spans="1:15" hidden="1" x14ac:dyDescent="0.25">
      <c r="A277" s="263"/>
      <c r="B277" s="263"/>
      <c r="C277" s="263"/>
      <c r="D277" s="263"/>
      <c r="E277" s="263"/>
      <c r="F277" s="263"/>
      <c r="G277" s="263"/>
    </row>
    <row r="278" spans="1:15" hidden="1" x14ac:dyDescent="0.25">
      <c r="A278" s="263"/>
      <c r="B278" s="263"/>
      <c r="C278" s="263"/>
      <c r="D278" s="263"/>
      <c r="E278" s="263"/>
      <c r="F278" s="263"/>
      <c r="G278" s="263"/>
    </row>
    <row r="279" spans="1:15" ht="39" hidden="1" thickBot="1" x14ac:dyDescent="0.3">
      <c r="A279" s="191" t="s">
        <v>25</v>
      </c>
      <c r="B279" s="206" t="s">
        <v>328</v>
      </c>
      <c r="C279" s="206" t="s">
        <v>329</v>
      </c>
      <c r="D279" s="206" t="s">
        <v>364</v>
      </c>
      <c r="E279" s="216" t="s">
        <v>459</v>
      </c>
      <c r="F279" s="216" t="s">
        <v>460</v>
      </c>
      <c r="G279" s="217" t="s">
        <v>367</v>
      </c>
    </row>
    <row r="280" spans="1:15" s="300" customFormat="1" ht="15.75" hidden="1" thickBot="1" x14ac:dyDescent="0.3">
      <c r="A280" s="297" t="s">
        <v>318</v>
      </c>
      <c r="B280" s="973" t="s">
        <v>436</v>
      </c>
      <c r="C280" s="973" t="s">
        <v>437</v>
      </c>
      <c r="D280" s="980" t="s">
        <v>467</v>
      </c>
      <c r="E280" s="307">
        <v>632180000</v>
      </c>
      <c r="F280" s="308">
        <v>0</v>
      </c>
      <c r="G280" s="309" t="s">
        <v>468</v>
      </c>
      <c r="H280" s="189">
        <f t="shared" ref="H280:H285" si="28">LEN(G280)</f>
        <v>30</v>
      </c>
      <c r="O280" s="189"/>
    </row>
    <row r="281" spans="1:15" s="300" customFormat="1" ht="15.75" hidden="1" thickBot="1" x14ac:dyDescent="0.3">
      <c r="A281" s="310" t="s">
        <v>319</v>
      </c>
      <c r="B281" s="973"/>
      <c r="C281" s="973"/>
      <c r="D281" s="980"/>
      <c r="E281" s="307">
        <v>632180000</v>
      </c>
      <c r="F281" s="308">
        <v>183792000</v>
      </c>
      <c r="G281" s="309"/>
      <c r="H281" s="189">
        <f t="shared" si="28"/>
        <v>0</v>
      </c>
      <c r="O281" s="189"/>
    </row>
    <row r="282" spans="1:15" s="300" customFormat="1" ht="15.75" hidden="1" thickBot="1" x14ac:dyDescent="0.3">
      <c r="A282" s="310" t="s">
        <v>320</v>
      </c>
      <c r="B282" s="973"/>
      <c r="C282" s="973"/>
      <c r="D282" s="980"/>
      <c r="E282" s="307">
        <v>632180000</v>
      </c>
      <c r="F282" s="308">
        <v>190062000</v>
      </c>
      <c r="G282" s="309"/>
      <c r="H282" s="189">
        <f t="shared" si="28"/>
        <v>0</v>
      </c>
      <c r="O282" s="189"/>
    </row>
    <row r="283" spans="1:15" s="304" customFormat="1" ht="15.75" hidden="1" thickBot="1" x14ac:dyDescent="0.3">
      <c r="A283" s="214" t="s">
        <v>321</v>
      </c>
      <c r="B283" s="973"/>
      <c r="C283" s="973"/>
      <c r="D283" s="980"/>
      <c r="E283" s="311">
        <v>632180000</v>
      </c>
      <c r="F283" s="303">
        <f>+[3]INVERSIÓN!DZ17</f>
        <v>190062000</v>
      </c>
      <c r="G283" s="201" t="s">
        <v>469</v>
      </c>
      <c r="H283" s="98">
        <f t="shared" si="28"/>
        <v>48</v>
      </c>
      <c r="O283" s="98"/>
    </row>
    <row r="284" spans="1:15" s="304" customFormat="1" ht="15.75" hidden="1" thickBot="1" x14ac:dyDescent="0.3">
      <c r="A284" s="214" t="s">
        <v>322</v>
      </c>
      <c r="B284" s="973"/>
      <c r="C284" s="973"/>
      <c r="D284" s="980"/>
      <c r="E284" s="311">
        <f>+[3]INVERSIÓN!H17</f>
        <v>632180000</v>
      </c>
      <c r="F284" s="303">
        <f>+[3]INVERSIÓN!R17</f>
        <v>208073593</v>
      </c>
      <c r="G284" s="201" t="s">
        <v>470</v>
      </c>
      <c r="H284" s="98">
        <f t="shared" si="28"/>
        <v>87</v>
      </c>
      <c r="N284" s="312"/>
      <c r="O284" s="98"/>
    </row>
    <row r="285" spans="1:15" ht="15.75" hidden="1" thickBot="1" x14ac:dyDescent="0.3">
      <c r="A285" s="257" t="s">
        <v>323</v>
      </c>
      <c r="B285" s="973"/>
      <c r="C285" s="973"/>
      <c r="D285" s="980"/>
      <c r="E285" s="305">
        <f>+[3]INVERSIÓN!S17</f>
        <v>588967593</v>
      </c>
      <c r="F285" s="305">
        <f>+[3]INVERSIÓN!T17</f>
        <v>543446593</v>
      </c>
      <c r="G285" s="313" t="s">
        <v>471</v>
      </c>
      <c r="H285" s="189">
        <f t="shared" si="28"/>
        <v>139</v>
      </c>
      <c r="N285" s="314"/>
    </row>
    <row r="286" spans="1:15" hidden="1" x14ac:dyDescent="0.25">
      <c r="A286" s="263"/>
      <c r="B286" s="263"/>
      <c r="C286" s="263"/>
      <c r="D286" s="263"/>
      <c r="E286" s="263"/>
      <c r="F286" s="263"/>
      <c r="G286" s="263"/>
    </row>
    <row r="287" spans="1:15" hidden="1" x14ac:dyDescent="0.25">
      <c r="A287" s="263"/>
      <c r="B287" s="263"/>
      <c r="C287" s="263"/>
      <c r="D287" s="263"/>
      <c r="E287" s="263"/>
      <c r="F287" s="263"/>
      <c r="G287" s="263"/>
    </row>
    <row r="288" spans="1:15" ht="39" hidden="1" thickBot="1" x14ac:dyDescent="0.3">
      <c r="A288" s="191" t="s">
        <v>25</v>
      </c>
      <c r="B288" s="206" t="s">
        <v>328</v>
      </c>
      <c r="C288" s="206" t="s">
        <v>329</v>
      </c>
      <c r="D288" s="206" t="s">
        <v>364</v>
      </c>
      <c r="E288" s="216" t="s">
        <v>459</v>
      </c>
      <c r="F288" s="216" t="s">
        <v>460</v>
      </c>
      <c r="G288" s="217" t="s">
        <v>367</v>
      </c>
    </row>
    <row r="289" spans="1:15" s="300" customFormat="1" ht="15.75" hidden="1" thickBot="1" x14ac:dyDescent="0.3">
      <c r="A289" s="297" t="s">
        <v>318</v>
      </c>
      <c r="B289" s="973" t="s">
        <v>436</v>
      </c>
      <c r="C289" s="973" t="s">
        <v>437</v>
      </c>
      <c r="D289" s="977" t="s">
        <v>472</v>
      </c>
      <c r="E289" s="307">
        <v>846820000</v>
      </c>
      <c r="F289" s="308">
        <v>0</v>
      </c>
      <c r="G289" s="309" t="s">
        <v>468</v>
      </c>
      <c r="H289" s="189">
        <f t="shared" ref="H289:H294" si="29">LEN(G289)</f>
        <v>30</v>
      </c>
      <c r="O289" s="189"/>
    </row>
    <row r="290" spans="1:15" ht="15.75" hidden="1" thickBot="1" x14ac:dyDescent="0.3">
      <c r="A290" s="248" t="s">
        <v>319</v>
      </c>
      <c r="B290" s="973"/>
      <c r="C290" s="973"/>
      <c r="D290" s="977"/>
      <c r="E290" s="315">
        <v>846820000</v>
      </c>
      <c r="F290" s="302">
        <v>298980000</v>
      </c>
      <c r="G290" s="185"/>
      <c r="H290" s="189">
        <f t="shared" si="29"/>
        <v>0</v>
      </c>
    </row>
    <row r="291" spans="1:15" ht="15.75" hidden="1" thickBot="1" x14ac:dyDescent="0.3">
      <c r="A291" s="248" t="s">
        <v>320</v>
      </c>
      <c r="B291" s="973"/>
      <c r="C291" s="973"/>
      <c r="D291" s="977"/>
      <c r="E291" s="315">
        <v>846820000</v>
      </c>
      <c r="F291" s="302">
        <v>316529347</v>
      </c>
      <c r="G291" s="185"/>
      <c r="H291" s="189">
        <f t="shared" si="29"/>
        <v>0</v>
      </c>
    </row>
    <row r="292" spans="1:15" s="1" customFormat="1" ht="15.75" hidden="1" thickBot="1" x14ac:dyDescent="0.3">
      <c r="A292" s="214" t="s">
        <v>321</v>
      </c>
      <c r="B292" s="973"/>
      <c r="C292" s="973"/>
      <c r="D292" s="977"/>
      <c r="E292" s="311">
        <v>846820000</v>
      </c>
      <c r="F292" s="303">
        <f>+[3]INVERSIÓN!DZ27</f>
        <v>323308102</v>
      </c>
      <c r="G292" s="201" t="s">
        <v>473</v>
      </c>
      <c r="H292" s="98">
        <f t="shared" si="29"/>
        <v>72</v>
      </c>
      <c r="O292" s="98"/>
    </row>
    <row r="293" spans="1:15" s="1" customFormat="1" ht="15.75" hidden="1" thickBot="1" x14ac:dyDescent="0.3">
      <c r="A293" s="213" t="s">
        <v>322</v>
      </c>
      <c r="B293" s="973"/>
      <c r="C293" s="973"/>
      <c r="D293" s="977"/>
      <c r="E293" s="311">
        <f>+[3]INVERSIÓN!H23</f>
        <v>846820000</v>
      </c>
      <c r="F293" s="303">
        <f>+[3]INVERSIÓN!R23</f>
        <v>328756825</v>
      </c>
      <c r="G293" s="201" t="s">
        <v>474</v>
      </c>
      <c r="H293" s="98">
        <f t="shared" si="29"/>
        <v>111</v>
      </c>
      <c r="O293" s="98"/>
    </row>
    <row r="294" spans="1:15" ht="15.75" hidden="1" thickBot="1" x14ac:dyDescent="0.3">
      <c r="A294" s="257" t="s">
        <v>323</v>
      </c>
      <c r="B294" s="973"/>
      <c r="C294" s="973"/>
      <c r="D294" s="977"/>
      <c r="E294" s="316">
        <f>+[3]INVERSIÓN!S23</f>
        <v>817958593</v>
      </c>
      <c r="F294" s="316">
        <f>+[3]INVERSIÓN!T23</f>
        <v>755491393</v>
      </c>
      <c r="G294" s="313" t="s">
        <v>475</v>
      </c>
      <c r="H294" s="189">
        <f t="shared" si="29"/>
        <v>223</v>
      </c>
    </row>
    <row r="295" spans="1:15" hidden="1" x14ac:dyDescent="0.25">
      <c r="A295" s="263"/>
      <c r="B295" s="263"/>
      <c r="C295" s="263"/>
      <c r="D295" s="263"/>
      <c r="E295" s="263"/>
      <c r="F295" s="263"/>
      <c r="G295" s="263"/>
    </row>
    <row r="296" spans="1:15" hidden="1" x14ac:dyDescent="0.25">
      <c r="A296" s="263"/>
      <c r="B296" s="263"/>
      <c r="C296" s="263"/>
      <c r="D296" s="263"/>
      <c r="E296" s="263"/>
      <c r="F296" s="263"/>
      <c r="G296" s="263"/>
    </row>
    <row r="297" spans="1:15" ht="39" hidden="1" thickBot="1" x14ac:dyDescent="0.3">
      <c r="A297" s="191" t="s">
        <v>25</v>
      </c>
      <c r="B297" s="206" t="s">
        <v>328</v>
      </c>
      <c r="C297" s="206" t="s">
        <v>329</v>
      </c>
      <c r="D297" s="206" t="s">
        <v>364</v>
      </c>
      <c r="E297" s="216" t="s">
        <v>459</v>
      </c>
      <c r="F297" s="216" t="s">
        <v>460</v>
      </c>
      <c r="G297" s="217" t="s">
        <v>367</v>
      </c>
    </row>
    <row r="298" spans="1:15" s="300" customFormat="1" ht="15.75" hidden="1" thickBot="1" x14ac:dyDescent="0.3">
      <c r="A298" s="297" t="s">
        <v>318</v>
      </c>
      <c r="B298" s="973" t="s">
        <v>447</v>
      </c>
      <c r="C298" s="973" t="s">
        <v>448</v>
      </c>
      <c r="D298" s="977" t="s">
        <v>476</v>
      </c>
      <c r="E298" s="307">
        <v>201000000</v>
      </c>
      <c r="F298" s="308">
        <v>0</v>
      </c>
      <c r="G298" s="309" t="s">
        <v>468</v>
      </c>
      <c r="H298" s="189">
        <f t="shared" ref="H298:H303" si="30">LEN(G298)</f>
        <v>30</v>
      </c>
      <c r="O298" s="189"/>
    </row>
    <row r="299" spans="1:15" ht="15.75" hidden="1" thickBot="1" x14ac:dyDescent="0.3">
      <c r="A299" s="248" t="s">
        <v>319</v>
      </c>
      <c r="B299" s="973"/>
      <c r="C299" s="973"/>
      <c r="D299" s="977"/>
      <c r="E299" s="315">
        <v>201000000</v>
      </c>
      <c r="F299" s="302">
        <v>71564000</v>
      </c>
      <c r="G299" s="185"/>
      <c r="H299" s="189">
        <f t="shared" si="30"/>
        <v>0</v>
      </c>
    </row>
    <row r="300" spans="1:15" ht="15.75" hidden="1" thickBot="1" x14ac:dyDescent="0.3">
      <c r="A300" s="248" t="s">
        <v>320</v>
      </c>
      <c r="B300" s="973"/>
      <c r="C300" s="973"/>
      <c r="D300" s="977"/>
      <c r="E300" s="315">
        <v>201000000</v>
      </c>
      <c r="F300" s="302">
        <v>71564000</v>
      </c>
      <c r="G300" s="185"/>
      <c r="H300" s="189">
        <f t="shared" si="30"/>
        <v>0</v>
      </c>
    </row>
    <row r="301" spans="1:15" s="1" customFormat="1" ht="15.75" hidden="1" thickBot="1" x14ac:dyDescent="0.3">
      <c r="A301" s="214" t="s">
        <v>321</v>
      </c>
      <c r="B301" s="973"/>
      <c r="C301" s="973"/>
      <c r="D301" s="977"/>
      <c r="E301" s="311">
        <v>201000000</v>
      </c>
      <c r="F301" s="303">
        <f>+[3]INVERSIÓN!DZ33</f>
        <v>71564000</v>
      </c>
      <c r="G301" s="201" t="s">
        <v>477</v>
      </c>
      <c r="H301" s="98">
        <f t="shared" si="30"/>
        <v>48</v>
      </c>
      <c r="O301" s="98"/>
    </row>
    <row r="302" spans="1:15" s="1" customFormat="1" ht="15.75" hidden="1" thickBot="1" x14ac:dyDescent="0.3">
      <c r="A302" s="214" t="s">
        <v>322</v>
      </c>
      <c r="B302" s="973"/>
      <c r="C302" s="973"/>
      <c r="D302" s="977"/>
      <c r="E302" s="311">
        <f>+[3]INVERSIÓN!H29</f>
        <v>201000000</v>
      </c>
      <c r="F302" s="303">
        <f>+[3]INVERSIÓN!R29</f>
        <v>76021593</v>
      </c>
      <c r="G302" s="201" t="s">
        <v>478</v>
      </c>
      <c r="H302" s="98">
        <f t="shared" si="30"/>
        <v>88</v>
      </c>
      <c r="O302" s="98"/>
    </row>
    <row r="303" spans="1:15" ht="15.75" hidden="1" thickBot="1" x14ac:dyDescent="0.3">
      <c r="A303" s="257" t="s">
        <v>323</v>
      </c>
      <c r="B303" s="973"/>
      <c r="C303" s="973"/>
      <c r="D303" s="977"/>
      <c r="E303" s="305">
        <f>+[3]INVERSIÓN!S29</f>
        <v>144912593</v>
      </c>
      <c r="F303" s="305">
        <f>+[3]INVERSIÓN!T29</f>
        <v>143476093</v>
      </c>
      <c r="G303" s="313" t="s">
        <v>479</v>
      </c>
      <c r="H303" s="189">
        <f t="shared" si="30"/>
        <v>157</v>
      </c>
    </row>
    <row r="304" spans="1:15" s="1" customFormat="1" x14ac:dyDescent="0.25">
      <c r="A304" s="272"/>
      <c r="B304" s="66"/>
      <c r="C304" s="66"/>
      <c r="D304" s="317"/>
      <c r="E304" s="318"/>
      <c r="F304" s="318"/>
      <c r="G304" s="319"/>
      <c r="H304" s="98"/>
      <c r="O304" s="98"/>
    </row>
    <row r="305" spans="1:15" s="1" customFormat="1" x14ac:dyDescent="0.25">
      <c r="A305" s="272"/>
      <c r="B305" s="66"/>
      <c r="C305" s="66"/>
      <c r="D305" s="317"/>
      <c r="E305" s="318"/>
      <c r="F305" s="318"/>
      <c r="G305" s="319"/>
      <c r="H305" s="98"/>
      <c r="O305" s="98"/>
    </row>
    <row r="306" spans="1:15" s="1" customFormat="1" ht="15.75" thickBot="1" x14ac:dyDescent="0.3">
      <c r="A306" s="272"/>
      <c r="B306" s="66"/>
      <c r="C306" s="66"/>
      <c r="D306" s="317"/>
      <c r="E306" s="318"/>
      <c r="F306" s="318"/>
      <c r="G306" s="319"/>
      <c r="H306" s="98"/>
      <c r="O306" s="98"/>
    </row>
    <row r="307" spans="1:15" ht="20.25" x14ac:dyDescent="0.3">
      <c r="A307" s="964" t="s">
        <v>363</v>
      </c>
      <c r="B307" s="964"/>
      <c r="C307" s="964"/>
      <c r="D307" s="964"/>
      <c r="E307" s="964"/>
      <c r="F307" s="964"/>
      <c r="G307" s="964"/>
    </row>
    <row r="308" spans="1:15" ht="39" thickBot="1" x14ac:dyDescent="0.3">
      <c r="A308" s="191" t="s">
        <v>26</v>
      </c>
      <c r="B308" s="206" t="s">
        <v>328</v>
      </c>
      <c r="C308" s="206" t="s">
        <v>329</v>
      </c>
      <c r="D308" s="206" t="s">
        <v>364</v>
      </c>
      <c r="E308" s="206" t="s">
        <v>365</v>
      </c>
      <c r="F308" s="206" t="s">
        <v>366</v>
      </c>
      <c r="G308" s="207" t="s">
        <v>367</v>
      </c>
    </row>
    <row r="309" spans="1:15" s="300" customFormat="1" ht="15.75" thickBot="1" x14ac:dyDescent="0.3">
      <c r="A309" s="320" t="s">
        <v>311</v>
      </c>
      <c r="B309" s="973" t="s">
        <v>430</v>
      </c>
      <c r="C309" s="979" t="s">
        <v>461</v>
      </c>
      <c r="D309" s="977" t="s">
        <v>462</v>
      </c>
      <c r="E309" s="321">
        <f>+INVERSIÓN!V11</f>
        <v>245217000</v>
      </c>
      <c r="F309" s="321">
        <v>0</v>
      </c>
      <c r="G309" s="322"/>
      <c r="H309" s="189">
        <f t="shared" ref="H309:H320" si="31">LEN(G309)</f>
        <v>0</v>
      </c>
      <c r="N309" s="301"/>
      <c r="O309" s="189"/>
    </row>
    <row r="310" spans="1:15" s="300" customFormat="1" ht="15.75" thickBot="1" x14ac:dyDescent="0.3">
      <c r="A310" s="297" t="s">
        <v>313</v>
      </c>
      <c r="B310" s="973"/>
      <c r="C310" s="979"/>
      <c r="D310" s="977"/>
      <c r="E310" s="298"/>
      <c r="F310" s="298"/>
      <c r="G310" s="299"/>
      <c r="H310" s="189">
        <f t="shared" si="31"/>
        <v>0</v>
      </c>
      <c r="N310" s="301"/>
      <c r="O310" s="189"/>
    </row>
    <row r="311" spans="1:15" s="300" customFormat="1" ht="15.75" thickBot="1" x14ac:dyDescent="0.3">
      <c r="A311" s="297" t="s">
        <v>314</v>
      </c>
      <c r="B311" s="973"/>
      <c r="C311" s="979"/>
      <c r="D311" s="977"/>
      <c r="E311" s="298"/>
      <c r="F311" s="298"/>
      <c r="G311" s="299"/>
      <c r="H311" s="189">
        <f t="shared" si="31"/>
        <v>0</v>
      </c>
      <c r="N311" s="301"/>
      <c r="O311" s="189"/>
    </row>
    <row r="312" spans="1:15" s="300" customFormat="1" ht="15.75" thickBot="1" x14ac:dyDescent="0.3">
      <c r="A312" s="297" t="s">
        <v>315</v>
      </c>
      <c r="B312" s="973"/>
      <c r="C312" s="979"/>
      <c r="D312" s="977"/>
      <c r="E312" s="298"/>
      <c r="F312" s="298"/>
      <c r="G312" s="299"/>
      <c r="H312" s="189">
        <f t="shared" si="31"/>
        <v>0</v>
      </c>
      <c r="N312" s="301"/>
      <c r="O312" s="189"/>
    </row>
    <row r="313" spans="1:15" s="300" customFormat="1" ht="15.75" thickBot="1" x14ac:dyDescent="0.3">
      <c r="A313" s="297" t="s">
        <v>316</v>
      </c>
      <c r="B313" s="973"/>
      <c r="C313" s="979"/>
      <c r="D313" s="977"/>
      <c r="E313" s="298"/>
      <c r="F313" s="298"/>
      <c r="G313" s="299"/>
      <c r="H313" s="189">
        <f t="shared" si="31"/>
        <v>0</v>
      </c>
      <c r="N313" s="301"/>
      <c r="O313" s="189"/>
    </row>
    <row r="314" spans="1:15" s="300" customFormat="1" ht="15.75" thickBot="1" x14ac:dyDescent="0.3">
      <c r="A314" s="297" t="s">
        <v>317</v>
      </c>
      <c r="B314" s="973"/>
      <c r="C314" s="979"/>
      <c r="D314" s="977"/>
      <c r="E314" s="298"/>
      <c r="F314" s="298"/>
      <c r="G314" s="299"/>
      <c r="H314" s="189">
        <f t="shared" si="31"/>
        <v>0</v>
      </c>
      <c r="N314" s="301"/>
      <c r="O314" s="189"/>
    </row>
    <row r="315" spans="1:15" s="300" customFormat="1" ht="15.75" thickBot="1" x14ac:dyDescent="0.3">
      <c r="A315" s="297" t="s">
        <v>318</v>
      </c>
      <c r="B315" s="973"/>
      <c r="C315" s="979"/>
      <c r="D315" s="977"/>
      <c r="E315" s="298"/>
      <c r="F315" s="298"/>
      <c r="G315" s="299"/>
      <c r="H315" s="189">
        <f t="shared" si="31"/>
        <v>0</v>
      </c>
      <c r="N315" s="301"/>
      <c r="O315" s="189"/>
    </row>
    <row r="316" spans="1:15" ht="15.75" thickBot="1" x14ac:dyDescent="0.3">
      <c r="A316" s="248" t="s">
        <v>319</v>
      </c>
      <c r="B316" s="973"/>
      <c r="C316" s="979"/>
      <c r="D316" s="977"/>
      <c r="E316" s="302"/>
      <c r="F316" s="302"/>
      <c r="G316" s="197"/>
      <c r="H316" s="189">
        <f t="shared" si="31"/>
        <v>0</v>
      </c>
    </row>
    <row r="317" spans="1:15" ht="15.75" thickBot="1" x14ac:dyDescent="0.3">
      <c r="A317" s="248" t="s">
        <v>320</v>
      </c>
      <c r="B317" s="973"/>
      <c r="C317" s="979"/>
      <c r="D317" s="977"/>
      <c r="E317" s="302"/>
      <c r="F317" s="302"/>
      <c r="G317" s="197"/>
      <c r="H317" s="189">
        <f t="shared" si="31"/>
        <v>0</v>
      </c>
    </row>
    <row r="318" spans="1:15" s="304" customFormat="1" ht="15.75" thickBot="1" x14ac:dyDescent="0.3">
      <c r="A318" s="214" t="s">
        <v>321</v>
      </c>
      <c r="B318" s="973"/>
      <c r="C318" s="979"/>
      <c r="D318" s="977"/>
      <c r="E318" s="303"/>
      <c r="F318" s="303"/>
      <c r="G318" s="251"/>
      <c r="H318" s="189">
        <f t="shared" si="31"/>
        <v>0</v>
      </c>
      <c r="O318" s="98"/>
    </row>
    <row r="319" spans="1:15" s="304" customFormat="1" ht="15.75" thickBot="1" x14ac:dyDescent="0.3">
      <c r="A319" s="213" t="s">
        <v>322</v>
      </c>
      <c r="B319" s="973"/>
      <c r="C319" s="979"/>
      <c r="D319" s="977"/>
      <c r="E319" s="303"/>
      <c r="F319" s="303"/>
      <c r="G319" s="251"/>
      <c r="H319" s="189">
        <f t="shared" si="31"/>
        <v>0</v>
      </c>
      <c r="O319" s="98"/>
    </row>
    <row r="320" spans="1:15" s="1" customFormat="1" ht="15.75" thickBot="1" x14ac:dyDescent="0.3">
      <c r="A320" s="281" t="s">
        <v>323</v>
      </c>
      <c r="B320" s="973"/>
      <c r="C320" s="979"/>
      <c r="D320" s="977"/>
      <c r="E320" s="323"/>
      <c r="F320" s="323"/>
      <c r="G320" s="324"/>
      <c r="H320" s="189">
        <f t="shared" si="31"/>
        <v>0</v>
      </c>
      <c r="O320" s="98"/>
    </row>
    <row r="321" spans="1:15" x14ac:dyDescent="0.25">
      <c r="A321" s="263"/>
      <c r="B321" s="263"/>
      <c r="C321" s="263"/>
      <c r="D321" s="263"/>
      <c r="E321" s="263"/>
      <c r="F321" s="263"/>
      <c r="G321" s="263"/>
    </row>
    <row r="322" spans="1:15" ht="15.75" thickBot="1" x14ac:dyDescent="0.3">
      <c r="A322" s="263"/>
      <c r="B322" s="263"/>
      <c r="C322" s="263"/>
      <c r="D322" s="263"/>
      <c r="E322" s="263"/>
      <c r="F322" s="263"/>
      <c r="G322" s="263"/>
    </row>
    <row r="323" spans="1:15" ht="39" thickBot="1" x14ac:dyDescent="0.3">
      <c r="A323" s="191" t="s">
        <v>26</v>
      </c>
      <c r="B323" s="325" t="s">
        <v>328</v>
      </c>
      <c r="C323" s="325" t="s">
        <v>329</v>
      </c>
      <c r="D323" s="325" t="s">
        <v>364</v>
      </c>
      <c r="E323" s="206" t="s">
        <v>365</v>
      </c>
      <c r="F323" s="206" t="s">
        <v>366</v>
      </c>
      <c r="G323" s="326" t="s">
        <v>367</v>
      </c>
    </row>
    <row r="324" spans="1:15" s="300" customFormat="1" ht="15.75" thickBot="1" x14ac:dyDescent="0.3">
      <c r="A324" s="320" t="s">
        <v>311</v>
      </c>
      <c r="B324" s="973" t="s">
        <v>436</v>
      </c>
      <c r="C324" s="973" t="s">
        <v>437</v>
      </c>
      <c r="D324" s="977" t="s">
        <v>467</v>
      </c>
      <c r="E324" s="327">
        <f>+INVERSIÓN!V32</f>
        <v>1082100630</v>
      </c>
      <c r="F324" s="328">
        <v>0</v>
      </c>
      <c r="G324" s="329"/>
      <c r="H324" s="189">
        <f t="shared" ref="H324:H335" si="32">LEN(G324)</f>
        <v>0</v>
      </c>
      <c r="O324" s="189"/>
    </row>
    <row r="325" spans="1:15" s="300" customFormat="1" ht="15.75" thickBot="1" x14ac:dyDescent="0.3">
      <c r="A325" s="297" t="s">
        <v>313</v>
      </c>
      <c r="B325" s="973"/>
      <c r="C325" s="973"/>
      <c r="D325" s="977"/>
      <c r="E325" s="307"/>
      <c r="F325" s="308"/>
      <c r="G325" s="330"/>
      <c r="H325" s="189">
        <f t="shared" si="32"/>
        <v>0</v>
      </c>
      <c r="O325" s="189"/>
    </row>
    <row r="326" spans="1:15" s="300" customFormat="1" ht="15.75" thickBot="1" x14ac:dyDescent="0.3">
      <c r="A326" s="297" t="s">
        <v>314</v>
      </c>
      <c r="B326" s="973"/>
      <c r="C326" s="973"/>
      <c r="D326" s="977"/>
      <c r="E326" s="307"/>
      <c r="F326" s="308"/>
      <c r="G326" s="330"/>
      <c r="H326" s="189">
        <f t="shared" si="32"/>
        <v>0</v>
      </c>
      <c r="O326" s="189"/>
    </row>
    <row r="327" spans="1:15" s="300" customFormat="1" ht="15.75" thickBot="1" x14ac:dyDescent="0.3">
      <c r="A327" s="297" t="s">
        <v>315</v>
      </c>
      <c r="B327" s="973"/>
      <c r="C327" s="973"/>
      <c r="D327" s="977"/>
      <c r="E327" s="307"/>
      <c r="F327" s="308"/>
      <c r="G327" s="330"/>
      <c r="H327" s="189">
        <f t="shared" si="32"/>
        <v>0</v>
      </c>
      <c r="O327" s="189"/>
    </row>
    <row r="328" spans="1:15" s="300" customFormat="1" ht="15.75" thickBot="1" x14ac:dyDescent="0.3">
      <c r="A328" s="297" t="s">
        <v>316</v>
      </c>
      <c r="B328" s="973"/>
      <c r="C328" s="973"/>
      <c r="D328" s="977"/>
      <c r="E328" s="307"/>
      <c r="F328" s="308"/>
      <c r="G328" s="330"/>
      <c r="H328" s="189">
        <f t="shared" si="32"/>
        <v>0</v>
      </c>
      <c r="O328" s="189"/>
    </row>
    <row r="329" spans="1:15" s="300" customFormat="1" ht="15.75" thickBot="1" x14ac:dyDescent="0.3">
      <c r="A329" s="297" t="s">
        <v>317</v>
      </c>
      <c r="B329" s="973"/>
      <c r="C329" s="973"/>
      <c r="D329" s="977"/>
      <c r="E329" s="307"/>
      <c r="F329" s="308"/>
      <c r="G329" s="330"/>
      <c r="H329" s="189">
        <f t="shared" si="32"/>
        <v>0</v>
      </c>
      <c r="O329" s="189"/>
    </row>
    <row r="330" spans="1:15" s="300" customFormat="1" ht="15.75" thickBot="1" x14ac:dyDescent="0.3">
      <c r="A330" s="297" t="s">
        <v>318</v>
      </c>
      <c r="B330" s="973"/>
      <c r="C330" s="973"/>
      <c r="D330" s="977"/>
      <c r="E330" s="307"/>
      <c r="F330" s="308"/>
      <c r="G330" s="330"/>
      <c r="H330" s="189">
        <f t="shared" si="32"/>
        <v>0</v>
      </c>
      <c r="O330" s="189"/>
    </row>
    <row r="331" spans="1:15" s="300" customFormat="1" ht="15.75" thickBot="1" x14ac:dyDescent="0.3">
      <c r="A331" s="248" t="s">
        <v>319</v>
      </c>
      <c r="B331" s="973"/>
      <c r="C331" s="973"/>
      <c r="D331" s="977"/>
      <c r="E331" s="307"/>
      <c r="F331" s="308"/>
      <c r="G331" s="330"/>
      <c r="H331" s="189">
        <f t="shared" si="32"/>
        <v>0</v>
      </c>
      <c r="O331" s="189"/>
    </row>
    <row r="332" spans="1:15" s="300" customFormat="1" ht="15.75" thickBot="1" x14ac:dyDescent="0.3">
      <c r="A332" s="248" t="s">
        <v>320</v>
      </c>
      <c r="B332" s="973"/>
      <c r="C332" s="973"/>
      <c r="D332" s="977"/>
      <c r="E332" s="307"/>
      <c r="F332" s="308"/>
      <c r="G332" s="330"/>
      <c r="H332" s="189">
        <f t="shared" si="32"/>
        <v>0</v>
      </c>
      <c r="O332" s="189"/>
    </row>
    <row r="333" spans="1:15" s="300" customFormat="1" ht="15.75" thickBot="1" x14ac:dyDescent="0.3">
      <c r="A333" s="214" t="s">
        <v>321</v>
      </c>
      <c r="B333" s="973"/>
      <c r="C333" s="973"/>
      <c r="D333" s="977"/>
      <c r="E333" s="307"/>
      <c r="F333" s="308"/>
      <c r="G333" s="330"/>
      <c r="H333" s="189">
        <f t="shared" si="32"/>
        <v>0</v>
      </c>
      <c r="O333" s="189"/>
    </row>
    <row r="334" spans="1:15" s="304" customFormat="1" ht="15.75" thickBot="1" x14ac:dyDescent="0.3">
      <c r="A334" s="213" t="s">
        <v>322</v>
      </c>
      <c r="B334" s="973"/>
      <c r="C334" s="973"/>
      <c r="D334" s="977"/>
      <c r="E334" s="311"/>
      <c r="F334" s="303"/>
      <c r="G334" s="251"/>
      <c r="H334" s="189">
        <f t="shared" si="32"/>
        <v>0</v>
      </c>
      <c r="O334" s="98"/>
    </row>
    <row r="335" spans="1:15" s="1" customFormat="1" ht="15.75" thickBot="1" x14ac:dyDescent="0.3">
      <c r="A335" s="281" t="s">
        <v>323</v>
      </c>
      <c r="B335" s="973"/>
      <c r="C335" s="973"/>
      <c r="D335" s="977"/>
      <c r="E335" s="323"/>
      <c r="F335" s="323"/>
      <c r="G335" s="331"/>
      <c r="H335" s="189">
        <f t="shared" si="32"/>
        <v>0</v>
      </c>
      <c r="N335" s="318"/>
      <c r="O335" s="98"/>
    </row>
    <row r="336" spans="1:15" x14ac:dyDescent="0.25">
      <c r="A336" s="263"/>
      <c r="B336" s="263"/>
      <c r="C336" s="263"/>
      <c r="D336" s="263"/>
      <c r="E336" s="263"/>
      <c r="F336" s="263"/>
      <c r="G336" s="263"/>
    </row>
    <row r="337" spans="1:15" ht="15.75" thickBot="1" x14ac:dyDescent="0.3">
      <c r="A337" s="263"/>
      <c r="B337" s="263"/>
      <c r="C337" s="263"/>
      <c r="D337" s="263"/>
      <c r="E337" s="263"/>
      <c r="F337" s="263"/>
      <c r="G337" s="263"/>
    </row>
    <row r="338" spans="1:15" ht="39" thickBot="1" x14ac:dyDescent="0.3">
      <c r="A338" s="191" t="s">
        <v>26</v>
      </c>
      <c r="B338" s="325" t="s">
        <v>328</v>
      </c>
      <c r="C338" s="325" t="s">
        <v>329</v>
      </c>
      <c r="D338" s="325" t="s">
        <v>364</v>
      </c>
      <c r="E338" s="206" t="s">
        <v>365</v>
      </c>
      <c r="F338" s="206" t="s">
        <v>366</v>
      </c>
      <c r="G338" s="326" t="s">
        <v>367</v>
      </c>
    </row>
    <row r="339" spans="1:15" s="300" customFormat="1" ht="15.75" thickBot="1" x14ac:dyDescent="0.3">
      <c r="A339" s="320" t="s">
        <v>311</v>
      </c>
      <c r="B339" s="973" t="s">
        <v>436</v>
      </c>
      <c r="C339" s="973" t="s">
        <v>437</v>
      </c>
      <c r="D339" s="977" t="s">
        <v>472</v>
      </c>
      <c r="E339" s="327">
        <f>+INVERSIÓN!U39</f>
        <v>39051000</v>
      </c>
      <c r="F339" s="328">
        <v>0</v>
      </c>
      <c r="G339" s="329"/>
      <c r="H339" s="189">
        <f t="shared" ref="H339:H350" si="33">LEN(G339)</f>
        <v>0</v>
      </c>
      <c r="O339" s="189"/>
    </row>
    <row r="340" spans="1:15" s="300" customFormat="1" ht="15.75" thickBot="1" x14ac:dyDescent="0.3">
      <c r="A340" s="297" t="s">
        <v>313</v>
      </c>
      <c r="B340" s="973"/>
      <c r="C340" s="973"/>
      <c r="D340" s="977"/>
      <c r="E340" s="307"/>
      <c r="F340" s="308"/>
      <c r="G340" s="330"/>
      <c r="H340" s="189">
        <f t="shared" si="33"/>
        <v>0</v>
      </c>
      <c r="O340" s="189"/>
    </row>
    <row r="341" spans="1:15" s="300" customFormat="1" ht="15.75" thickBot="1" x14ac:dyDescent="0.3">
      <c r="A341" s="297" t="s">
        <v>314</v>
      </c>
      <c r="B341" s="973"/>
      <c r="C341" s="973"/>
      <c r="D341" s="977"/>
      <c r="E341" s="307"/>
      <c r="F341" s="308"/>
      <c r="G341" s="330"/>
      <c r="H341" s="189">
        <f t="shared" si="33"/>
        <v>0</v>
      </c>
      <c r="O341" s="189"/>
    </row>
    <row r="342" spans="1:15" s="300" customFormat="1" ht="15.75" thickBot="1" x14ac:dyDescent="0.3">
      <c r="A342" s="297" t="s">
        <v>315</v>
      </c>
      <c r="B342" s="973"/>
      <c r="C342" s="973"/>
      <c r="D342" s="977"/>
      <c r="E342" s="307"/>
      <c r="F342" s="308"/>
      <c r="G342" s="330"/>
      <c r="H342" s="189">
        <f t="shared" si="33"/>
        <v>0</v>
      </c>
      <c r="O342" s="189"/>
    </row>
    <row r="343" spans="1:15" s="300" customFormat="1" ht="15.75" thickBot="1" x14ac:dyDescent="0.3">
      <c r="A343" s="297" t="s">
        <v>316</v>
      </c>
      <c r="B343" s="973"/>
      <c r="C343" s="973"/>
      <c r="D343" s="977"/>
      <c r="E343" s="307"/>
      <c r="F343" s="308"/>
      <c r="G343" s="330"/>
      <c r="H343" s="189">
        <f t="shared" si="33"/>
        <v>0</v>
      </c>
      <c r="O343" s="189"/>
    </row>
    <row r="344" spans="1:15" s="300" customFormat="1" ht="15.75" thickBot="1" x14ac:dyDescent="0.3">
      <c r="A344" s="297" t="s">
        <v>317</v>
      </c>
      <c r="B344" s="973"/>
      <c r="C344" s="973"/>
      <c r="D344" s="977"/>
      <c r="E344" s="307"/>
      <c r="F344" s="308"/>
      <c r="G344" s="330"/>
      <c r="H344" s="189">
        <f t="shared" si="33"/>
        <v>0</v>
      </c>
      <c r="O344" s="189"/>
    </row>
    <row r="345" spans="1:15" s="300" customFormat="1" ht="15.75" thickBot="1" x14ac:dyDescent="0.3">
      <c r="A345" s="297" t="s">
        <v>318</v>
      </c>
      <c r="B345" s="973"/>
      <c r="C345" s="973"/>
      <c r="D345" s="977"/>
      <c r="E345" s="307"/>
      <c r="F345" s="308"/>
      <c r="G345" s="330"/>
      <c r="H345" s="189">
        <f t="shared" si="33"/>
        <v>0</v>
      </c>
      <c r="O345" s="189"/>
    </row>
    <row r="346" spans="1:15" ht="15.75" thickBot="1" x14ac:dyDescent="0.3">
      <c r="A346" s="248" t="s">
        <v>319</v>
      </c>
      <c r="B346" s="973"/>
      <c r="C346" s="973"/>
      <c r="D346" s="977"/>
      <c r="E346" s="315"/>
      <c r="F346" s="302"/>
      <c r="G346" s="197"/>
      <c r="H346" s="189">
        <f t="shared" si="33"/>
        <v>0</v>
      </c>
    </row>
    <row r="347" spans="1:15" ht="15.75" thickBot="1" x14ac:dyDescent="0.3">
      <c r="A347" s="248" t="s">
        <v>320</v>
      </c>
      <c r="B347" s="973"/>
      <c r="C347" s="973"/>
      <c r="D347" s="977"/>
      <c r="E347" s="315"/>
      <c r="F347" s="302"/>
      <c r="G347" s="197"/>
      <c r="H347" s="189">
        <f t="shared" si="33"/>
        <v>0</v>
      </c>
    </row>
    <row r="348" spans="1:15" s="1" customFormat="1" ht="15.75" thickBot="1" x14ac:dyDescent="0.3">
      <c r="A348" s="214" t="s">
        <v>321</v>
      </c>
      <c r="B348" s="973"/>
      <c r="C348" s="973"/>
      <c r="D348" s="977"/>
      <c r="E348" s="311"/>
      <c r="F348" s="303"/>
      <c r="G348" s="251"/>
      <c r="H348" s="189">
        <f t="shared" si="33"/>
        <v>0</v>
      </c>
      <c r="O348" s="98"/>
    </row>
    <row r="349" spans="1:15" s="1" customFormat="1" ht="15.75" thickBot="1" x14ac:dyDescent="0.3">
      <c r="A349" s="213" t="s">
        <v>322</v>
      </c>
      <c r="B349" s="973"/>
      <c r="C349" s="973"/>
      <c r="D349" s="977"/>
      <c r="E349" s="311"/>
      <c r="F349" s="303"/>
      <c r="G349" s="251"/>
      <c r="H349" s="189">
        <f t="shared" si="33"/>
        <v>0</v>
      </c>
      <c r="O349" s="98"/>
    </row>
    <row r="350" spans="1:15" s="1" customFormat="1" ht="15.75" thickBot="1" x14ac:dyDescent="0.3">
      <c r="A350" s="281" t="s">
        <v>323</v>
      </c>
      <c r="B350" s="973"/>
      <c r="C350" s="973"/>
      <c r="D350" s="977"/>
      <c r="E350" s="323"/>
      <c r="F350" s="323"/>
      <c r="G350" s="331"/>
      <c r="H350" s="98">
        <f t="shared" si="33"/>
        <v>0</v>
      </c>
      <c r="O350" s="98"/>
    </row>
    <row r="351" spans="1:15" x14ac:dyDescent="0.25">
      <c r="A351" s="263"/>
      <c r="B351" s="263"/>
      <c r="C351" s="263"/>
      <c r="D351" s="263"/>
      <c r="E351" s="263"/>
      <c r="F351" s="263"/>
      <c r="G351" s="263"/>
    </row>
    <row r="352" spans="1:15" ht="15.75" thickBot="1" x14ac:dyDescent="0.3">
      <c r="A352" s="263"/>
      <c r="B352" s="263"/>
      <c r="C352" s="263"/>
      <c r="D352" s="263"/>
      <c r="E352" s="263"/>
      <c r="F352" s="263"/>
      <c r="G352" s="263"/>
    </row>
    <row r="353" spans="1:15" ht="39" thickBot="1" x14ac:dyDescent="0.3">
      <c r="A353" s="191" t="s">
        <v>26</v>
      </c>
      <c r="B353" s="325" t="s">
        <v>328</v>
      </c>
      <c r="C353" s="325" t="s">
        <v>329</v>
      </c>
      <c r="D353" s="325" t="s">
        <v>364</v>
      </c>
      <c r="E353" s="206" t="s">
        <v>365</v>
      </c>
      <c r="F353" s="206" t="s">
        <v>366</v>
      </c>
      <c r="G353" s="326" t="s">
        <v>367</v>
      </c>
    </row>
    <row r="354" spans="1:15" s="300" customFormat="1" ht="15.75" thickBot="1" x14ac:dyDescent="0.3">
      <c r="A354" s="320" t="s">
        <v>311</v>
      </c>
      <c r="B354" s="973" t="s">
        <v>447</v>
      </c>
      <c r="C354" s="973" t="s">
        <v>448</v>
      </c>
      <c r="D354" s="977" t="s">
        <v>476</v>
      </c>
      <c r="E354" s="327" t="e">
        <f>+INVERSIÓN!#REF!</f>
        <v>#REF!</v>
      </c>
      <c r="F354" s="328">
        <v>0</v>
      </c>
      <c r="G354" s="329"/>
      <c r="H354" s="189">
        <f t="shared" ref="H354:H365" si="34">LEN(G354)</f>
        <v>0</v>
      </c>
      <c r="O354" s="189"/>
    </row>
    <row r="355" spans="1:15" s="300" customFormat="1" ht="15.75" thickBot="1" x14ac:dyDescent="0.3">
      <c r="A355" s="297" t="s">
        <v>313</v>
      </c>
      <c r="B355" s="973"/>
      <c r="C355" s="973"/>
      <c r="D355" s="977"/>
      <c r="E355" s="307"/>
      <c r="F355" s="308"/>
      <c r="G355" s="330"/>
      <c r="H355" s="189">
        <f t="shared" si="34"/>
        <v>0</v>
      </c>
      <c r="O355" s="189"/>
    </row>
    <row r="356" spans="1:15" s="300" customFormat="1" ht="15.75" thickBot="1" x14ac:dyDescent="0.3">
      <c r="A356" s="297" t="s">
        <v>314</v>
      </c>
      <c r="B356" s="973"/>
      <c r="C356" s="973"/>
      <c r="D356" s="977"/>
      <c r="E356" s="307"/>
      <c r="F356" s="308"/>
      <c r="G356" s="330"/>
      <c r="H356" s="189">
        <f t="shared" si="34"/>
        <v>0</v>
      </c>
      <c r="O356" s="189"/>
    </row>
    <row r="357" spans="1:15" s="300" customFormat="1" ht="15.75" thickBot="1" x14ac:dyDescent="0.3">
      <c r="A357" s="297" t="s">
        <v>315</v>
      </c>
      <c r="B357" s="973"/>
      <c r="C357" s="973"/>
      <c r="D357" s="977"/>
      <c r="E357" s="307"/>
      <c r="F357" s="308"/>
      <c r="G357" s="330"/>
      <c r="H357" s="189">
        <f t="shared" si="34"/>
        <v>0</v>
      </c>
      <c r="O357" s="189"/>
    </row>
    <row r="358" spans="1:15" s="300" customFormat="1" ht="15.75" thickBot="1" x14ac:dyDescent="0.3">
      <c r="A358" s="297" t="s">
        <v>316</v>
      </c>
      <c r="B358" s="973"/>
      <c r="C358" s="973"/>
      <c r="D358" s="977"/>
      <c r="E358" s="307"/>
      <c r="F358" s="308"/>
      <c r="G358" s="330"/>
      <c r="H358" s="189">
        <f t="shared" si="34"/>
        <v>0</v>
      </c>
      <c r="O358" s="189"/>
    </row>
    <row r="359" spans="1:15" s="300" customFormat="1" ht="15.75" thickBot="1" x14ac:dyDescent="0.3">
      <c r="A359" s="297" t="s">
        <v>317</v>
      </c>
      <c r="B359" s="973"/>
      <c r="C359" s="973"/>
      <c r="D359" s="977"/>
      <c r="E359" s="307"/>
      <c r="F359" s="308"/>
      <c r="G359" s="330"/>
      <c r="H359" s="189">
        <f t="shared" si="34"/>
        <v>0</v>
      </c>
      <c r="O359" s="189"/>
    </row>
    <row r="360" spans="1:15" s="300" customFormat="1" ht="15.75" thickBot="1" x14ac:dyDescent="0.3">
      <c r="A360" s="297" t="s">
        <v>318</v>
      </c>
      <c r="B360" s="973"/>
      <c r="C360" s="973"/>
      <c r="D360" s="977"/>
      <c r="E360" s="307"/>
      <c r="F360" s="308"/>
      <c r="G360" s="330"/>
      <c r="H360" s="189">
        <f t="shared" si="34"/>
        <v>0</v>
      </c>
      <c r="O360" s="189"/>
    </row>
    <row r="361" spans="1:15" ht="15.75" thickBot="1" x14ac:dyDescent="0.3">
      <c r="A361" s="248" t="s">
        <v>319</v>
      </c>
      <c r="B361" s="973"/>
      <c r="C361" s="973"/>
      <c r="D361" s="977"/>
      <c r="E361" s="315"/>
      <c r="F361" s="302"/>
      <c r="G361" s="197"/>
      <c r="H361" s="189">
        <f t="shared" si="34"/>
        <v>0</v>
      </c>
    </row>
    <row r="362" spans="1:15" ht="15.75" thickBot="1" x14ac:dyDescent="0.3">
      <c r="A362" s="248" t="s">
        <v>320</v>
      </c>
      <c r="B362" s="973"/>
      <c r="C362" s="973"/>
      <c r="D362" s="977"/>
      <c r="E362" s="315"/>
      <c r="F362" s="302"/>
      <c r="G362" s="197"/>
      <c r="H362" s="189">
        <f t="shared" si="34"/>
        <v>0</v>
      </c>
    </row>
    <row r="363" spans="1:15" s="1" customFormat="1" ht="15.75" thickBot="1" x14ac:dyDescent="0.3">
      <c r="A363" s="214" t="s">
        <v>321</v>
      </c>
      <c r="B363" s="973"/>
      <c r="C363" s="973"/>
      <c r="D363" s="977"/>
      <c r="E363" s="311"/>
      <c r="F363" s="303"/>
      <c r="G363" s="251"/>
      <c r="H363" s="189">
        <f t="shared" si="34"/>
        <v>0</v>
      </c>
      <c r="O363" s="98"/>
    </row>
    <row r="364" spans="1:15" s="1" customFormat="1" ht="15.75" thickBot="1" x14ac:dyDescent="0.3">
      <c r="A364" s="214" t="s">
        <v>322</v>
      </c>
      <c r="B364" s="973"/>
      <c r="C364" s="973"/>
      <c r="D364" s="977"/>
      <c r="E364" s="311"/>
      <c r="F364" s="303"/>
      <c r="G364" s="251"/>
      <c r="H364" s="189">
        <f t="shared" si="34"/>
        <v>0</v>
      </c>
      <c r="O364" s="98"/>
    </row>
    <row r="365" spans="1:15" s="1" customFormat="1" ht="15.75" thickBot="1" x14ac:dyDescent="0.3">
      <c r="A365" s="281" t="s">
        <v>323</v>
      </c>
      <c r="B365" s="973"/>
      <c r="C365" s="973"/>
      <c r="D365" s="977"/>
      <c r="E365" s="323"/>
      <c r="F365" s="323"/>
      <c r="G365" s="331"/>
      <c r="H365" s="98">
        <f t="shared" si="34"/>
        <v>0</v>
      </c>
      <c r="O365" s="98"/>
    </row>
    <row r="366" spans="1:15" s="1" customFormat="1" x14ac:dyDescent="0.25">
      <c r="A366" s="272"/>
      <c r="B366" s="66"/>
      <c r="C366" s="66"/>
      <c r="D366" s="317"/>
      <c r="E366" s="318"/>
      <c r="F366" s="318"/>
      <c r="G366" s="319"/>
      <c r="H366" s="98"/>
      <c r="O366" s="98"/>
    </row>
    <row r="367" spans="1:15" s="1" customFormat="1" x14ac:dyDescent="0.25">
      <c r="A367" s="272"/>
      <c r="B367" s="66"/>
      <c r="C367" s="66"/>
      <c r="D367" s="317"/>
      <c r="E367" s="318"/>
      <c r="F367" s="318"/>
      <c r="G367" s="319"/>
      <c r="H367" s="98"/>
      <c r="O367" s="98"/>
    </row>
    <row r="368" spans="1:15" hidden="1" x14ac:dyDescent="0.25">
      <c r="A368" s="196" t="s">
        <v>316</v>
      </c>
      <c r="B368" s="185"/>
      <c r="C368" s="185"/>
      <c r="D368" s="185"/>
      <c r="E368" s="185"/>
      <c r="F368" s="185"/>
      <c r="G368" s="197"/>
    </row>
    <row r="369" spans="1:7" hidden="1" x14ac:dyDescent="0.25">
      <c r="A369" s="196" t="s">
        <v>317</v>
      </c>
      <c r="B369" s="185"/>
      <c r="C369" s="185"/>
      <c r="D369" s="185"/>
      <c r="E369" s="185"/>
      <c r="F369" s="185"/>
      <c r="G369" s="197"/>
    </row>
    <row r="370" spans="1:7" hidden="1" x14ac:dyDescent="0.25">
      <c r="A370" s="208" t="s">
        <v>318</v>
      </c>
      <c r="B370" s="184"/>
      <c r="C370" s="184"/>
      <c r="D370" s="184"/>
      <c r="E370" s="184"/>
      <c r="F370" s="184"/>
      <c r="G370" s="209"/>
    </row>
    <row r="371" spans="1:7" hidden="1" x14ac:dyDescent="0.25">
      <c r="A371" s="196" t="s">
        <v>319</v>
      </c>
      <c r="B371" s="185"/>
      <c r="C371" s="185"/>
      <c r="D371" s="185"/>
      <c r="E371" s="185"/>
      <c r="F371" s="185"/>
      <c r="G371" s="197"/>
    </row>
    <row r="372" spans="1:7" hidden="1" x14ac:dyDescent="0.25">
      <c r="A372" s="196" t="s">
        <v>320</v>
      </c>
      <c r="B372" s="185"/>
      <c r="C372" s="185"/>
      <c r="D372" s="185"/>
      <c r="E372" s="185"/>
      <c r="F372" s="185"/>
      <c r="G372" s="197"/>
    </row>
    <row r="373" spans="1:7" hidden="1" x14ac:dyDescent="0.25">
      <c r="A373" s="196" t="s">
        <v>321</v>
      </c>
      <c r="B373" s="185"/>
      <c r="C373" s="185"/>
      <c r="D373" s="185"/>
      <c r="E373" s="185"/>
      <c r="F373" s="185"/>
      <c r="G373" s="197"/>
    </row>
    <row r="374" spans="1:7" hidden="1" x14ac:dyDescent="0.25">
      <c r="A374" s="196" t="s">
        <v>322</v>
      </c>
      <c r="B374" s="185"/>
      <c r="C374" s="185"/>
      <c r="D374" s="185"/>
      <c r="E374" s="185"/>
      <c r="F374" s="185"/>
      <c r="G374" s="197"/>
    </row>
    <row r="375" spans="1:7" ht="15.75" hidden="1" thickBot="1" x14ac:dyDescent="0.3">
      <c r="A375" s="198" t="s">
        <v>323</v>
      </c>
      <c r="B375" s="199"/>
      <c r="C375" s="199"/>
      <c r="D375" s="199"/>
      <c r="E375" s="199"/>
      <c r="F375" s="199"/>
      <c r="G375" s="205"/>
    </row>
    <row r="376" spans="1:7" ht="15.75" hidden="1" thickBot="1" x14ac:dyDescent="0.3">
      <c r="A376" s="210"/>
      <c r="G376" s="211"/>
    </row>
    <row r="377" spans="1:7" ht="20.25" hidden="1" x14ac:dyDescent="0.3">
      <c r="A377" s="964" t="s">
        <v>382</v>
      </c>
      <c r="B377" s="964"/>
      <c r="C377" s="964"/>
      <c r="D377" s="964"/>
      <c r="E377" s="964"/>
      <c r="F377" s="964"/>
      <c r="G377" s="964"/>
    </row>
    <row r="378" spans="1:7" ht="39" hidden="1" thickBot="1" x14ac:dyDescent="0.3">
      <c r="A378" s="191" t="s">
        <v>28</v>
      </c>
      <c r="B378" s="206" t="s">
        <v>328</v>
      </c>
      <c r="C378" s="206" t="s">
        <v>329</v>
      </c>
      <c r="D378" s="206" t="s">
        <v>364</v>
      </c>
      <c r="E378" s="206" t="s">
        <v>383</v>
      </c>
      <c r="F378" s="206" t="s">
        <v>384</v>
      </c>
      <c r="G378" s="207" t="s">
        <v>367</v>
      </c>
    </row>
    <row r="379" spans="1:7" hidden="1" x14ac:dyDescent="0.25">
      <c r="A379" s="196" t="s">
        <v>311</v>
      </c>
      <c r="B379" s="185"/>
      <c r="C379" s="185"/>
      <c r="D379" s="185"/>
      <c r="E379" s="185"/>
      <c r="F379" s="185"/>
      <c r="G379" s="197"/>
    </row>
    <row r="380" spans="1:7" hidden="1" x14ac:dyDescent="0.25">
      <c r="A380" s="196" t="s">
        <v>313</v>
      </c>
      <c r="B380" s="185"/>
      <c r="C380" s="185"/>
      <c r="D380" s="185"/>
      <c r="E380" s="185"/>
      <c r="F380" s="185"/>
      <c r="G380" s="197"/>
    </row>
    <row r="381" spans="1:7" hidden="1" x14ac:dyDescent="0.25">
      <c r="A381" s="196" t="s">
        <v>314</v>
      </c>
      <c r="B381" s="185"/>
      <c r="C381" s="185"/>
      <c r="D381" s="185"/>
      <c r="E381" s="185"/>
      <c r="F381" s="185"/>
      <c r="G381" s="197"/>
    </row>
    <row r="382" spans="1:7" hidden="1" x14ac:dyDescent="0.25">
      <c r="A382" s="196" t="s">
        <v>315</v>
      </c>
      <c r="B382" s="185"/>
      <c r="C382" s="185"/>
      <c r="D382" s="185"/>
      <c r="E382" s="185"/>
      <c r="F382" s="185"/>
      <c r="G382" s="197"/>
    </row>
    <row r="383" spans="1:7" hidden="1" x14ac:dyDescent="0.25">
      <c r="A383" s="196" t="s">
        <v>316</v>
      </c>
      <c r="B383" s="185"/>
      <c r="C383" s="185"/>
      <c r="D383" s="185"/>
      <c r="E383" s="185"/>
      <c r="F383" s="185"/>
      <c r="G383" s="197"/>
    </row>
    <row r="384" spans="1:7" hidden="1" x14ac:dyDescent="0.25">
      <c r="A384" s="196" t="s">
        <v>317</v>
      </c>
      <c r="B384" s="185"/>
      <c r="C384" s="185"/>
      <c r="D384" s="185"/>
      <c r="E384" s="185"/>
      <c r="F384" s="185"/>
      <c r="G384" s="197"/>
    </row>
    <row r="385" spans="1:7" hidden="1" x14ac:dyDescent="0.25">
      <c r="A385" s="208" t="s">
        <v>318</v>
      </c>
      <c r="B385" s="184"/>
      <c r="C385" s="184"/>
      <c r="D385" s="184"/>
      <c r="E385" s="184"/>
      <c r="F385" s="184"/>
      <c r="G385" s="209"/>
    </row>
    <row r="386" spans="1:7" hidden="1" x14ac:dyDescent="0.25">
      <c r="A386" s="196" t="s">
        <v>319</v>
      </c>
      <c r="B386" s="185"/>
      <c r="C386" s="185"/>
      <c r="D386" s="185"/>
      <c r="E386" s="185"/>
      <c r="F386" s="185"/>
      <c r="G386" s="197"/>
    </row>
    <row r="387" spans="1:7" hidden="1" x14ac:dyDescent="0.25">
      <c r="A387" s="196" t="s">
        <v>320</v>
      </c>
      <c r="B387" s="185"/>
      <c r="C387" s="185"/>
      <c r="D387" s="185"/>
      <c r="E387" s="185"/>
      <c r="F387" s="185"/>
      <c r="G387" s="197"/>
    </row>
    <row r="388" spans="1:7" hidden="1" x14ac:dyDescent="0.25">
      <c r="A388" s="196" t="s">
        <v>321</v>
      </c>
      <c r="B388" s="185"/>
      <c r="C388" s="185"/>
      <c r="D388" s="185"/>
      <c r="E388" s="185"/>
      <c r="F388" s="185"/>
      <c r="G388" s="197"/>
    </row>
    <row r="389" spans="1:7" hidden="1" x14ac:dyDescent="0.25">
      <c r="A389" s="196" t="s">
        <v>322</v>
      </c>
      <c r="B389" s="185"/>
      <c r="C389" s="185"/>
      <c r="D389" s="185"/>
      <c r="E389" s="185"/>
      <c r="F389" s="185"/>
      <c r="G389" s="197"/>
    </row>
    <row r="390" spans="1:7" ht="15.75" hidden="1" thickBot="1" x14ac:dyDescent="0.3">
      <c r="A390" s="198" t="s">
        <v>323</v>
      </c>
      <c r="B390" s="199"/>
      <c r="C390" s="199"/>
      <c r="D390" s="199"/>
      <c r="E390" s="199"/>
      <c r="F390" s="199"/>
      <c r="G390" s="205"/>
    </row>
    <row r="391" spans="1:7" ht="15.75" hidden="1" thickBot="1" x14ac:dyDescent="0.3">
      <c r="A391" s="210"/>
      <c r="G391" s="211"/>
    </row>
    <row r="392" spans="1:7" ht="20.25" hidden="1" x14ac:dyDescent="0.3">
      <c r="A392" s="964" t="s">
        <v>385</v>
      </c>
      <c r="B392" s="964"/>
      <c r="C392" s="964"/>
      <c r="D392" s="964"/>
      <c r="E392" s="964"/>
      <c r="F392" s="964"/>
      <c r="G392" s="964"/>
    </row>
    <row r="393" spans="1:7" ht="39" hidden="1" thickBot="1" x14ac:dyDescent="0.3">
      <c r="A393" s="191" t="s">
        <v>29</v>
      </c>
      <c r="B393" s="206" t="s">
        <v>328</v>
      </c>
      <c r="C393" s="206" t="s">
        <v>329</v>
      </c>
      <c r="D393" s="206" t="s">
        <v>364</v>
      </c>
      <c r="E393" s="206" t="s">
        <v>386</v>
      </c>
      <c r="F393" s="206" t="s">
        <v>387</v>
      </c>
      <c r="G393" s="207" t="s">
        <v>367</v>
      </c>
    </row>
    <row r="394" spans="1:7" hidden="1" x14ac:dyDescent="0.25">
      <c r="A394" s="196" t="s">
        <v>311</v>
      </c>
      <c r="B394" s="185"/>
      <c r="C394" s="185"/>
      <c r="D394" s="185"/>
      <c r="E394" s="185"/>
      <c r="F394" s="185"/>
      <c r="G394" s="197"/>
    </row>
    <row r="395" spans="1:7" hidden="1" x14ac:dyDescent="0.25">
      <c r="A395" s="196" t="s">
        <v>313</v>
      </c>
      <c r="B395" s="185"/>
      <c r="C395" s="185"/>
      <c r="D395" s="185"/>
      <c r="E395" s="185"/>
      <c r="F395" s="185"/>
      <c r="G395" s="197"/>
    </row>
    <row r="396" spans="1:7" hidden="1" x14ac:dyDescent="0.25">
      <c r="A396" s="196" t="s">
        <v>314</v>
      </c>
      <c r="B396" s="185"/>
      <c r="C396" s="185"/>
      <c r="D396" s="185"/>
      <c r="E396" s="185"/>
      <c r="F396" s="185"/>
      <c r="G396" s="197"/>
    </row>
    <row r="397" spans="1:7" hidden="1" x14ac:dyDescent="0.25">
      <c r="A397" s="196" t="s">
        <v>315</v>
      </c>
      <c r="B397" s="185"/>
      <c r="C397" s="185"/>
      <c r="D397" s="185"/>
      <c r="E397" s="185"/>
      <c r="F397" s="185"/>
      <c r="G397" s="197"/>
    </row>
    <row r="398" spans="1:7" hidden="1" x14ac:dyDescent="0.25">
      <c r="A398" s="196" t="s">
        <v>316</v>
      </c>
      <c r="B398" s="185"/>
      <c r="C398" s="185"/>
      <c r="D398" s="185"/>
      <c r="E398" s="185"/>
      <c r="F398" s="185"/>
      <c r="G398" s="197"/>
    </row>
    <row r="399" spans="1:7" hidden="1" x14ac:dyDescent="0.25">
      <c r="A399" s="196" t="s">
        <v>317</v>
      </c>
      <c r="B399" s="185"/>
      <c r="C399" s="185"/>
      <c r="D399" s="185"/>
      <c r="E399" s="185"/>
      <c r="F399" s="185"/>
      <c r="G399" s="197"/>
    </row>
    <row r="400" spans="1:7" hidden="1" x14ac:dyDescent="0.25">
      <c r="A400" s="208" t="s">
        <v>318</v>
      </c>
      <c r="B400" s="184"/>
      <c r="C400" s="184"/>
      <c r="D400" s="184"/>
      <c r="E400" s="184"/>
      <c r="F400" s="184"/>
      <c r="G400" s="209"/>
    </row>
    <row r="401" spans="1:15" hidden="1" x14ac:dyDescent="0.25">
      <c r="A401" s="196" t="s">
        <v>319</v>
      </c>
      <c r="B401" s="185"/>
      <c r="C401" s="185"/>
      <c r="D401" s="185"/>
      <c r="E401" s="185"/>
      <c r="F401" s="185"/>
      <c r="G401" s="197"/>
    </row>
    <row r="402" spans="1:15" hidden="1" x14ac:dyDescent="0.25">
      <c r="A402" s="196" t="s">
        <v>320</v>
      </c>
      <c r="B402" s="185"/>
      <c r="C402" s="185"/>
      <c r="D402" s="185"/>
      <c r="E402" s="185"/>
      <c r="F402" s="185"/>
      <c r="G402" s="197"/>
    </row>
    <row r="403" spans="1:15" hidden="1" x14ac:dyDescent="0.25">
      <c r="A403" s="196" t="s">
        <v>321</v>
      </c>
      <c r="B403" s="185"/>
      <c r="C403" s="185"/>
      <c r="D403" s="185"/>
      <c r="E403" s="185"/>
      <c r="F403" s="185"/>
      <c r="G403" s="197"/>
    </row>
    <row r="404" spans="1:15" hidden="1" x14ac:dyDescent="0.25">
      <c r="A404" s="196" t="s">
        <v>322</v>
      </c>
      <c r="B404" s="185"/>
      <c r="C404" s="185"/>
      <c r="D404" s="185"/>
      <c r="E404" s="185"/>
      <c r="F404" s="185"/>
      <c r="G404" s="197"/>
    </row>
    <row r="405" spans="1:15" ht="15.75" hidden="1" thickBot="1" x14ac:dyDescent="0.3">
      <c r="A405" s="198" t="s">
        <v>323</v>
      </c>
      <c r="B405" s="199"/>
      <c r="C405" s="199"/>
      <c r="D405" s="199"/>
      <c r="E405" s="199"/>
      <c r="F405" s="199"/>
      <c r="G405" s="205"/>
    </row>
    <row r="407" spans="1:15" ht="21" hidden="1" thickBot="1" x14ac:dyDescent="0.35">
      <c r="A407" s="978" t="s">
        <v>480</v>
      </c>
      <c r="B407" s="978"/>
      <c r="C407" s="978"/>
      <c r="D407" s="978"/>
      <c r="E407" s="978"/>
      <c r="F407" s="978"/>
      <c r="G407" s="978"/>
      <c r="H407" s="978"/>
    </row>
    <row r="408" spans="1:15" ht="38.25" hidden="1" x14ac:dyDescent="0.25">
      <c r="A408" s="265" t="s">
        <v>25</v>
      </c>
      <c r="B408" s="244" t="s">
        <v>389</v>
      </c>
      <c r="C408" s="332" t="s">
        <v>331</v>
      </c>
      <c r="D408" s="332" t="s">
        <v>426</v>
      </c>
      <c r="E408" s="332" t="s">
        <v>481</v>
      </c>
      <c r="F408" s="332" t="s">
        <v>482</v>
      </c>
      <c r="G408" s="332" t="s">
        <v>483</v>
      </c>
      <c r="H408" s="246" t="s">
        <v>367</v>
      </c>
    </row>
    <row r="409" spans="1:15" ht="15.75" hidden="1" thickBot="1" x14ac:dyDescent="0.3">
      <c r="A409" s="248" t="s">
        <v>318</v>
      </c>
      <c r="B409" s="969" t="s">
        <v>484</v>
      </c>
      <c r="C409" s="967" t="s">
        <v>485</v>
      </c>
      <c r="D409" s="970">
        <v>33</v>
      </c>
      <c r="E409" s="333">
        <v>46</v>
      </c>
      <c r="F409" s="334"/>
      <c r="G409" s="334">
        <f t="shared" ref="G409:G414" si="35">F409/E409</f>
        <v>0</v>
      </c>
      <c r="H409" s="335"/>
      <c r="I409" s="189">
        <f t="shared" ref="I409:I414" si="36">LEN(H409)</f>
        <v>0</v>
      </c>
    </row>
    <row r="410" spans="1:15" s="1" customFormat="1" ht="15.75" hidden="1" thickBot="1" x14ac:dyDescent="0.3">
      <c r="A410" s="253" t="s">
        <v>319</v>
      </c>
      <c r="B410" s="969"/>
      <c r="C410" s="967"/>
      <c r="D410" s="970"/>
      <c r="E410" s="336">
        <v>46</v>
      </c>
      <c r="F410" s="337"/>
      <c r="G410" s="337">
        <f t="shared" si="35"/>
        <v>0</v>
      </c>
      <c r="H410" s="338"/>
      <c r="I410" s="98">
        <f t="shared" si="36"/>
        <v>0</v>
      </c>
      <c r="O410" s="98"/>
    </row>
    <row r="411" spans="1:15" s="1" customFormat="1" ht="15.75" hidden="1" thickBot="1" x14ac:dyDescent="0.3">
      <c r="A411" s="253" t="s">
        <v>320</v>
      </c>
      <c r="B411" s="969"/>
      <c r="C411" s="967"/>
      <c r="D411" s="970"/>
      <c r="E411" s="336">
        <v>46</v>
      </c>
      <c r="F411" s="337"/>
      <c r="G411" s="337">
        <f t="shared" si="35"/>
        <v>0</v>
      </c>
      <c r="H411" s="338"/>
      <c r="I411" s="98">
        <f t="shared" si="36"/>
        <v>0</v>
      </c>
      <c r="O411" s="98"/>
    </row>
    <row r="412" spans="1:15" s="1" customFormat="1" ht="15.75" hidden="1" thickBot="1" x14ac:dyDescent="0.3">
      <c r="A412" s="253" t="s">
        <v>321</v>
      </c>
      <c r="B412" s="969"/>
      <c r="C412" s="967"/>
      <c r="D412" s="970"/>
      <c r="E412" s="336">
        <v>46</v>
      </c>
      <c r="F412" s="337">
        <v>44.39</v>
      </c>
      <c r="G412" s="339">
        <f t="shared" si="35"/>
        <v>0.96499999999999997</v>
      </c>
      <c r="H412" s="338" t="s">
        <v>433</v>
      </c>
      <c r="I412" s="98">
        <f t="shared" si="36"/>
        <v>190</v>
      </c>
      <c r="O412" s="98"/>
    </row>
    <row r="413" spans="1:15" s="1" customFormat="1" ht="15.75" hidden="1" thickBot="1" x14ac:dyDescent="0.3">
      <c r="A413" s="253" t="s">
        <v>322</v>
      </c>
      <c r="B413" s="969"/>
      <c r="C413" s="967"/>
      <c r="D413" s="970"/>
      <c r="E413" s="336">
        <v>46</v>
      </c>
      <c r="F413" s="337">
        <f>+[3]GESTIÓN!U14</f>
        <v>45.54</v>
      </c>
      <c r="G413" s="339">
        <f t="shared" si="35"/>
        <v>0.99</v>
      </c>
      <c r="H413" s="338" t="s">
        <v>434</v>
      </c>
      <c r="I413" s="98">
        <f t="shared" si="36"/>
        <v>199</v>
      </c>
      <c r="O413" s="98"/>
    </row>
    <row r="414" spans="1:15" s="1" customFormat="1" ht="15.75" hidden="1" thickBot="1" x14ac:dyDescent="0.3">
      <c r="A414" s="257" t="s">
        <v>323</v>
      </c>
      <c r="B414" s="969"/>
      <c r="C414" s="967"/>
      <c r="D414" s="970"/>
      <c r="E414" s="340">
        <v>46</v>
      </c>
      <c r="F414" s="341">
        <v>45.92</v>
      </c>
      <c r="G414" s="342">
        <f t="shared" si="35"/>
        <v>0.99826086956521742</v>
      </c>
      <c r="H414" s="306" t="s">
        <v>435</v>
      </c>
      <c r="I414" s="98">
        <f t="shared" si="36"/>
        <v>193</v>
      </c>
      <c r="O414" s="98"/>
    </row>
    <row r="415" spans="1:15" hidden="1" x14ac:dyDescent="0.25">
      <c r="A415" s="263"/>
      <c r="B415" s="66"/>
      <c r="C415" s="343"/>
      <c r="D415" s="263"/>
      <c r="E415" s="263"/>
      <c r="F415" s="263"/>
      <c r="G415" s="263"/>
      <c r="H415" s="263"/>
    </row>
    <row r="416" spans="1:15" hidden="1" x14ac:dyDescent="0.25">
      <c r="A416" s="263"/>
      <c r="B416" s="263"/>
      <c r="C416" s="263"/>
      <c r="D416" s="263"/>
      <c r="E416" s="263"/>
      <c r="F416" s="263"/>
      <c r="G416" s="263"/>
      <c r="H416" s="263"/>
    </row>
    <row r="417" spans="1:15" ht="39" hidden="1" thickBot="1" x14ac:dyDescent="0.3">
      <c r="A417" s="215" t="s">
        <v>25</v>
      </c>
      <c r="B417" s="216" t="s">
        <v>389</v>
      </c>
      <c r="C417" s="344" t="s">
        <v>331</v>
      </c>
      <c r="D417" s="344" t="s">
        <v>426</v>
      </c>
      <c r="E417" s="344" t="s">
        <v>481</v>
      </c>
      <c r="F417" s="344" t="s">
        <v>482</v>
      </c>
      <c r="G417" s="344" t="s">
        <v>483</v>
      </c>
      <c r="H417" s="217" t="s">
        <v>367</v>
      </c>
    </row>
    <row r="418" spans="1:15" ht="15.75" hidden="1" thickBot="1" x14ac:dyDescent="0.3">
      <c r="A418" s="345" t="s">
        <v>318</v>
      </c>
      <c r="B418" s="975" t="s">
        <v>486</v>
      </c>
      <c r="C418" s="973" t="s">
        <v>487</v>
      </c>
      <c r="D418" s="970">
        <v>34</v>
      </c>
      <c r="E418" s="346">
        <v>5</v>
      </c>
      <c r="F418" s="347"/>
      <c r="G418" s="347">
        <f t="shared" ref="G418:G423" si="37">F418/E418</f>
        <v>0</v>
      </c>
      <c r="H418" s="348"/>
      <c r="I418" s="189">
        <f t="shared" ref="I418:I423" si="38">LEN(H418)</f>
        <v>0</v>
      </c>
    </row>
    <row r="419" spans="1:15" ht="15.75" hidden="1" thickBot="1" x14ac:dyDescent="0.3">
      <c r="A419" s="248" t="s">
        <v>319</v>
      </c>
      <c r="B419" s="975"/>
      <c r="C419" s="973"/>
      <c r="D419" s="970"/>
      <c r="E419" s="349">
        <v>5</v>
      </c>
      <c r="F419" s="334"/>
      <c r="G419" s="334">
        <f t="shared" si="37"/>
        <v>0</v>
      </c>
      <c r="H419" s="335"/>
      <c r="I419" s="189">
        <f t="shared" si="38"/>
        <v>0</v>
      </c>
    </row>
    <row r="420" spans="1:15" s="1" customFormat="1" ht="15.75" hidden="1" thickBot="1" x14ac:dyDescent="0.3">
      <c r="A420" s="253" t="s">
        <v>320</v>
      </c>
      <c r="B420" s="975"/>
      <c r="C420" s="973"/>
      <c r="D420" s="970"/>
      <c r="E420" s="350">
        <v>5</v>
      </c>
      <c r="F420" s="337"/>
      <c r="G420" s="337">
        <f t="shared" si="37"/>
        <v>0</v>
      </c>
      <c r="H420" s="338"/>
      <c r="I420" s="98">
        <f t="shared" si="38"/>
        <v>0</v>
      </c>
      <c r="O420" s="98"/>
    </row>
    <row r="421" spans="1:15" s="1" customFormat="1" ht="15.75" hidden="1" thickBot="1" x14ac:dyDescent="0.3">
      <c r="A421" s="253" t="s">
        <v>321</v>
      </c>
      <c r="B421" s="975"/>
      <c r="C421" s="973"/>
      <c r="D421" s="970"/>
      <c r="E421" s="350">
        <v>5</v>
      </c>
      <c r="F421" s="337">
        <v>1.54</v>
      </c>
      <c r="G421" s="339">
        <f t="shared" si="37"/>
        <v>0.308</v>
      </c>
      <c r="H421" s="338" t="s">
        <v>440</v>
      </c>
      <c r="I421" s="98">
        <f t="shared" si="38"/>
        <v>200</v>
      </c>
      <c r="O421" s="98"/>
    </row>
    <row r="422" spans="1:15" s="1" customFormat="1" ht="15.75" hidden="1" thickBot="1" x14ac:dyDescent="0.3">
      <c r="A422" s="253" t="s">
        <v>322</v>
      </c>
      <c r="B422" s="975"/>
      <c r="C422" s="973"/>
      <c r="D422" s="970"/>
      <c r="E422" s="350">
        <v>5</v>
      </c>
      <c r="F422" s="351">
        <f>+[3]GESTIÓN!U15</f>
        <v>2.5379999999999998</v>
      </c>
      <c r="G422" s="339">
        <f t="shared" si="37"/>
        <v>0.50759999999999994</v>
      </c>
      <c r="H422" s="338" t="s">
        <v>441</v>
      </c>
      <c r="I422" s="98">
        <f t="shared" si="38"/>
        <v>121</v>
      </c>
      <c r="O422" s="98"/>
    </row>
    <row r="423" spans="1:15" s="1" customFormat="1" ht="15.75" hidden="1" thickBot="1" x14ac:dyDescent="0.3">
      <c r="A423" s="257" t="s">
        <v>323</v>
      </c>
      <c r="B423" s="975"/>
      <c r="C423" s="973"/>
      <c r="D423" s="970"/>
      <c r="E423" s="352">
        <v>5</v>
      </c>
      <c r="F423" s="341">
        <v>5.49</v>
      </c>
      <c r="G423" s="342">
        <f t="shared" si="37"/>
        <v>1.0980000000000001</v>
      </c>
      <c r="H423" s="306" t="s">
        <v>442</v>
      </c>
      <c r="I423" s="98">
        <f t="shared" si="38"/>
        <v>121</v>
      </c>
      <c r="O423" s="98"/>
    </row>
    <row r="424" spans="1:15" hidden="1" x14ac:dyDescent="0.25">
      <c r="A424" s="263"/>
      <c r="B424" s="263"/>
      <c r="C424" s="263"/>
      <c r="D424" s="263"/>
      <c r="E424" s="263"/>
      <c r="F424" s="263"/>
      <c r="G424" s="263"/>
      <c r="H424" s="263"/>
    </row>
    <row r="425" spans="1:15" hidden="1" x14ac:dyDescent="0.25">
      <c r="A425" s="263"/>
      <c r="B425" s="263"/>
      <c r="C425" s="263"/>
      <c r="D425" s="263"/>
      <c r="E425" s="263"/>
      <c r="F425" s="263"/>
      <c r="G425" s="263"/>
      <c r="H425" s="263"/>
    </row>
    <row r="426" spans="1:15" ht="39" hidden="1" thickBot="1" x14ac:dyDescent="0.3">
      <c r="A426" s="215" t="s">
        <v>25</v>
      </c>
      <c r="B426" s="216" t="s">
        <v>389</v>
      </c>
      <c r="C426" s="344" t="s">
        <v>331</v>
      </c>
      <c r="D426" s="344" t="s">
        <v>426</v>
      </c>
      <c r="E426" s="344" t="s">
        <v>481</v>
      </c>
      <c r="F426" s="344" t="s">
        <v>482</v>
      </c>
      <c r="G426" s="344" t="s">
        <v>483</v>
      </c>
      <c r="H426" s="217" t="s">
        <v>367</v>
      </c>
    </row>
    <row r="427" spans="1:15" ht="15.75" hidden="1" thickBot="1" x14ac:dyDescent="0.3">
      <c r="A427" s="345" t="s">
        <v>318</v>
      </c>
      <c r="B427" s="972"/>
      <c r="C427" s="973" t="s">
        <v>487</v>
      </c>
      <c r="D427" s="974"/>
      <c r="E427" s="346">
        <v>54</v>
      </c>
      <c r="F427" s="347"/>
      <c r="G427" s="347">
        <f t="shared" ref="G427:G432" si="39">F427/E427</f>
        <v>0</v>
      </c>
      <c r="H427" s="348"/>
      <c r="I427" s="189">
        <f t="shared" ref="I427:I432" si="40">LEN(H427)</f>
        <v>0</v>
      </c>
    </row>
    <row r="428" spans="1:15" ht="15.75" hidden="1" thickBot="1" x14ac:dyDescent="0.3">
      <c r="A428" s="248" t="s">
        <v>319</v>
      </c>
      <c r="B428" s="972"/>
      <c r="C428" s="973"/>
      <c r="D428" s="974"/>
      <c r="E428" s="349">
        <v>54</v>
      </c>
      <c r="F428" s="334"/>
      <c r="G428" s="334">
        <f t="shared" si="39"/>
        <v>0</v>
      </c>
      <c r="H428" s="335"/>
      <c r="I428" s="189">
        <f t="shared" si="40"/>
        <v>0</v>
      </c>
    </row>
    <row r="429" spans="1:15" s="1" customFormat="1" ht="15.75" hidden="1" thickBot="1" x14ac:dyDescent="0.3">
      <c r="A429" s="253" t="s">
        <v>320</v>
      </c>
      <c r="B429" s="972"/>
      <c r="C429" s="973"/>
      <c r="D429" s="974"/>
      <c r="E429" s="350">
        <v>54</v>
      </c>
      <c r="F429" s="337"/>
      <c r="G429" s="337">
        <f t="shared" si="39"/>
        <v>0</v>
      </c>
      <c r="H429" s="338"/>
      <c r="I429" s="98">
        <f t="shared" si="40"/>
        <v>0</v>
      </c>
      <c r="O429" s="98"/>
    </row>
    <row r="430" spans="1:15" s="1" customFormat="1" ht="15.75" hidden="1" thickBot="1" x14ac:dyDescent="0.3">
      <c r="A430" s="253" t="s">
        <v>321</v>
      </c>
      <c r="B430" s="972"/>
      <c r="C430" s="973"/>
      <c r="D430" s="974"/>
      <c r="E430" s="350">
        <v>54</v>
      </c>
      <c r="F430" s="337">
        <v>4.24</v>
      </c>
      <c r="G430" s="339">
        <f t="shared" si="39"/>
        <v>7.8518518518518529E-2</v>
      </c>
      <c r="H430" s="338" t="s">
        <v>444</v>
      </c>
      <c r="I430" s="98">
        <f t="shared" si="40"/>
        <v>170</v>
      </c>
      <c r="O430" s="98"/>
    </row>
    <row r="431" spans="1:15" s="1" customFormat="1" ht="15.75" hidden="1" thickBot="1" x14ac:dyDescent="0.3">
      <c r="A431" s="253" t="s">
        <v>322</v>
      </c>
      <c r="B431" s="972"/>
      <c r="C431" s="973"/>
      <c r="D431" s="974"/>
      <c r="E431" s="350">
        <v>54</v>
      </c>
      <c r="F431" s="351">
        <f>+[3]GESTIÓN!U17</f>
        <v>4.8070000000000004</v>
      </c>
      <c r="G431" s="339">
        <f t="shared" si="39"/>
        <v>8.9018518518518525E-2</v>
      </c>
      <c r="H431" s="338" t="s">
        <v>445</v>
      </c>
      <c r="I431" s="98">
        <f t="shared" si="40"/>
        <v>200</v>
      </c>
      <c r="O431" s="98"/>
    </row>
    <row r="432" spans="1:15" ht="15.75" hidden="1" thickBot="1" x14ac:dyDescent="0.3">
      <c r="A432" s="257" t="s">
        <v>323</v>
      </c>
      <c r="B432" s="972"/>
      <c r="C432" s="973"/>
      <c r="D432" s="974"/>
      <c r="E432" s="353">
        <v>54</v>
      </c>
      <c r="F432" s="354">
        <f>+[3]GESTIÓN!W17</f>
        <v>5.24</v>
      </c>
      <c r="G432" s="355">
        <f t="shared" si="39"/>
        <v>9.7037037037037047E-2</v>
      </c>
      <c r="H432" s="306" t="s">
        <v>446</v>
      </c>
      <c r="I432" s="189">
        <f t="shared" si="40"/>
        <v>198</v>
      </c>
    </row>
    <row r="433" spans="1:15" hidden="1" x14ac:dyDescent="0.25">
      <c r="A433" s="263"/>
      <c r="B433" s="263"/>
      <c r="C433" s="263"/>
      <c r="D433" s="263"/>
      <c r="E433" s="263"/>
      <c r="F433" s="263"/>
      <c r="G433" s="263"/>
      <c r="H433" s="263"/>
    </row>
    <row r="434" spans="1:15" hidden="1" x14ac:dyDescent="0.25">
      <c r="A434" s="263"/>
      <c r="B434" s="263"/>
      <c r="C434" s="263"/>
      <c r="D434" s="263"/>
      <c r="E434" s="263"/>
      <c r="F434" s="263"/>
      <c r="G434" s="263"/>
      <c r="H434" s="263"/>
    </row>
    <row r="435" spans="1:15" ht="39" hidden="1" thickBot="1" x14ac:dyDescent="0.3">
      <c r="A435" s="215" t="s">
        <v>25</v>
      </c>
      <c r="B435" s="216" t="s">
        <v>389</v>
      </c>
      <c r="C435" s="344" t="s">
        <v>331</v>
      </c>
      <c r="D435" s="344" t="s">
        <v>426</v>
      </c>
      <c r="E435" s="344" t="s">
        <v>481</v>
      </c>
      <c r="F435" s="344" t="s">
        <v>482</v>
      </c>
      <c r="G435" s="344" t="s">
        <v>483</v>
      </c>
      <c r="H435" s="217" t="s">
        <v>367</v>
      </c>
    </row>
    <row r="436" spans="1:15" ht="15.75" hidden="1" thickBot="1" x14ac:dyDescent="0.3">
      <c r="A436" s="345" t="s">
        <v>318</v>
      </c>
      <c r="B436" s="975" t="s">
        <v>488</v>
      </c>
      <c r="C436" s="973" t="s">
        <v>489</v>
      </c>
      <c r="D436" s="976">
        <v>33</v>
      </c>
      <c r="E436" s="346">
        <v>0.27</v>
      </c>
      <c r="F436" s="347"/>
      <c r="G436" s="347">
        <f t="shared" ref="G436:G441" si="41">F436/E436</f>
        <v>0</v>
      </c>
      <c r="H436" s="348"/>
      <c r="I436" s="189">
        <f t="shared" ref="I436:I441" si="42">LEN(H436)</f>
        <v>0</v>
      </c>
    </row>
    <row r="437" spans="1:15" ht="15.75" hidden="1" thickBot="1" x14ac:dyDescent="0.3">
      <c r="A437" s="248" t="s">
        <v>319</v>
      </c>
      <c r="B437" s="975"/>
      <c r="C437" s="973"/>
      <c r="D437" s="976"/>
      <c r="E437" s="349">
        <v>0.27</v>
      </c>
      <c r="F437" s="334"/>
      <c r="G437" s="334">
        <f t="shared" si="41"/>
        <v>0</v>
      </c>
      <c r="H437" s="335"/>
      <c r="I437" s="189">
        <f t="shared" si="42"/>
        <v>0</v>
      </c>
    </row>
    <row r="438" spans="1:15" s="1" customFormat="1" ht="15.75" hidden="1" thickBot="1" x14ac:dyDescent="0.3">
      <c r="A438" s="253" t="s">
        <v>320</v>
      </c>
      <c r="B438" s="975"/>
      <c r="C438" s="973"/>
      <c r="D438" s="976"/>
      <c r="E438" s="350">
        <v>0.27</v>
      </c>
      <c r="F438" s="337"/>
      <c r="G438" s="337">
        <f t="shared" si="41"/>
        <v>0</v>
      </c>
      <c r="H438" s="338"/>
      <c r="I438" s="98">
        <f t="shared" si="42"/>
        <v>0</v>
      </c>
      <c r="O438" s="98"/>
    </row>
    <row r="439" spans="1:15" s="1" customFormat="1" ht="15.75" hidden="1" thickBot="1" x14ac:dyDescent="0.3">
      <c r="A439" s="253" t="s">
        <v>321</v>
      </c>
      <c r="B439" s="975"/>
      <c r="C439" s="973"/>
      <c r="D439" s="976"/>
      <c r="E439" s="350">
        <v>0.27</v>
      </c>
      <c r="F439" s="337">
        <v>0.14000000000000001</v>
      </c>
      <c r="G439" s="339">
        <f t="shared" si="41"/>
        <v>0.51851851851851849</v>
      </c>
      <c r="H439" s="338" t="s">
        <v>490</v>
      </c>
      <c r="I439" s="98">
        <f t="shared" si="42"/>
        <v>193</v>
      </c>
      <c r="O439" s="98"/>
    </row>
    <row r="440" spans="1:15" s="1" customFormat="1" ht="15.75" hidden="1" thickBot="1" x14ac:dyDescent="0.3">
      <c r="A440" s="253" t="s">
        <v>322</v>
      </c>
      <c r="B440" s="975"/>
      <c r="C440" s="973"/>
      <c r="D440" s="976"/>
      <c r="E440" s="350">
        <v>0.27</v>
      </c>
      <c r="F440" s="351">
        <f>+[3]GESTIÓN!U18</f>
        <v>0.2</v>
      </c>
      <c r="G440" s="339">
        <f t="shared" si="41"/>
        <v>0.7407407407407407</v>
      </c>
      <c r="H440" s="338" t="s">
        <v>450</v>
      </c>
      <c r="I440" s="98">
        <f t="shared" si="42"/>
        <v>154</v>
      </c>
      <c r="O440" s="98"/>
    </row>
    <row r="441" spans="1:15" ht="15.75" hidden="1" thickBot="1" x14ac:dyDescent="0.3">
      <c r="A441" s="257" t="s">
        <v>323</v>
      </c>
      <c r="B441" s="975"/>
      <c r="C441" s="973"/>
      <c r="D441" s="976"/>
      <c r="E441" s="352">
        <v>0.27</v>
      </c>
      <c r="F441" s="341">
        <v>0.26</v>
      </c>
      <c r="G441" s="342">
        <f t="shared" si="41"/>
        <v>0.96296296296296291</v>
      </c>
      <c r="H441" s="306" t="s">
        <v>491</v>
      </c>
      <c r="I441" s="189">
        <f t="shared" si="42"/>
        <v>148</v>
      </c>
    </row>
    <row r="442" spans="1:15" s="1" customFormat="1" x14ac:dyDescent="0.25">
      <c r="A442" s="272"/>
      <c r="B442" s="66"/>
      <c r="C442" s="66"/>
      <c r="D442" s="356"/>
      <c r="E442" s="357"/>
      <c r="F442" s="272"/>
      <c r="G442" s="358"/>
      <c r="H442" s="272"/>
      <c r="I442" s="98"/>
      <c r="O442" s="98"/>
    </row>
    <row r="443" spans="1:15" s="1" customFormat="1" ht="15.75" thickBot="1" x14ac:dyDescent="0.3">
      <c r="A443" s="272"/>
      <c r="B443" s="66"/>
      <c r="C443" s="66"/>
      <c r="D443" s="356"/>
      <c r="E443" s="357"/>
      <c r="F443" s="272"/>
      <c r="G443" s="358"/>
      <c r="H443" s="272"/>
      <c r="I443" s="98"/>
      <c r="O443" s="98"/>
    </row>
    <row r="444" spans="1:15" ht="21" thickBot="1" x14ac:dyDescent="0.35">
      <c r="A444" s="971" t="s">
        <v>388</v>
      </c>
      <c r="B444" s="971"/>
      <c r="C444" s="971"/>
      <c r="D444" s="971"/>
      <c r="E444" s="971"/>
      <c r="F444" s="971"/>
      <c r="G444" s="971"/>
      <c r="H444" s="971"/>
    </row>
    <row r="445" spans="1:15" ht="38.25" x14ac:dyDescent="0.25">
      <c r="A445" s="191" t="s">
        <v>26</v>
      </c>
      <c r="B445" s="244" t="s">
        <v>389</v>
      </c>
      <c r="C445" s="332" t="s">
        <v>331</v>
      </c>
      <c r="D445" s="332" t="s">
        <v>332</v>
      </c>
      <c r="E445" s="332" t="s">
        <v>390</v>
      </c>
      <c r="F445" s="332" t="s">
        <v>391</v>
      </c>
      <c r="G445" s="332" t="s">
        <v>392</v>
      </c>
      <c r="H445" s="246" t="s">
        <v>367</v>
      </c>
    </row>
    <row r="446" spans="1:15" ht="15.75" thickBot="1" x14ac:dyDescent="0.3">
      <c r="A446" s="320" t="s">
        <v>311</v>
      </c>
      <c r="B446" s="969" t="s">
        <v>484</v>
      </c>
      <c r="C446" s="967" t="s">
        <v>485</v>
      </c>
      <c r="D446" s="970">
        <v>33</v>
      </c>
      <c r="E446" s="359">
        <v>56</v>
      </c>
      <c r="F446" s="360" t="e">
        <f>+GESTIÓN!#REF!</f>
        <v>#REF!</v>
      </c>
      <c r="G446" s="361" t="e">
        <f t="shared" ref="G446:G457" si="43">F446/E446</f>
        <v>#REF!</v>
      </c>
      <c r="H446" s="362"/>
      <c r="I446" s="189">
        <f t="shared" ref="I446:I457" si="44">LEN(H446)</f>
        <v>0</v>
      </c>
    </row>
    <row r="447" spans="1:15" ht="15.75" thickBot="1" x14ac:dyDescent="0.3">
      <c r="A447" s="297" t="s">
        <v>313</v>
      </c>
      <c r="B447" s="969"/>
      <c r="C447" s="967"/>
      <c r="D447" s="970"/>
      <c r="E447" s="333">
        <v>56</v>
      </c>
      <c r="F447" s="334"/>
      <c r="G447" s="363">
        <f t="shared" si="43"/>
        <v>0</v>
      </c>
      <c r="H447" s="335"/>
      <c r="I447" s="189">
        <f t="shared" si="44"/>
        <v>0</v>
      </c>
    </row>
    <row r="448" spans="1:15" ht="15.75" thickBot="1" x14ac:dyDescent="0.3">
      <c r="A448" s="297" t="s">
        <v>314</v>
      </c>
      <c r="B448" s="969"/>
      <c r="C448" s="967"/>
      <c r="D448" s="970"/>
      <c r="E448" s="333">
        <v>56</v>
      </c>
      <c r="F448" s="334"/>
      <c r="G448" s="363">
        <f t="shared" si="43"/>
        <v>0</v>
      </c>
      <c r="H448" s="335"/>
      <c r="I448" s="189">
        <f t="shared" si="44"/>
        <v>0</v>
      </c>
    </row>
    <row r="449" spans="1:15" ht="15.75" thickBot="1" x14ac:dyDescent="0.3">
      <c r="A449" s="297" t="s">
        <v>315</v>
      </c>
      <c r="B449" s="969"/>
      <c r="C449" s="967"/>
      <c r="D449" s="970"/>
      <c r="E449" s="333">
        <v>56</v>
      </c>
      <c r="F449" s="334"/>
      <c r="G449" s="363">
        <f t="shared" si="43"/>
        <v>0</v>
      </c>
      <c r="H449" s="335"/>
      <c r="I449" s="189">
        <f t="shared" si="44"/>
        <v>0</v>
      </c>
    </row>
    <row r="450" spans="1:15" ht="15.75" thickBot="1" x14ac:dyDescent="0.3">
      <c r="A450" s="297" t="s">
        <v>316</v>
      </c>
      <c r="B450" s="969"/>
      <c r="C450" s="967"/>
      <c r="D450" s="970"/>
      <c r="E450" s="333">
        <v>56</v>
      </c>
      <c r="F450" s="334"/>
      <c r="G450" s="363">
        <f t="shared" si="43"/>
        <v>0</v>
      </c>
      <c r="H450" s="335"/>
      <c r="I450" s="189">
        <f t="shared" si="44"/>
        <v>0</v>
      </c>
    </row>
    <row r="451" spans="1:15" ht="15.75" thickBot="1" x14ac:dyDescent="0.3">
      <c r="A451" s="297" t="s">
        <v>317</v>
      </c>
      <c r="B451" s="969"/>
      <c r="C451" s="967"/>
      <c r="D451" s="970"/>
      <c r="E451" s="333">
        <v>56</v>
      </c>
      <c r="F451" s="334"/>
      <c r="G451" s="363">
        <f t="shared" si="43"/>
        <v>0</v>
      </c>
      <c r="H451" s="335"/>
      <c r="I451" s="189">
        <f t="shared" si="44"/>
        <v>0</v>
      </c>
    </row>
    <row r="452" spans="1:15" ht="15.75" thickBot="1" x14ac:dyDescent="0.3">
      <c r="A452" s="297" t="s">
        <v>318</v>
      </c>
      <c r="B452" s="969"/>
      <c r="C452" s="967"/>
      <c r="D452" s="970"/>
      <c r="E452" s="333">
        <v>56</v>
      </c>
      <c r="F452" s="334"/>
      <c r="G452" s="363">
        <f t="shared" si="43"/>
        <v>0</v>
      </c>
      <c r="H452" s="335"/>
      <c r="I452" s="189">
        <f t="shared" si="44"/>
        <v>0</v>
      </c>
    </row>
    <row r="453" spans="1:15" s="1" customFormat="1" ht="15.75" thickBot="1" x14ac:dyDescent="0.3">
      <c r="A453" s="253" t="s">
        <v>319</v>
      </c>
      <c r="B453" s="969"/>
      <c r="C453" s="967"/>
      <c r="D453" s="970"/>
      <c r="E453" s="333">
        <v>56</v>
      </c>
      <c r="F453" s="337"/>
      <c r="G453" s="363">
        <f t="shared" si="43"/>
        <v>0</v>
      </c>
      <c r="H453" s="338"/>
      <c r="I453" s="189">
        <f t="shared" si="44"/>
        <v>0</v>
      </c>
      <c r="O453" s="98"/>
    </row>
    <row r="454" spans="1:15" s="1" customFormat="1" ht="15.75" thickBot="1" x14ac:dyDescent="0.3">
      <c r="A454" s="253" t="s">
        <v>320</v>
      </c>
      <c r="B454" s="969"/>
      <c r="C454" s="967"/>
      <c r="D454" s="970"/>
      <c r="E454" s="333">
        <v>56</v>
      </c>
      <c r="F454" s="337"/>
      <c r="G454" s="363">
        <f t="shared" si="43"/>
        <v>0</v>
      </c>
      <c r="H454" s="338"/>
      <c r="I454" s="189">
        <f t="shared" si="44"/>
        <v>0</v>
      </c>
      <c r="O454" s="98"/>
    </row>
    <row r="455" spans="1:15" s="1" customFormat="1" ht="15.75" thickBot="1" x14ac:dyDescent="0.3">
      <c r="A455" s="253" t="s">
        <v>321</v>
      </c>
      <c r="B455" s="969"/>
      <c r="C455" s="967"/>
      <c r="D455" s="970"/>
      <c r="E455" s="333">
        <v>56</v>
      </c>
      <c r="F455" s="337"/>
      <c r="G455" s="363">
        <f t="shared" si="43"/>
        <v>0</v>
      </c>
      <c r="H455" s="338"/>
      <c r="I455" s="189">
        <f t="shared" si="44"/>
        <v>0</v>
      </c>
      <c r="O455" s="98"/>
    </row>
    <row r="456" spans="1:15" s="1" customFormat="1" ht="15.75" thickBot="1" x14ac:dyDescent="0.3">
      <c r="A456" s="253" t="s">
        <v>322</v>
      </c>
      <c r="B456" s="969"/>
      <c r="C456" s="967"/>
      <c r="D456" s="970"/>
      <c r="E456" s="333">
        <v>56</v>
      </c>
      <c r="F456" s="337"/>
      <c r="G456" s="363">
        <f t="shared" si="43"/>
        <v>0</v>
      </c>
      <c r="H456" s="338"/>
      <c r="I456" s="189">
        <f t="shared" si="44"/>
        <v>0</v>
      </c>
      <c r="O456" s="98"/>
    </row>
    <row r="457" spans="1:15" s="1" customFormat="1" ht="15.75" thickBot="1" x14ac:dyDescent="0.3">
      <c r="A457" s="281" t="s">
        <v>323</v>
      </c>
      <c r="B457" s="969"/>
      <c r="C457" s="967"/>
      <c r="D457" s="970"/>
      <c r="E457" s="364">
        <v>56</v>
      </c>
      <c r="F457" s="365"/>
      <c r="G457" s="366">
        <f t="shared" si="43"/>
        <v>0</v>
      </c>
      <c r="H457" s="324"/>
      <c r="I457" s="189">
        <f t="shared" si="44"/>
        <v>0</v>
      </c>
      <c r="O457" s="98"/>
    </row>
    <row r="458" spans="1:15" x14ac:dyDescent="0.25">
      <c r="A458" s="263"/>
      <c r="B458" s="66"/>
      <c r="C458" s="343"/>
      <c r="D458" s="263"/>
      <c r="E458" s="263"/>
      <c r="F458" s="263"/>
      <c r="G458" s="263"/>
      <c r="H458" s="263"/>
    </row>
    <row r="459" spans="1:15" ht="15.75" thickBot="1" x14ac:dyDescent="0.3">
      <c r="A459" s="263"/>
      <c r="B459" s="263"/>
      <c r="C459" s="263"/>
      <c r="D459" s="263"/>
      <c r="E459" s="263"/>
      <c r="F459" s="263"/>
      <c r="G459" s="263"/>
      <c r="H459" s="263"/>
    </row>
    <row r="460" spans="1:15" ht="38.25" x14ac:dyDescent="0.25">
      <c r="A460" s="265" t="s">
        <v>26</v>
      </c>
      <c r="B460" s="244" t="s">
        <v>389</v>
      </c>
      <c r="C460" s="332" t="s">
        <v>331</v>
      </c>
      <c r="D460" s="332" t="s">
        <v>332</v>
      </c>
      <c r="E460" s="332" t="s">
        <v>390</v>
      </c>
      <c r="F460" s="332" t="s">
        <v>391</v>
      </c>
      <c r="G460" s="332" t="s">
        <v>392</v>
      </c>
      <c r="H460" s="246" t="s">
        <v>367</v>
      </c>
    </row>
    <row r="461" spans="1:15" ht="15.75" thickBot="1" x14ac:dyDescent="0.3">
      <c r="A461" s="367" t="s">
        <v>311</v>
      </c>
      <c r="B461" s="969" t="s">
        <v>486</v>
      </c>
      <c r="C461" s="967" t="s">
        <v>487</v>
      </c>
      <c r="D461" s="970">
        <v>34</v>
      </c>
      <c r="E461" s="368">
        <v>50</v>
      </c>
      <c r="F461" s="360">
        <f>+GESTIÓN!AA14</f>
        <v>26.95</v>
      </c>
      <c r="G461" s="361">
        <f t="shared" ref="G461:G472" si="45">F461/E461</f>
        <v>0.53900000000000003</v>
      </c>
      <c r="H461" s="362"/>
      <c r="I461" s="189">
        <f t="shared" ref="I461:I472" si="46">LEN(H461)</f>
        <v>0</v>
      </c>
    </row>
    <row r="462" spans="1:15" ht="15.75" thickBot="1" x14ac:dyDescent="0.3">
      <c r="A462" s="310" t="s">
        <v>313</v>
      </c>
      <c r="B462" s="969"/>
      <c r="C462" s="967"/>
      <c r="D462" s="970"/>
      <c r="E462" s="349">
        <v>50</v>
      </c>
      <c r="F462" s="334"/>
      <c r="G462" s="369">
        <f t="shared" si="45"/>
        <v>0</v>
      </c>
      <c r="H462" s="335"/>
      <c r="I462" s="189">
        <f t="shared" si="46"/>
        <v>0</v>
      </c>
    </row>
    <row r="463" spans="1:15" ht="15.75" thickBot="1" x14ac:dyDescent="0.3">
      <c r="A463" s="310" t="s">
        <v>314</v>
      </c>
      <c r="B463" s="969"/>
      <c r="C463" s="967"/>
      <c r="D463" s="970"/>
      <c r="E463" s="349">
        <v>50</v>
      </c>
      <c r="F463" s="334"/>
      <c r="G463" s="369">
        <f t="shared" si="45"/>
        <v>0</v>
      </c>
      <c r="H463" s="335"/>
      <c r="I463" s="189">
        <f t="shared" si="46"/>
        <v>0</v>
      </c>
    </row>
    <row r="464" spans="1:15" ht="15.75" thickBot="1" x14ac:dyDescent="0.3">
      <c r="A464" s="310" t="s">
        <v>315</v>
      </c>
      <c r="B464" s="969"/>
      <c r="C464" s="967"/>
      <c r="D464" s="970"/>
      <c r="E464" s="349">
        <v>50</v>
      </c>
      <c r="F464" s="334"/>
      <c r="G464" s="369">
        <f t="shared" si="45"/>
        <v>0</v>
      </c>
      <c r="H464" s="335"/>
      <c r="I464" s="189">
        <f t="shared" si="46"/>
        <v>0</v>
      </c>
    </row>
    <row r="465" spans="1:15" ht="15.75" thickBot="1" x14ac:dyDescent="0.3">
      <c r="A465" s="310" t="s">
        <v>316</v>
      </c>
      <c r="B465" s="969"/>
      <c r="C465" s="967"/>
      <c r="D465" s="970"/>
      <c r="E465" s="349">
        <v>50</v>
      </c>
      <c r="F465" s="334"/>
      <c r="G465" s="369">
        <f t="shared" si="45"/>
        <v>0</v>
      </c>
      <c r="H465" s="335"/>
      <c r="I465" s="189">
        <f t="shared" si="46"/>
        <v>0</v>
      </c>
    </row>
    <row r="466" spans="1:15" ht="15.75" thickBot="1" x14ac:dyDescent="0.3">
      <c r="A466" s="310" t="s">
        <v>317</v>
      </c>
      <c r="B466" s="969"/>
      <c r="C466" s="967"/>
      <c r="D466" s="970"/>
      <c r="E466" s="349">
        <v>50</v>
      </c>
      <c r="F466" s="334"/>
      <c r="G466" s="369">
        <f t="shared" si="45"/>
        <v>0</v>
      </c>
      <c r="H466" s="335"/>
      <c r="I466" s="189">
        <f t="shared" si="46"/>
        <v>0</v>
      </c>
    </row>
    <row r="467" spans="1:15" ht="15.75" thickBot="1" x14ac:dyDescent="0.3">
      <c r="A467" s="310" t="s">
        <v>318</v>
      </c>
      <c r="B467" s="969"/>
      <c r="C467" s="967"/>
      <c r="D467" s="970"/>
      <c r="E467" s="349">
        <v>50</v>
      </c>
      <c r="F467" s="334"/>
      <c r="G467" s="369">
        <f t="shared" si="45"/>
        <v>0</v>
      </c>
      <c r="H467" s="335"/>
      <c r="I467" s="189">
        <f t="shared" si="46"/>
        <v>0</v>
      </c>
    </row>
    <row r="468" spans="1:15" ht="15.75" thickBot="1" x14ac:dyDescent="0.3">
      <c r="A468" s="248" t="s">
        <v>319</v>
      </c>
      <c r="B468" s="969"/>
      <c r="C468" s="967"/>
      <c r="D468" s="970"/>
      <c r="E468" s="349">
        <v>50</v>
      </c>
      <c r="F468" s="334"/>
      <c r="G468" s="369">
        <f t="shared" si="45"/>
        <v>0</v>
      </c>
      <c r="H468" s="335"/>
      <c r="I468" s="189">
        <f t="shared" si="46"/>
        <v>0</v>
      </c>
    </row>
    <row r="469" spans="1:15" s="1" customFormat="1" ht="15.75" thickBot="1" x14ac:dyDescent="0.3">
      <c r="A469" s="253" t="s">
        <v>320</v>
      </c>
      <c r="B469" s="969"/>
      <c r="C469" s="967"/>
      <c r="D469" s="970"/>
      <c r="E469" s="349">
        <v>50</v>
      </c>
      <c r="F469" s="337"/>
      <c r="G469" s="369">
        <f t="shared" si="45"/>
        <v>0</v>
      </c>
      <c r="H469" s="338"/>
      <c r="I469" s="189">
        <f t="shared" si="46"/>
        <v>0</v>
      </c>
      <c r="O469" s="98"/>
    </row>
    <row r="470" spans="1:15" s="1" customFormat="1" ht="15.75" thickBot="1" x14ac:dyDescent="0.3">
      <c r="A470" s="253" t="s">
        <v>321</v>
      </c>
      <c r="B470" s="969"/>
      <c r="C470" s="967"/>
      <c r="D470" s="970"/>
      <c r="E470" s="349">
        <v>50</v>
      </c>
      <c r="F470" s="337"/>
      <c r="G470" s="369">
        <f t="shared" si="45"/>
        <v>0</v>
      </c>
      <c r="H470" s="338"/>
      <c r="I470" s="189">
        <f t="shared" si="46"/>
        <v>0</v>
      </c>
      <c r="O470" s="98"/>
    </row>
    <row r="471" spans="1:15" s="1" customFormat="1" ht="15.75" thickBot="1" x14ac:dyDescent="0.3">
      <c r="A471" s="253" t="s">
        <v>322</v>
      </c>
      <c r="B471" s="969"/>
      <c r="C471" s="967"/>
      <c r="D471" s="970"/>
      <c r="E471" s="349">
        <v>50</v>
      </c>
      <c r="F471" s="337"/>
      <c r="G471" s="369">
        <f t="shared" si="45"/>
        <v>0</v>
      </c>
      <c r="H471" s="338"/>
      <c r="I471" s="189">
        <f t="shared" si="46"/>
        <v>0</v>
      </c>
      <c r="O471" s="98"/>
    </row>
    <row r="472" spans="1:15" s="1" customFormat="1" ht="15.75" thickBot="1" x14ac:dyDescent="0.3">
      <c r="A472" s="281" t="s">
        <v>323</v>
      </c>
      <c r="B472" s="969"/>
      <c r="C472" s="967"/>
      <c r="D472" s="970"/>
      <c r="E472" s="353">
        <v>50</v>
      </c>
      <c r="F472" s="365"/>
      <c r="G472" s="370">
        <f t="shared" si="45"/>
        <v>0</v>
      </c>
      <c r="H472" s="324"/>
      <c r="I472" s="189">
        <f t="shared" si="46"/>
        <v>0</v>
      </c>
      <c r="O472" s="98"/>
    </row>
    <row r="473" spans="1:15" x14ac:dyDescent="0.25">
      <c r="A473" s="263"/>
      <c r="B473" s="263"/>
      <c r="C473" s="263"/>
      <c r="D473" s="263"/>
      <c r="E473" s="263"/>
      <c r="F473" s="263"/>
      <c r="G473" s="263"/>
      <c r="H473" s="263"/>
    </row>
    <row r="474" spans="1:15" ht="15.75" thickBot="1" x14ac:dyDescent="0.3">
      <c r="A474" s="263"/>
      <c r="B474" s="263"/>
      <c r="C474" s="263"/>
      <c r="D474" s="263"/>
      <c r="E474" s="263"/>
      <c r="F474" s="263"/>
      <c r="G474" s="263"/>
      <c r="H474" s="263"/>
    </row>
    <row r="475" spans="1:15" ht="38.25" x14ac:dyDescent="0.25">
      <c r="A475" s="265" t="s">
        <v>26</v>
      </c>
      <c r="B475" s="244" t="s">
        <v>389</v>
      </c>
      <c r="C475" s="332" t="s">
        <v>331</v>
      </c>
      <c r="D475" s="332" t="s">
        <v>332</v>
      </c>
      <c r="E475" s="332" t="s">
        <v>390</v>
      </c>
      <c r="F475" s="332" t="s">
        <v>391</v>
      </c>
      <c r="G475" s="332" t="s">
        <v>392</v>
      </c>
      <c r="H475" s="246" t="s">
        <v>367</v>
      </c>
    </row>
    <row r="476" spans="1:15" ht="15.75" thickBot="1" x14ac:dyDescent="0.3">
      <c r="A476" s="367" t="s">
        <v>311</v>
      </c>
      <c r="B476" s="966"/>
      <c r="C476" s="967" t="s">
        <v>487</v>
      </c>
      <c r="D476" s="968"/>
      <c r="E476" s="368">
        <v>590</v>
      </c>
      <c r="F476" s="360" t="e">
        <f>+GESTIÓN!#REF!</f>
        <v>#REF!</v>
      </c>
      <c r="G476" s="361" t="e">
        <f t="shared" ref="G476:G487" si="47">F476/E476</f>
        <v>#REF!</v>
      </c>
      <c r="H476" s="362"/>
      <c r="I476" s="189">
        <f t="shared" ref="I476:I487" si="48">LEN(H476)</f>
        <v>0</v>
      </c>
    </row>
    <row r="477" spans="1:15" ht="15.75" thickBot="1" x14ac:dyDescent="0.3">
      <c r="A477" s="310" t="s">
        <v>313</v>
      </c>
      <c r="B477" s="966"/>
      <c r="C477" s="967"/>
      <c r="D477" s="968"/>
      <c r="E477" s="349">
        <v>590</v>
      </c>
      <c r="F477" s="334"/>
      <c r="G477" s="363">
        <f t="shared" si="47"/>
        <v>0</v>
      </c>
      <c r="H477" s="335"/>
      <c r="I477" s="189">
        <f t="shared" si="48"/>
        <v>0</v>
      </c>
    </row>
    <row r="478" spans="1:15" ht="15.75" thickBot="1" x14ac:dyDescent="0.3">
      <c r="A478" s="310" t="s">
        <v>314</v>
      </c>
      <c r="B478" s="966"/>
      <c r="C478" s="967"/>
      <c r="D478" s="968"/>
      <c r="E478" s="349">
        <v>590</v>
      </c>
      <c r="F478" s="334"/>
      <c r="G478" s="363">
        <f t="shared" si="47"/>
        <v>0</v>
      </c>
      <c r="H478" s="335"/>
      <c r="I478" s="189">
        <f t="shared" si="48"/>
        <v>0</v>
      </c>
    </row>
    <row r="479" spans="1:15" ht="15.75" thickBot="1" x14ac:dyDescent="0.3">
      <c r="A479" s="310" t="s">
        <v>315</v>
      </c>
      <c r="B479" s="966"/>
      <c r="C479" s="967"/>
      <c r="D479" s="968"/>
      <c r="E479" s="349">
        <v>590</v>
      </c>
      <c r="F479" s="334"/>
      <c r="G479" s="363">
        <f t="shared" si="47"/>
        <v>0</v>
      </c>
      <c r="H479" s="335"/>
      <c r="I479" s="189">
        <f t="shared" si="48"/>
        <v>0</v>
      </c>
    </row>
    <row r="480" spans="1:15" ht="15.75" thickBot="1" x14ac:dyDescent="0.3">
      <c r="A480" s="310" t="s">
        <v>316</v>
      </c>
      <c r="B480" s="966"/>
      <c r="C480" s="967"/>
      <c r="D480" s="968"/>
      <c r="E480" s="349">
        <v>590</v>
      </c>
      <c r="F480" s="334"/>
      <c r="G480" s="363">
        <f t="shared" si="47"/>
        <v>0</v>
      </c>
      <c r="H480" s="335"/>
      <c r="I480" s="189">
        <f t="shared" si="48"/>
        <v>0</v>
      </c>
    </row>
    <row r="481" spans="1:15" ht="15.75" thickBot="1" x14ac:dyDescent="0.3">
      <c r="A481" s="310" t="s">
        <v>317</v>
      </c>
      <c r="B481" s="966"/>
      <c r="C481" s="967"/>
      <c r="D481" s="968"/>
      <c r="E481" s="349">
        <v>590</v>
      </c>
      <c r="F481" s="334"/>
      <c r="G481" s="363">
        <f t="shared" si="47"/>
        <v>0</v>
      </c>
      <c r="H481" s="335"/>
      <c r="I481" s="189">
        <f t="shared" si="48"/>
        <v>0</v>
      </c>
    </row>
    <row r="482" spans="1:15" ht="15.75" thickBot="1" x14ac:dyDescent="0.3">
      <c r="A482" s="310" t="s">
        <v>318</v>
      </c>
      <c r="B482" s="966"/>
      <c r="C482" s="967"/>
      <c r="D482" s="968"/>
      <c r="E482" s="349">
        <v>590</v>
      </c>
      <c r="F482" s="334"/>
      <c r="G482" s="363">
        <f t="shared" si="47"/>
        <v>0</v>
      </c>
      <c r="H482" s="335"/>
      <c r="I482" s="189">
        <f t="shared" si="48"/>
        <v>0</v>
      </c>
    </row>
    <row r="483" spans="1:15" ht="15.75" thickBot="1" x14ac:dyDescent="0.3">
      <c r="A483" s="248" t="s">
        <v>319</v>
      </c>
      <c r="B483" s="966"/>
      <c r="C483" s="967"/>
      <c r="D483" s="968"/>
      <c r="E483" s="349">
        <v>590</v>
      </c>
      <c r="F483" s="334"/>
      <c r="G483" s="363">
        <f t="shared" si="47"/>
        <v>0</v>
      </c>
      <c r="H483" s="335"/>
      <c r="I483" s="189">
        <f t="shared" si="48"/>
        <v>0</v>
      </c>
    </row>
    <row r="484" spans="1:15" s="1" customFormat="1" ht="15.75" thickBot="1" x14ac:dyDescent="0.3">
      <c r="A484" s="253" t="s">
        <v>320</v>
      </c>
      <c r="B484" s="966"/>
      <c r="C484" s="967"/>
      <c r="D484" s="968"/>
      <c r="E484" s="349">
        <v>590</v>
      </c>
      <c r="F484" s="337"/>
      <c r="G484" s="363">
        <f t="shared" si="47"/>
        <v>0</v>
      </c>
      <c r="H484" s="338"/>
      <c r="I484" s="189">
        <f t="shared" si="48"/>
        <v>0</v>
      </c>
      <c r="O484" s="98"/>
    </row>
    <row r="485" spans="1:15" s="1" customFormat="1" ht="15.75" thickBot="1" x14ac:dyDescent="0.3">
      <c r="A485" s="253" t="s">
        <v>321</v>
      </c>
      <c r="B485" s="966"/>
      <c r="C485" s="967"/>
      <c r="D485" s="968"/>
      <c r="E485" s="349">
        <v>590</v>
      </c>
      <c r="F485" s="337"/>
      <c r="G485" s="363">
        <f t="shared" si="47"/>
        <v>0</v>
      </c>
      <c r="H485" s="338"/>
      <c r="I485" s="189">
        <f t="shared" si="48"/>
        <v>0</v>
      </c>
      <c r="O485" s="98"/>
    </row>
    <row r="486" spans="1:15" s="1" customFormat="1" ht="15.75" thickBot="1" x14ac:dyDescent="0.3">
      <c r="A486" s="253" t="s">
        <v>322</v>
      </c>
      <c r="B486" s="966"/>
      <c r="C486" s="967"/>
      <c r="D486" s="968"/>
      <c r="E486" s="349">
        <v>590</v>
      </c>
      <c r="F486" s="351"/>
      <c r="G486" s="363">
        <f t="shared" si="47"/>
        <v>0</v>
      </c>
      <c r="H486" s="338"/>
      <c r="I486" s="189">
        <f t="shared" si="48"/>
        <v>0</v>
      </c>
      <c r="O486" s="98"/>
    </row>
    <row r="487" spans="1:15" s="1" customFormat="1" ht="15.75" thickBot="1" x14ac:dyDescent="0.3">
      <c r="A487" s="281" t="s">
        <v>323</v>
      </c>
      <c r="B487" s="966"/>
      <c r="C487" s="967"/>
      <c r="D487" s="968"/>
      <c r="E487" s="353">
        <v>590</v>
      </c>
      <c r="F487" s="365"/>
      <c r="G487" s="366">
        <f t="shared" si="47"/>
        <v>0</v>
      </c>
      <c r="H487" s="324"/>
      <c r="I487" s="189">
        <f t="shared" si="48"/>
        <v>0</v>
      </c>
      <c r="O487" s="98"/>
    </row>
    <row r="488" spans="1:15" x14ac:dyDescent="0.25">
      <c r="A488" s="263"/>
      <c r="B488" s="263"/>
      <c r="C488" s="263"/>
      <c r="D488" s="263"/>
      <c r="E488" s="263"/>
      <c r="F488" s="263"/>
      <c r="G488" s="263"/>
      <c r="H488" s="263"/>
    </row>
    <row r="489" spans="1:15" ht="15.75" thickBot="1" x14ac:dyDescent="0.3">
      <c r="A489" s="263"/>
      <c r="B489" s="263"/>
      <c r="C489" s="263"/>
      <c r="D489" s="263"/>
      <c r="E489" s="263"/>
      <c r="F489" s="263"/>
      <c r="G489" s="263"/>
      <c r="H489" s="263"/>
    </row>
    <row r="490" spans="1:15" ht="38.25" x14ac:dyDescent="0.25">
      <c r="A490" s="265" t="s">
        <v>26</v>
      </c>
      <c r="B490" s="244" t="s">
        <v>389</v>
      </c>
      <c r="C490" s="332" t="s">
        <v>331</v>
      </c>
      <c r="D490" s="332" t="s">
        <v>332</v>
      </c>
      <c r="E490" s="332" t="s">
        <v>390</v>
      </c>
      <c r="F490" s="332" t="s">
        <v>391</v>
      </c>
      <c r="G490" s="332" t="s">
        <v>392</v>
      </c>
      <c r="H490" s="246" t="s">
        <v>367</v>
      </c>
    </row>
    <row r="491" spans="1:15" ht="15.75" thickBot="1" x14ac:dyDescent="0.3">
      <c r="A491" s="367" t="s">
        <v>311</v>
      </c>
      <c r="B491" s="969" t="s">
        <v>488</v>
      </c>
      <c r="C491" s="967" t="s">
        <v>489</v>
      </c>
      <c r="D491" s="970">
        <v>33</v>
      </c>
      <c r="E491" s="368">
        <v>0.73</v>
      </c>
      <c r="F491" s="360" t="e">
        <f>+GESTIÓN!#REF!</f>
        <v>#REF!</v>
      </c>
      <c r="G491" s="361" t="e">
        <f t="shared" ref="G491:G502" si="49">F491/E491</f>
        <v>#REF!</v>
      </c>
      <c r="H491" s="362"/>
      <c r="I491" s="189">
        <f t="shared" ref="I491:I502" si="50">LEN(H491)</f>
        <v>0</v>
      </c>
    </row>
    <row r="492" spans="1:15" ht="15.75" thickBot="1" x14ac:dyDescent="0.3">
      <c r="A492" s="310" t="s">
        <v>313</v>
      </c>
      <c r="B492" s="969"/>
      <c r="C492" s="967"/>
      <c r="D492" s="970"/>
      <c r="E492" s="349">
        <v>0.73</v>
      </c>
      <c r="F492" s="334"/>
      <c r="G492" s="369">
        <f t="shared" si="49"/>
        <v>0</v>
      </c>
      <c r="H492" s="335"/>
      <c r="I492" s="189">
        <f t="shared" si="50"/>
        <v>0</v>
      </c>
    </row>
    <row r="493" spans="1:15" ht="15.75" thickBot="1" x14ac:dyDescent="0.3">
      <c r="A493" s="310" t="s">
        <v>314</v>
      </c>
      <c r="B493" s="969"/>
      <c r="C493" s="967"/>
      <c r="D493" s="970"/>
      <c r="E493" s="349">
        <v>0.73</v>
      </c>
      <c r="F493" s="334"/>
      <c r="G493" s="369">
        <f t="shared" si="49"/>
        <v>0</v>
      </c>
      <c r="H493" s="335"/>
      <c r="I493" s="189">
        <f t="shared" si="50"/>
        <v>0</v>
      </c>
    </row>
    <row r="494" spans="1:15" ht="15.75" thickBot="1" x14ac:dyDescent="0.3">
      <c r="A494" s="310" t="s">
        <v>315</v>
      </c>
      <c r="B494" s="969"/>
      <c r="C494" s="967"/>
      <c r="D494" s="970"/>
      <c r="E494" s="349">
        <v>0.73</v>
      </c>
      <c r="F494" s="334"/>
      <c r="G494" s="369">
        <f t="shared" si="49"/>
        <v>0</v>
      </c>
      <c r="H494" s="335"/>
      <c r="I494" s="189">
        <f t="shared" si="50"/>
        <v>0</v>
      </c>
    </row>
    <row r="495" spans="1:15" ht="15.75" thickBot="1" x14ac:dyDescent="0.3">
      <c r="A495" s="310" t="s">
        <v>316</v>
      </c>
      <c r="B495" s="969"/>
      <c r="C495" s="967"/>
      <c r="D495" s="970"/>
      <c r="E495" s="349">
        <v>0.73</v>
      </c>
      <c r="F495" s="334"/>
      <c r="G495" s="369">
        <f t="shared" si="49"/>
        <v>0</v>
      </c>
      <c r="H495" s="335"/>
      <c r="I495" s="189">
        <f t="shared" si="50"/>
        <v>0</v>
      </c>
    </row>
    <row r="496" spans="1:15" ht="15.75" thickBot="1" x14ac:dyDescent="0.3">
      <c r="A496" s="310" t="s">
        <v>317</v>
      </c>
      <c r="B496" s="969"/>
      <c r="C496" s="967"/>
      <c r="D496" s="970"/>
      <c r="E496" s="349">
        <v>0.73</v>
      </c>
      <c r="F496" s="334"/>
      <c r="G496" s="369">
        <f t="shared" si="49"/>
        <v>0</v>
      </c>
      <c r="H496" s="335"/>
      <c r="I496" s="189">
        <f t="shared" si="50"/>
        <v>0</v>
      </c>
    </row>
    <row r="497" spans="1:15" ht="15.75" thickBot="1" x14ac:dyDescent="0.3">
      <c r="A497" s="310" t="s">
        <v>318</v>
      </c>
      <c r="B497" s="969"/>
      <c r="C497" s="967"/>
      <c r="D497" s="970"/>
      <c r="E497" s="349">
        <v>0.73</v>
      </c>
      <c r="F497" s="334"/>
      <c r="G497" s="369">
        <f t="shared" si="49"/>
        <v>0</v>
      </c>
      <c r="H497" s="335"/>
      <c r="I497" s="189">
        <f t="shared" si="50"/>
        <v>0</v>
      </c>
    </row>
    <row r="498" spans="1:15" ht="15.75" thickBot="1" x14ac:dyDescent="0.3">
      <c r="A498" s="248" t="s">
        <v>319</v>
      </c>
      <c r="B498" s="969"/>
      <c r="C498" s="967"/>
      <c r="D498" s="970"/>
      <c r="E498" s="349">
        <v>0.73</v>
      </c>
      <c r="F498" s="334"/>
      <c r="G498" s="369">
        <f t="shared" si="49"/>
        <v>0</v>
      </c>
      <c r="H498" s="335"/>
      <c r="I498" s="189">
        <f t="shared" si="50"/>
        <v>0</v>
      </c>
    </row>
    <row r="499" spans="1:15" s="1" customFormat="1" ht="15.75" thickBot="1" x14ac:dyDescent="0.3">
      <c r="A499" s="253" t="s">
        <v>320</v>
      </c>
      <c r="B499" s="969"/>
      <c r="C499" s="967"/>
      <c r="D499" s="970"/>
      <c r="E499" s="349">
        <v>0.73</v>
      </c>
      <c r="F499" s="337"/>
      <c r="G499" s="369">
        <f t="shared" si="49"/>
        <v>0</v>
      </c>
      <c r="H499" s="338"/>
      <c r="I499" s="189">
        <f t="shared" si="50"/>
        <v>0</v>
      </c>
      <c r="O499" s="98"/>
    </row>
    <row r="500" spans="1:15" s="1" customFormat="1" ht="15.75" thickBot="1" x14ac:dyDescent="0.3">
      <c r="A500" s="253" t="s">
        <v>321</v>
      </c>
      <c r="B500" s="969"/>
      <c r="C500" s="967"/>
      <c r="D500" s="970"/>
      <c r="E500" s="349">
        <v>0.73</v>
      </c>
      <c r="F500" s="337"/>
      <c r="G500" s="369">
        <f t="shared" si="49"/>
        <v>0</v>
      </c>
      <c r="H500" s="338"/>
      <c r="I500" s="189">
        <f t="shared" si="50"/>
        <v>0</v>
      </c>
      <c r="O500" s="98"/>
    </row>
    <row r="501" spans="1:15" s="1" customFormat="1" ht="15.75" thickBot="1" x14ac:dyDescent="0.3">
      <c r="A501" s="253" t="s">
        <v>322</v>
      </c>
      <c r="B501" s="969"/>
      <c r="C501" s="967"/>
      <c r="D501" s="970"/>
      <c r="E501" s="349">
        <v>0.73</v>
      </c>
      <c r="F501" s="351"/>
      <c r="G501" s="369">
        <f t="shared" si="49"/>
        <v>0</v>
      </c>
      <c r="H501" s="338"/>
      <c r="I501" s="189">
        <f t="shared" si="50"/>
        <v>0</v>
      </c>
      <c r="O501" s="98"/>
    </row>
    <row r="502" spans="1:15" s="1" customFormat="1" ht="15.75" thickBot="1" x14ac:dyDescent="0.3">
      <c r="A502" s="281" t="s">
        <v>323</v>
      </c>
      <c r="B502" s="969"/>
      <c r="C502" s="967"/>
      <c r="D502" s="970"/>
      <c r="E502" s="353">
        <v>0.73</v>
      </c>
      <c r="F502" s="365"/>
      <c r="G502" s="370">
        <f t="shared" si="49"/>
        <v>0</v>
      </c>
      <c r="H502" s="324"/>
      <c r="I502" s="189">
        <f t="shared" si="50"/>
        <v>0</v>
      </c>
      <c r="O502" s="98"/>
    </row>
    <row r="503" spans="1:15" s="1" customFormat="1" x14ac:dyDescent="0.25">
      <c r="A503" s="272"/>
      <c r="B503" s="66"/>
      <c r="C503" s="66"/>
      <c r="D503" s="356"/>
      <c r="E503" s="357"/>
      <c r="F503" s="272"/>
      <c r="G503" s="358"/>
      <c r="H503" s="272"/>
      <c r="I503" s="98"/>
      <c r="O503" s="98"/>
    </row>
    <row r="505" spans="1:15" ht="20.25" hidden="1" x14ac:dyDescent="0.3">
      <c r="A505" s="964" t="s">
        <v>395</v>
      </c>
      <c r="B505" s="964"/>
      <c r="C505" s="964"/>
      <c r="D505" s="964"/>
      <c r="E505" s="964"/>
      <c r="F505" s="964"/>
      <c r="G505" s="964"/>
      <c r="H505" s="964"/>
    </row>
    <row r="506" spans="1:15" ht="38.25" hidden="1" x14ac:dyDescent="0.25">
      <c r="A506" s="191" t="s">
        <v>27</v>
      </c>
      <c r="B506" s="192" t="s">
        <v>389</v>
      </c>
      <c r="C506" s="212" t="s">
        <v>331</v>
      </c>
      <c r="D506" s="212" t="s">
        <v>349</v>
      </c>
      <c r="E506" s="212" t="s">
        <v>396</v>
      </c>
      <c r="F506" s="212" t="s">
        <v>397</v>
      </c>
      <c r="G506" s="212" t="s">
        <v>398</v>
      </c>
      <c r="H506" s="193" t="s">
        <v>367</v>
      </c>
    </row>
    <row r="507" spans="1:15" hidden="1" x14ac:dyDescent="0.25">
      <c r="A507" s="196" t="s">
        <v>311</v>
      </c>
      <c r="B507" s="185"/>
      <c r="C507" s="185"/>
      <c r="D507" s="185"/>
      <c r="E507" s="185"/>
      <c r="F507" s="185"/>
      <c r="G507" s="185" t="e">
        <f t="shared" ref="G507:G518" si="51">F507/E507</f>
        <v>#DIV/0!</v>
      </c>
      <c r="H507" s="197"/>
    </row>
    <row r="508" spans="1:15" hidden="1" x14ac:dyDescent="0.25">
      <c r="A508" s="196" t="s">
        <v>313</v>
      </c>
      <c r="B508" s="185"/>
      <c r="C508" s="185"/>
      <c r="D508" s="185"/>
      <c r="E508" s="185"/>
      <c r="F508" s="185"/>
      <c r="G508" s="185" t="e">
        <f t="shared" si="51"/>
        <v>#DIV/0!</v>
      </c>
      <c r="H508" s="197"/>
    </row>
    <row r="509" spans="1:15" hidden="1" x14ac:dyDescent="0.25">
      <c r="A509" s="196" t="s">
        <v>314</v>
      </c>
      <c r="B509" s="185"/>
      <c r="C509" s="185"/>
      <c r="D509" s="185"/>
      <c r="E509" s="185"/>
      <c r="F509" s="185"/>
      <c r="G509" s="185" t="e">
        <f t="shared" si="51"/>
        <v>#DIV/0!</v>
      </c>
      <c r="H509" s="197"/>
    </row>
    <row r="510" spans="1:15" hidden="1" x14ac:dyDescent="0.25">
      <c r="A510" s="196" t="s">
        <v>315</v>
      </c>
      <c r="B510" s="185"/>
      <c r="C510" s="185"/>
      <c r="D510" s="185"/>
      <c r="E510" s="185"/>
      <c r="F510" s="185"/>
      <c r="G510" s="185" t="e">
        <f t="shared" si="51"/>
        <v>#DIV/0!</v>
      </c>
      <c r="H510" s="197"/>
    </row>
    <row r="511" spans="1:15" hidden="1" x14ac:dyDescent="0.25">
      <c r="A511" s="196" t="s">
        <v>316</v>
      </c>
      <c r="B511" s="185"/>
      <c r="C511" s="185"/>
      <c r="D511" s="185"/>
      <c r="E511" s="185"/>
      <c r="F511" s="185"/>
      <c r="G511" s="185" t="e">
        <f t="shared" si="51"/>
        <v>#DIV/0!</v>
      </c>
      <c r="H511" s="197"/>
    </row>
    <row r="512" spans="1:15" hidden="1" x14ac:dyDescent="0.25">
      <c r="A512" s="196" t="s">
        <v>317</v>
      </c>
      <c r="B512" s="185"/>
      <c r="C512" s="185"/>
      <c r="D512" s="185"/>
      <c r="E512" s="185"/>
      <c r="F512" s="185"/>
      <c r="G512" s="185" t="e">
        <f t="shared" si="51"/>
        <v>#DIV/0!</v>
      </c>
      <c r="H512" s="197"/>
    </row>
    <row r="513" spans="1:8" hidden="1" x14ac:dyDescent="0.25">
      <c r="A513" s="196" t="s">
        <v>318</v>
      </c>
      <c r="B513" s="185"/>
      <c r="C513" s="185"/>
      <c r="D513" s="185"/>
      <c r="E513" s="185"/>
      <c r="F513" s="185"/>
      <c r="G513" s="185" t="e">
        <f t="shared" si="51"/>
        <v>#DIV/0!</v>
      </c>
      <c r="H513" s="197"/>
    </row>
    <row r="514" spans="1:8" hidden="1" x14ac:dyDescent="0.25">
      <c r="A514" s="196" t="s">
        <v>319</v>
      </c>
      <c r="B514" s="185"/>
      <c r="C514" s="185"/>
      <c r="D514" s="185"/>
      <c r="E514" s="185"/>
      <c r="F514" s="185"/>
      <c r="G514" s="185" t="e">
        <f t="shared" si="51"/>
        <v>#DIV/0!</v>
      </c>
      <c r="H514" s="197"/>
    </row>
    <row r="515" spans="1:8" hidden="1" x14ac:dyDescent="0.25">
      <c r="A515" s="196" t="s">
        <v>320</v>
      </c>
      <c r="B515" s="185"/>
      <c r="C515" s="185"/>
      <c r="D515" s="185"/>
      <c r="E515" s="185"/>
      <c r="F515" s="185"/>
      <c r="G515" s="185" t="e">
        <f t="shared" si="51"/>
        <v>#DIV/0!</v>
      </c>
      <c r="H515" s="197"/>
    </row>
    <row r="516" spans="1:8" hidden="1" x14ac:dyDescent="0.25">
      <c r="A516" s="196" t="s">
        <v>321</v>
      </c>
      <c r="B516" s="185"/>
      <c r="C516" s="185"/>
      <c r="D516" s="185"/>
      <c r="E516" s="185"/>
      <c r="F516" s="185"/>
      <c r="G516" s="185" t="e">
        <f t="shared" si="51"/>
        <v>#DIV/0!</v>
      </c>
      <c r="H516" s="197"/>
    </row>
    <row r="517" spans="1:8" hidden="1" x14ac:dyDescent="0.25">
      <c r="A517" s="196" t="s">
        <v>322</v>
      </c>
      <c r="B517" s="185"/>
      <c r="C517" s="185"/>
      <c r="D517" s="185"/>
      <c r="E517" s="185"/>
      <c r="F517" s="185"/>
      <c r="G517" s="185" t="e">
        <f t="shared" si="51"/>
        <v>#DIV/0!</v>
      </c>
      <c r="H517" s="197"/>
    </row>
    <row r="518" spans="1:8" ht="15.75" hidden="1" thickBot="1" x14ac:dyDescent="0.3">
      <c r="A518" s="198" t="s">
        <v>323</v>
      </c>
      <c r="B518" s="199"/>
      <c r="C518" s="199"/>
      <c r="D518" s="199"/>
      <c r="E518" s="199"/>
      <c r="F518" s="199"/>
      <c r="G518" s="199" t="e">
        <f t="shared" si="51"/>
        <v>#DIV/0!</v>
      </c>
      <c r="H518" s="205"/>
    </row>
    <row r="520" spans="1:8" ht="20.25" hidden="1" x14ac:dyDescent="0.3">
      <c r="A520" s="964" t="s">
        <v>395</v>
      </c>
      <c r="B520" s="964"/>
      <c r="C520" s="964"/>
      <c r="D520" s="964"/>
      <c r="E520" s="964"/>
      <c r="F520" s="964"/>
      <c r="G520" s="964"/>
      <c r="H520" s="964"/>
    </row>
    <row r="521" spans="1:8" ht="38.25" hidden="1" x14ac:dyDescent="0.25">
      <c r="A521" s="191" t="s">
        <v>28</v>
      </c>
      <c r="B521" s="192" t="s">
        <v>389</v>
      </c>
      <c r="C521" s="212" t="s">
        <v>331</v>
      </c>
      <c r="D521" s="212" t="s">
        <v>354</v>
      </c>
      <c r="E521" s="212" t="s">
        <v>400</v>
      </c>
      <c r="F521" s="212" t="s">
        <v>401</v>
      </c>
      <c r="G521" s="212" t="s">
        <v>402</v>
      </c>
      <c r="H521" s="193" t="s">
        <v>367</v>
      </c>
    </row>
    <row r="522" spans="1:8" hidden="1" x14ac:dyDescent="0.25">
      <c r="A522" s="196" t="s">
        <v>311</v>
      </c>
      <c r="B522" s="185"/>
      <c r="C522" s="185"/>
      <c r="D522" s="185"/>
      <c r="E522" s="185"/>
      <c r="F522" s="185"/>
      <c r="G522" s="185" t="e">
        <f t="shared" ref="G522:G533" si="52">F522/E522</f>
        <v>#DIV/0!</v>
      </c>
      <c r="H522" s="197"/>
    </row>
    <row r="523" spans="1:8" hidden="1" x14ac:dyDescent="0.25">
      <c r="A523" s="196" t="s">
        <v>313</v>
      </c>
      <c r="B523" s="185"/>
      <c r="C523" s="185"/>
      <c r="D523" s="185"/>
      <c r="E523" s="185"/>
      <c r="F523" s="185"/>
      <c r="G523" s="185" t="e">
        <f t="shared" si="52"/>
        <v>#DIV/0!</v>
      </c>
      <c r="H523" s="197"/>
    </row>
    <row r="524" spans="1:8" hidden="1" x14ac:dyDescent="0.25">
      <c r="A524" s="196" t="s">
        <v>314</v>
      </c>
      <c r="B524" s="185"/>
      <c r="C524" s="185"/>
      <c r="D524" s="185"/>
      <c r="E524" s="185"/>
      <c r="F524" s="185"/>
      <c r="G524" s="185" t="e">
        <f t="shared" si="52"/>
        <v>#DIV/0!</v>
      </c>
      <c r="H524" s="197"/>
    </row>
    <row r="525" spans="1:8" hidden="1" x14ac:dyDescent="0.25">
      <c r="A525" s="196" t="s">
        <v>315</v>
      </c>
      <c r="B525" s="185"/>
      <c r="C525" s="185"/>
      <c r="D525" s="185"/>
      <c r="E525" s="185"/>
      <c r="F525" s="185"/>
      <c r="G525" s="185" t="e">
        <f t="shared" si="52"/>
        <v>#DIV/0!</v>
      </c>
      <c r="H525" s="197"/>
    </row>
    <row r="526" spans="1:8" hidden="1" x14ac:dyDescent="0.25">
      <c r="A526" s="196" t="s">
        <v>316</v>
      </c>
      <c r="B526" s="185"/>
      <c r="C526" s="185"/>
      <c r="D526" s="185"/>
      <c r="E526" s="185"/>
      <c r="F526" s="185"/>
      <c r="G526" s="185" t="e">
        <f t="shared" si="52"/>
        <v>#DIV/0!</v>
      </c>
      <c r="H526" s="197"/>
    </row>
    <row r="527" spans="1:8" hidden="1" x14ac:dyDescent="0.25">
      <c r="A527" s="196" t="s">
        <v>317</v>
      </c>
      <c r="B527" s="185"/>
      <c r="C527" s="185"/>
      <c r="D527" s="185"/>
      <c r="E527" s="185"/>
      <c r="F527" s="185"/>
      <c r="G527" s="185" t="e">
        <f t="shared" si="52"/>
        <v>#DIV/0!</v>
      </c>
      <c r="H527" s="197"/>
    </row>
    <row r="528" spans="1:8" hidden="1" x14ac:dyDescent="0.25">
      <c r="A528" s="196" t="s">
        <v>318</v>
      </c>
      <c r="B528" s="185"/>
      <c r="C528" s="185"/>
      <c r="D528" s="185"/>
      <c r="E528" s="185"/>
      <c r="F528" s="185"/>
      <c r="G528" s="185" t="e">
        <f t="shared" si="52"/>
        <v>#DIV/0!</v>
      </c>
      <c r="H528" s="197"/>
    </row>
    <row r="529" spans="1:8" hidden="1" x14ac:dyDescent="0.25">
      <c r="A529" s="196" t="s">
        <v>319</v>
      </c>
      <c r="B529" s="185"/>
      <c r="C529" s="185"/>
      <c r="D529" s="185"/>
      <c r="E529" s="185"/>
      <c r="F529" s="185"/>
      <c r="G529" s="185" t="e">
        <f t="shared" si="52"/>
        <v>#DIV/0!</v>
      </c>
      <c r="H529" s="197"/>
    </row>
    <row r="530" spans="1:8" hidden="1" x14ac:dyDescent="0.25">
      <c r="A530" s="196" t="s">
        <v>320</v>
      </c>
      <c r="B530" s="185"/>
      <c r="C530" s="185"/>
      <c r="D530" s="185"/>
      <c r="E530" s="185"/>
      <c r="F530" s="185"/>
      <c r="G530" s="185" t="e">
        <f t="shared" si="52"/>
        <v>#DIV/0!</v>
      </c>
      <c r="H530" s="197"/>
    </row>
    <row r="531" spans="1:8" hidden="1" x14ac:dyDescent="0.25">
      <c r="A531" s="196" t="s">
        <v>321</v>
      </c>
      <c r="B531" s="185"/>
      <c r="C531" s="185"/>
      <c r="D531" s="185"/>
      <c r="E531" s="185"/>
      <c r="F531" s="185"/>
      <c r="G531" s="185" t="e">
        <f t="shared" si="52"/>
        <v>#DIV/0!</v>
      </c>
      <c r="H531" s="197"/>
    </row>
    <row r="532" spans="1:8" hidden="1" x14ac:dyDescent="0.25">
      <c r="A532" s="196" t="s">
        <v>322</v>
      </c>
      <c r="B532" s="185"/>
      <c r="C532" s="185"/>
      <c r="D532" s="185"/>
      <c r="E532" s="185"/>
      <c r="F532" s="185"/>
      <c r="G532" s="185" t="e">
        <f t="shared" si="52"/>
        <v>#DIV/0!</v>
      </c>
      <c r="H532" s="197"/>
    </row>
    <row r="533" spans="1:8" ht="15.75" hidden="1" thickBot="1" x14ac:dyDescent="0.3">
      <c r="A533" s="198" t="s">
        <v>323</v>
      </c>
      <c r="B533" s="199"/>
      <c r="C533" s="199"/>
      <c r="D533" s="199"/>
      <c r="E533" s="199"/>
      <c r="F533" s="199"/>
      <c r="G533" s="199" t="e">
        <f t="shared" si="52"/>
        <v>#DIV/0!</v>
      </c>
      <c r="H533" s="205"/>
    </row>
    <row r="534" spans="1:8" ht="15.75" hidden="1" thickBot="1" x14ac:dyDescent="0.3"/>
    <row r="535" spans="1:8" ht="20.25" hidden="1" x14ac:dyDescent="0.3">
      <c r="A535" s="964" t="s">
        <v>399</v>
      </c>
      <c r="B535" s="964"/>
      <c r="C535" s="964"/>
      <c r="D535" s="964"/>
      <c r="E535" s="964"/>
      <c r="F535" s="964"/>
      <c r="G535" s="964"/>
      <c r="H535" s="964"/>
    </row>
    <row r="536" spans="1:8" ht="38.25" hidden="1" x14ac:dyDescent="0.25">
      <c r="A536" s="191" t="s">
        <v>28</v>
      </c>
      <c r="B536" s="192" t="s">
        <v>389</v>
      </c>
      <c r="C536" s="212" t="s">
        <v>331</v>
      </c>
      <c r="D536" s="212" t="s">
        <v>354</v>
      </c>
      <c r="E536" s="212" t="s">
        <v>400</v>
      </c>
      <c r="F536" s="212" t="s">
        <v>401</v>
      </c>
      <c r="G536" s="212" t="s">
        <v>402</v>
      </c>
      <c r="H536" s="193" t="s">
        <v>367</v>
      </c>
    </row>
    <row r="537" spans="1:8" hidden="1" x14ac:dyDescent="0.25">
      <c r="A537" s="196" t="s">
        <v>311</v>
      </c>
      <c r="B537" s="185"/>
      <c r="C537" s="185"/>
      <c r="D537" s="185"/>
      <c r="E537" s="185"/>
      <c r="F537" s="185"/>
      <c r="G537" s="185" t="e">
        <f t="shared" ref="G537:G548" si="53">F537/E537</f>
        <v>#DIV/0!</v>
      </c>
      <c r="H537" s="197"/>
    </row>
    <row r="538" spans="1:8" hidden="1" x14ac:dyDescent="0.25">
      <c r="A538" s="196" t="s">
        <v>313</v>
      </c>
      <c r="B538" s="185"/>
      <c r="C538" s="185"/>
      <c r="D538" s="185"/>
      <c r="E538" s="185"/>
      <c r="F538" s="185"/>
      <c r="G538" s="185" t="e">
        <f t="shared" si="53"/>
        <v>#DIV/0!</v>
      </c>
      <c r="H538" s="197"/>
    </row>
    <row r="539" spans="1:8" hidden="1" x14ac:dyDescent="0.25">
      <c r="A539" s="196" t="s">
        <v>314</v>
      </c>
      <c r="B539" s="185"/>
      <c r="C539" s="185"/>
      <c r="D539" s="185"/>
      <c r="E539" s="185"/>
      <c r="F539" s="185"/>
      <c r="G539" s="185" t="e">
        <f t="shared" si="53"/>
        <v>#DIV/0!</v>
      </c>
      <c r="H539" s="197"/>
    </row>
    <row r="540" spans="1:8" hidden="1" x14ac:dyDescent="0.25">
      <c r="A540" s="196" t="s">
        <v>315</v>
      </c>
      <c r="B540" s="185"/>
      <c r="C540" s="185"/>
      <c r="D540" s="185"/>
      <c r="E540" s="185"/>
      <c r="F540" s="185"/>
      <c r="G540" s="185" t="e">
        <f t="shared" si="53"/>
        <v>#DIV/0!</v>
      </c>
      <c r="H540" s="197"/>
    </row>
    <row r="541" spans="1:8" hidden="1" x14ac:dyDescent="0.25">
      <c r="A541" s="196" t="s">
        <v>316</v>
      </c>
      <c r="B541" s="185"/>
      <c r="C541" s="185"/>
      <c r="D541" s="185"/>
      <c r="E541" s="185"/>
      <c r="F541" s="185"/>
      <c r="G541" s="185" t="e">
        <f t="shared" si="53"/>
        <v>#DIV/0!</v>
      </c>
      <c r="H541" s="197"/>
    </row>
    <row r="542" spans="1:8" hidden="1" x14ac:dyDescent="0.25">
      <c r="A542" s="196" t="s">
        <v>317</v>
      </c>
      <c r="B542" s="185"/>
      <c r="C542" s="185"/>
      <c r="D542" s="185"/>
      <c r="E542" s="185"/>
      <c r="F542" s="185"/>
      <c r="G542" s="185" t="e">
        <f t="shared" si="53"/>
        <v>#DIV/0!</v>
      </c>
      <c r="H542" s="197"/>
    </row>
    <row r="543" spans="1:8" hidden="1" x14ac:dyDescent="0.25">
      <c r="A543" s="196" t="s">
        <v>318</v>
      </c>
      <c r="B543" s="185"/>
      <c r="C543" s="185"/>
      <c r="D543" s="185"/>
      <c r="E543" s="185"/>
      <c r="F543" s="185"/>
      <c r="G543" s="185" t="e">
        <f t="shared" si="53"/>
        <v>#DIV/0!</v>
      </c>
      <c r="H543" s="197"/>
    </row>
    <row r="544" spans="1:8" hidden="1" x14ac:dyDescent="0.25">
      <c r="A544" s="196" t="s">
        <v>319</v>
      </c>
      <c r="B544" s="185"/>
      <c r="C544" s="185"/>
      <c r="D544" s="185"/>
      <c r="E544" s="185"/>
      <c r="F544" s="185"/>
      <c r="G544" s="185" t="e">
        <f t="shared" si="53"/>
        <v>#DIV/0!</v>
      </c>
      <c r="H544" s="197"/>
    </row>
    <row r="545" spans="1:8" hidden="1" x14ac:dyDescent="0.25">
      <c r="A545" s="196" t="s">
        <v>320</v>
      </c>
      <c r="B545" s="185"/>
      <c r="C545" s="185"/>
      <c r="D545" s="185"/>
      <c r="E545" s="185"/>
      <c r="F545" s="185"/>
      <c r="G545" s="185" t="e">
        <f t="shared" si="53"/>
        <v>#DIV/0!</v>
      </c>
      <c r="H545" s="197"/>
    </row>
    <row r="546" spans="1:8" hidden="1" x14ac:dyDescent="0.25">
      <c r="A546" s="196" t="s">
        <v>321</v>
      </c>
      <c r="B546" s="185"/>
      <c r="C546" s="185"/>
      <c r="D546" s="185"/>
      <c r="E546" s="185"/>
      <c r="F546" s="185"/>
      <c r="G546" s="185" t="e">
        <f t="shared" si="53"/>
        <v>#DIV/0!</v>
      </c>
      <c r="H546" s="197"/>
    </row>
    <row r="547" spans="1:8" hidden="1" x14ac:dyDescent="0.25">
      <c r="A547" s="196" t="s">
        <v>322</v>
      </c>
      <c r="B547" s="185"/>
      <c r="C547" s="185"/>
      <c r="D547" s="185"/>
      <c r="E547" s="185"/>
      <c r="F547" s="185"/>
      <c r="G547" s="185" t="e">
        <f t="shared" si="53"/>
        <v>#DIV/0!</v>
      </c>
      <c r="H547" s="197"/>
    </row>
    <row r="548" spans="1:8" ht="15.75" hidden="1" thickBot="1" x14ac:dyDescent="0.3">
      <c r="A548" s="198" t="s">
        <v>323</v>
      </c>
      <c r="B548" s="199"/>
      <c r="C548" s="199"/>
      <c r="D548" s="199"/>
      <c r="E548" s="199"/>
      <c r="F548" s="199"/>
      <c r="G548" s="199" t="e">
        <f t="shared" si="53"/>
        <v>#DIV/0!</v>
      </c>
      <c r="H548" s="205"/>
    </row>
    <row r="549" spans="1:8" ht="15.75" hidden="1" thickBot="1" x14ac:dyDescent="0.3"/>
    <row r="550" spans="1:8" ht="20.25" hidden="1" x14ac:dyDescent="0.3">
      <c r="A550" s="964" t="s">
        <v>403</v>
      </c>
      <c r="B550" s="964"/>
      <c r="C550" s="964"/>
      <c r="D550" s="964"/>
      <c r="E550" s="964"/>
      <c r="F550" s="964"/>
      <c r="G550" s="964"/>
      <c r="H550" s="964"/>
    </row>
    <row r="551" spans="1:8" ht="63.75" hidden="1" customHeight="1" x14ac:dyDescent="0.25">
      <c r="A551" s="191" t="s">
        <v>29</v>
      </c>
      <c r="B551" s="192" t="s">
        <v>389</v>
      </c>
      <c r="C551" s="212" t="s">
        <v>331</v>
      </c>
      <c r="D551" s="212" t="s">
        <v>359</v>
      </c>
      <c r="E551" s="212" t="s">
        <v>404</v>
      </c>
      <c r="F551" s="212" t="s">
        <v>405</v>
      </c>
      <c r="G551" s="212" t="s">
        <v>406</v>
      </c>
      <c r="H551" s="193" t="s">
        <v>367</v>
      </c>
    </row>
    <row r="552" spans="1:8" hidden="1" x14ac:dyDescent="0.25">
      <c r="A552" s="196" t="s">
        <v>311</v>
      </c>
      <c r="B552" s="185"/>
      <c r="C552" s="185"/>
      <c r="D552" s="185"/>
      <c r="E552" s="185"/>
      <c r="F552" s="185"/>
      <c r="G552" s="185" t="e">
        <f t="shared" ref="G552:G563" si="54">F552/E552</f>
        <v>#DIV/0!</v>
      </c>
      <c r="H552" s="197"/>
    </row>
    <row r="553" spans="1:8" hidden="1" x14ac:dyDescent="0.25">
      <c r="A553" s="196" t="s">
        <v>313</v>
      </c>
      <c r="B553" s="185"/>
      <c r="C553" s="185"/>
      <c r="D553" s="185"/>
      <c r="E553" s="185"/>
      <c r="F553" s="185"/>
      <c r="G553" s="185" t="e">
        <f t="shared" si="54"/>
        <v>#DIV/0!</v>
      </c>
      <c r="H553" s="197"/>
    </row>
    <row r="554" spans="1:8" hidden="1" x14ac:dyDescent="0.25">
      <c r="A554" s="196" t="s">
        <v>314</v>
      </c>
      <c r="B554" s="185"/>
      <c r="C554" s="185"/>
      <c r="D554" s="185"/>
      <c r="E554" s="185"/>
      <c r="F554" s="185"/>
      <c r="G554" s="185" t="e">
        <f t="shared" si="54"/>
        <v>#DIV/0!</v>
      </c>
      <c r="H554" s="197"/>
    </row>
    <row r="555" spans="1:8" hidden="1" x14ac:dyDescent="0.25">
      <c r="A555" s="196" t="s">
        <v>315</v>
      </c>
      <c r="B555" s="185"/>
      <c r="C555" s="185"/>
      <c r="D555" s="185"/>
      <c r="E555" s="185"/>
      <c r="F555" s="185"/>
      <c r="G555" s="185" t="e">
        <f t="shared" si="54"/>
        <v>#DIV/0!</v>
      </c>
      <c r="H555" s="197"/>
    </row>
    <row r="556" spans="1:8" hidden="1" x14ac:dyDescent="0.25">
      <c r="A556" s="196" t="s">
        <v>316</v>
      </c>
      <c r="B556" s="185"/>
      <c r="C556" s="185"/>
      <c r="D556" s="185"/>
      <c r="E556" s="185"/>
      <c r="F556" s="185"/>
      <c r="G556" s="185" t="e">
        <f t="shared" si="54"/>
        <v>#DIV/0!</v>
      </c>
      <c r="H556" s="197"/>
    </row>
    <row r="557" spans="1:8" hidden="1" x14ac:dyDescent="0.25">
      <c r="A557" s="196" t="s">
        <v>317</v>
      </c>
      <c r="B557" s="185"/>
      <c r="C557" s="185"/>
      <c r="D557" s="185"/>
      <c r="E557" s="185"/>
      <c r="F557" s="185"/>
      <c r="G557" s="185" t="e">
        <f t="shared" si="54"/>
        <v>#DIV/0!</v>
      </c>
      <c r="H557" s="197"/>
    </row>
    <row r="558" spans="1:8" hidden="1" x14ac:dyDescent="0.25">
      <c r="A558" s="196" t="s">
        <v>318</v>
      </c>
      <c r="B558" s="185"/>
      <c r="C558" s="185"/>
      <c r="D558" s="185"/>
      <c r="E558" s="185"/>
      <c r="F558" s="185"/>
      <c r="G558" s="185" t="e">
        <f t="shared" si="54"/>
        <v>#DIV/0!</v>
      </c>
      <c r="H558" s="197"/>
    </row>
    <row r="559" spans="1:8" hidden="1" x14ac:dyDescent="0.25">
      <c r="A559" s="196" t="s">
        <v>319</v>
      </c>
      <c r="B559" s="185"/>
      <c r="C559" s="185"/>
      <c r="D559" s="185"/>
      <c r="E559" s="185"/>
      <c r="F559" s="185"/>
      <c r="G559" s="185" t="e">
        <f t="shared" si="54"/>
        <v>#DIV/0!</v>
      </c>
      <c r="H559" s="197"/>
    </row>
    <row r="560" spans="1:8" hidden="1" x14ac:dyDescent="0.25">
      <c r="A560" s="196" t="s">
        <v>320</v>
      </c>
      <c r="B560" s="185"/>
      <c r="C560" s="185"/>
      <c r="D560" s="185"/>
      <c r="E560" s="185"/>
      <c r="F560" s="185"/>
      <c r="G560" s="185" t="e">
        <f t="shared" si="54"/>
        <v>#DIV/0!</v>
      </c>
      <c r="H560" s="197"/>
    </row>
    <row r="561" spans="1:44" hidden="1" x14ac:dyDescent="0.25">
      <c r="A561" s="196" t="s">
        <v>321</v>
      </c>
      <c r="B561" s="185"/>
      <c r="C561" s="185"/>
      <c r="D561" s="185"/>
      <c r="E561" s="185"/>
      <c r="F561" s="185"/>
      <c r="G561" s="185" t="e">
        <f t="shared" si="54"/>
        <v>#DIV/0!</v>
      </c>
      <c r="H561" s="197"/>
    </row>
    <row r="562" spans="1:44" hidden="1" x14ac:dyDescent="0.25">
      <c r="A562" s="196" t="s">
        <v>322</v>
      </c>
      <c r="B562" s="185"/>
      <c r="C562" s="185"/>
      <c r="D562" s="185"/>
      <c r="E562" s="185"/>
      <c r="F562" s="185"/>
      <c r="G562" s="185" t="e">
        <f t="shared" si="54"/>
        <v>#DIV/0!</v>
      </c>
      <c r="H562" s="197"/>
    </row>
    <row r="563" spans="1:44" ht="15.75" hidden="1" thickBot="1" x14ac:dyDescent="0.3">
      <c r="A563" s="198" t="s">
        <v>323</v>
      </c>
      <c r="B563" s="199"/>
      <c r="C563" s="199"/>
      <c r="D563" s="199"/>
      <c r="E563" s="199"/>
      <c r="F563" s="199"/>
      <c r="G563" s="199" t="e">
        <f t="shared" si="54"/>
        <v>#DIV/0!</v>
      </c>
      <c r="H563" s="205"/>
    </row>
    <row r="564" spans="1:44" ht="26.25" customHeight="1" x14ac:dyDescent="0.25">
      <c r="A564" s="68" t="s">
        <v>98</v>
      </c>
      <c r="B564" s="2"/>
      <c r="C564" s="2"/>
      <c r="D564" s="2"/>
      <c r="E564" s="371"/>
      <c r="F564" s="371"/>
      <c r="G564" s="371"/>
      <c r="H564" s="371"/>
      <c r="I564" s="371"/>
      <c r="J564" s="371"/>
      <c r="K564" s="371"/>
      <c r="L564" s="371"/>
      <c r="M564" s="371"/>
      <c r="N564" s="371"/>
      <c r="O564" s="372"/>
      <c r="P564" s="371"/>
      <c r="Q564" s="371"/>
      <c r="R564" s="371"/>
      <c r="S564" s="371"/>
      <c r="T564" s="371"/>
      <c r="U564" s="371"/>
      <c r="V564" s="371"/>
      <c r="W564" s="371"/>
      <c r="X564" s="2"/>
      <c r="Y564" s="2"/>
      <c r="Z564" s="2"/>
      <c r="AA564" s="2"/>
      <c r="AB564" s="2"/>
      <c r="AC564" s="2"/>
      <c r="AD564" s="373"/>
      <c r="AE564" s="373"/>
      <c r="AF564" s="373"/>
      <c r="AG564" s="373"/>
      <c r="AH564" s="373"/>
      <c r="AI564" s="373"/>
      <c r="AJ564" s="374"/>
      <c r="AK564" s="374"/>
      <c r="AL564" s="375"/>
      <c r="AM564" s="375"/>
      <c r="AN564" s="375"/>
      <c r="AO564" s="375"/>
      <c r="AP564" s="375"/>
      <c r="AQ564" s="375"/>
      <c r="AR564" s="375"/>
    </row>
    <row r="565" spans="1:44" ht="26.25" customHeight="1" x14ac:dyDescent="0.25">
      <c r="A565" s="74" t="s">
        <v>99</v>
      </c>
      <c r="B565" s="812" t="s">
        <v>100</v>
      </c>
      <c r="C565" s="812"/>
      <c r="D565" s="812"/>
      <c r="E565" s="965" t="s">
        <v>101</v>
      </c>
      <c r="F565" s="965"/>
      <c r="G565" s="965"/>
      <c r="H565" s="965"/>
      <c r="I565" s="965"/>
      <c r="J565" s="965"/>
      <c r="K565" s="965"/>
      <c r="L565" s="965"/>
      <c r="M565" s="965"/>
      <c r="N565" s="965"/>
      <c r="O565" s="376"/>
      <c r="P565" s="2"/>
      <c r="Q565" s="2"/>
      <c r="R565" s="2"/>
      <c r="S565" s="2"/>
      <c r="T565" s="2"/>
      <c r="U565" s="2"/>
      <c r="V565" s="2"/>
      <c r="W565" s="2"/>
      <c r="X565" s="2"/>
      <c r="Y565" s="2"/>
      <c r="Z565" s="2"/>
      <c r="AA565" s="2"/>
      <c r="AB565" s="2"/>
      <c r="AC565" s="2"/>
      <c r="AD565" s="373"/>
      <c r="AE565" s="373"/>
      <c r="AF565" s="373"/>
      <c r="AG565" s="373"/>
      <c r="AH565" s="373"/>
      <c r="AI565" s="373"/>
      <c r="AJ565" s="374"/>
      <c r="AK565" s="374"/>
      <c r="AL565" s="373"/>
      <c r="AM565" s="373"/>
      <c r="AN565" s="373"/>
      <c r="AO565" s="373"/>
      <c r="AP565" s="373"/>
      <c r="AQ565" s="373"/>
      <c r="AR565" s="374"/>
    </row>
    <row r="566" spans="1:44" ht="43.5" customHeight="1" x14ac:dyDescent="0.25">
      <c r="A566" s="43">
        <v>12</v>
      </c>
      <c r="B566" s="832" t="s">
        <v>492</v>
      </c>
      <c r="C566" s="832"/>
      <c r="D566" s="832"/>
      <c r="E566" s="963" t="s">
        <v>493</v>
      </c>
      <c r="F566" s="963"/>
      <c r="G566" s="963"/>
      <c r="H566" s="963"/>
      <c r="I566" s="963"/>
      <c r="J566" s="963"/>
      <c r="K566" s="963"/>
      <c r="L566" s="963"/>
      <c r="M566" s="963"/>
      <c r="N566" s="963"/>
      <c r="O566" s="376"/>
      <c r="P566" s="2"/>
      <c r="Q566" s="2"/>
      <c r="R566" s="2"/>
      <c r="S566" s="2"/>
      <c r="T566" s="2"/>
      <c r="U566" s="2"/>
      <c r="V566" s="2"/>
      <c r="W566" s="2"/>
      <c r="X566" s="2"/>
      <c r="Y566" s="2"/>
      <c r="Z566" s="2"/>
      <c r="AA566" s="2"/>
      <c r="AB566" s="2"/>
      <c r="AC566" s="2"/>
      <c r="AD566" s="2"/>
      <c r="AE566" s="2"/>
      <c r="AF566" s="2"/>
      <c r="AG566" s="2"/>
      <c r="AH566" s="2"/>
      <c r="AI566" s="2"/>
      <c r="AJ566" s="3"/>
      <c r="AK566" s="3"/>
      <c r="AL566" s="2"/>
      <c r="AM566" s="2"/>
      <c r="AN566" s="2"/>
      <c r="AO566" s="2"/>
      <c r="AP566" s="2"/>
      <c r="AQ566" s="2"/>
      <c r="AR566" s="3"/>
    </row>
    <row r="567" spans="1:44" x14ac:dyDescent="0.25">
      <c r="A567" s="43">
        <v>13</v>
      </c>
      <c r="B567" s="832" t="s">
        <v>170</v>
      </c>
      <c r="C567" s="832"/>
      <c r="D567" s="832"/>
      <c r="E567" s="963" t="s">
        <v>103</v>
      </c>
      <c r="F567" s="963"/>
      <c r="G567" s="963"/>
      <c r="H567" s="963"/>
      <c r="I567" s="963"/>
      <c r="J567" s="963"/>
      <c r="K567" s="963"/>
      <c r="L567" s="963"/>
      <c r="M567" s="963"/>
      <c r="N567" s="963"/>
    </row>
  </sheetData>
  <mergeCells count="167">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24:A28"/>
    <mergeCell ref="E24:E28"/>
    <mergeCell ref="F24:F28"/>
    <mergeCell ref="G24:G28"/>
    <mergeCell ref="H24:H28"/>
    <mergeCell ref="A29:A33"/>
    <mergeCell ref="E29:E33"/>
    <mergeCell ref="F29:F33"/>
    <mergeCell ref="G29:G33"/>
    <mergeCell ref="H29:H33"/>
    <mergeCell ref="A42:A49"/>
    <mergeCell ref="E42:E49"/>
    <mergeCell ref="F42:F49"/>
    <mergeCell ref="G42:G49"/>
    <mergeCell ref="H42:H49"/>
    <mergeCell ref="A62:H62"/>
    <mergeCell ref="A34:A38"/>
    <mergeCell ref="E34:E38"/>
    <mergeCell ref="F34:F38"/>
    <mergeCell ref="G34:G38"/>
    <mergeCell ref="H34:H38"/>
    <mergeCell ref="A40:H40"/>
    <mergeCell ref="A77:H77"/>
    <mergeCell ref="A92:H92"/>
    <mergeCell ref="A107:N107"/>
    <mergeCell ref="B109:B114"/>
    <mergeCell ref="C109:C114"/>
    <mergeCell ref="D109:D114"/>
    <mergeCell ref="E109:E114"/>
    <mergeCell ref="F109:F114"/>
    <mergeCell ref="G109:G114"/>
    <mergeCell ref="B127:B132"/>
    <mergeCell ref="C127:C132"/>
    <mergeCell ref="D127:D132"/>
    <mergeCell ref="E127:E132"/>
    <mergeCell ref="F127:F132"/>
    <mergeCell ref="G127:G132"/>
    <mergeCell ref="B118:B123"/>
    <mergeCell ref="C118:C123"/>
    <mergeCell ref="D118:D123"/>
    <mergeCell ref="E118:E123"/>
    <mergeCell ref="F118:F123"/>
    <mergeCell ref="G118:G123"/>
    <mergeCell ref="A144:N144"/>
    <mergeCell ref="B146:B157"/>
    <mergeCell ref="C146:C157"/>
    <mergeCell ref="D146:D157"/>
    <mergeCell ref="E146:E157"/>
    <mergeCell ref="F146:F157"/>
    <mergeCell ref="G146:G157"/>
    <mergeCell ref="B136:B141"/>
    <mergeCell ref="C136:C141"/>
    <mergeCell ref="D136:D141"/>
    <mergeCell ref="E136:E141"/>
    <mergeCell ref="F136:F141"/>
    <mergeCell ref="G136:G141"/>
    <mergeCell ref="B176:B187"/>
    <mergeCell ref="C176:C187"/>
    <mergeCell ref="D176:D187"/>
    <mergeCell ref="E176:E187"/>
    <mergeCell ref="F176:F187"/>
    <mergeCell ref="G176:G187"/>
    <mergeCell ref="B161:B172"/>
    <mergeCell ref="C161:C172"/>
    <mergeCell ref="D161:D172"/>
    <mergeCell ref="E161:E172"/>
    <mergeCell ref="F161:F172"/>
    <mergeCell ref="G161:G172"/>
    <mergeCell ref="A208:N208"/>
    <mergeCell ref="A223:N223"/>
    <mergeCell ref="A238:N238"/>
    <mergeCell ref="A253:N253"/>
    <mergeCell ref="A269:G269"/>
    <mergeCell ref="B271:B276"/>
    <mergeCell ref="C271:C276"/>
    <mergeCell ref="D271:D276"/>
    <mergeCell ref="B191:B202"/>
    <mergeCell ref="C191:C202"/>
    <mergeCell ref="D191:D202"/>
    <mergeCell ref="E191:E202"/>
    <mergeCell ref="F191:F202"/>
    <mergeCell ref="G191:G202"/>
    <mergeCell ref="B298:B303"/>
    <mergeCell ref="C298:C303"/>
    <mergeCell ref="D298:D303"/>
    <mergeCell ref="A307:G307"/>
    <mergeCell ref="B309:B320"/>
    <mergeCell ref="C309:C320"/>
    <mergeCell ref="D309:D320"/>
    <mergeCell ref="B280:B285"/>
    <mergeCell ref="C280:C285"/>
    <mergeCell ref="D280:D285"/>
    <mergeCell ref="B289:B294"/>
    <mergeCell ref="C289:C294"/>
    <mergeCell ref="D289:D294"/>
    <mergeCell ref="B354:B365"/>
    <mergeCell ref="C354:C365"/>
    <mergeCell ref="D354:D365"/>
    <mergeCell ref="A377:G377"/>
    <mergeCell ref="A392:G392"/>
    <mergeCell ref="A407:H407"/>
    <mergeCell ref="B324:B335"/>
    <mergeCell ref="C324:C335"/>
    <mergeCell ref="D324:D335"/>
    <mergeCell ref="B339:B350"/>
    <mergeCell ref="C339:C350"/>
    <mergeCell ref="D339:D350"/>
    <mergeCell ref="B427:B432"/>
    <mergeCell ref="C427:C432"/>
    <mergeCell ref="D427:D432"/>
    <mergeCell ref="B436:B441"/>
    <mergeCell ref="C436:C441"/>
    <mergeCell ref="D436:D441"/>
    <mergeCell ref="B409:B414"/>
    <mergeCell ref="C409:C414"/>
    <mergeCell ref="D409:D414"/>
    <mergeCell ref="B418:B423"/>
    <mergeCell ref="C418:C423"/>
    <mergeCell ref="D418:D423"/>
    <mergeCell ref="B476:B487"/>
    <mergeCell ref="C476:C487"/>
    <mergeCell ref="D476:D487"/>
    <mergeCell ref="B491:B502"/>
    <mergeCell ref="C491:C502"/>
    <mergeCell ref="D491:D502"/>
    <mergeCell ref="A444:H444"/>
    <mergeCell ref="B446:B457"/>
    <mergeCell ref="C446:C457"/>
    <mergeCell ref="D446:D457"/>
    <mergeCell ref="B461:B472"/>
    <mergeCell ref="C461:C472"/>
    <mergeCell ref="D461:D472"/>
    <mergeCell ref="B566:D566"/>
    <mergeCell ref="E566:N566"/>
    <mergeCell ref="B567:D567"/>
    <mergeCell ref="E567:N567"/>
    <mergeCell ref="A505:H505"/>
    <mergeCell ref="A520:H520"/>
    <mergeCell ref="A535:H535"/>
    <mergeCell ref="A550:H550"/>
    <mergeCell ref="B565:D565"/>
    <mergeCell ref="E565:N565"/>
  </mergeCells>
  <hyperlinks>
    <hyperlink ref="C109" r:id="rId1" location="1797075@455265" xr:uid="{00000000-0004-0000-0500-000000000000}"/>
    <hyperlink ref="C146" r:id="rId2" location="1797075@455265" xr:uid="{00000000-0004-0000-0500-000001000000}"/>
  </hyperlinks>
  <pageMargins left="0.70000000000000007" right="0.70000000000000007" top="0.75" bottom="0.75" header="0.30000000000000004" footer="0.30000000000000004"/>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TERRITORIALIZACION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2022-01-30T18:45:27Z</dcterms:modified>
</cp:coreProperties>
</file>